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P:\総務部\税務課\＜共有＞\■課税担当■\05 不動産取得税\70評価業務外部委託\01仕様書、調達広告\02プロポーザル方式\01プロポ要領、審査基準、提案書作成\"/>
    </mc:Choice>
  </mc:AlternateContent>
  <bookViews>
    <workbookView xWindow="10230" yWindow="-15" windowWidth="10275" windowHeight="8280" tabRatio="917"/>
  </bookViews>
  <sheets>
    <sheet name="調書" sheetId="1" r:id="rId1"/>
    <sheet name="見積拾" sheetId="2" r:id="rId2"/>
    <sheet name="基礎・屋根・外壁" sheetId="3" r:id="rId3"/>
    <sheet name="内壁・間仕切" sheetId="4" r:id="rId4"/>
    <sheet name="床・天井" sheetId="5" r:id="rId5"/>
    <sheet name="建具" sheetId="6" r:id="rId6"/>
    <sheet name="建具の明細" sheetId="7" r:id="rId7"/>
    <sheet name="設備" sheetId="8" r:id="rId8"/>
    <sheet name="設備(個別)" sheetId="9" r:id="rId9"/>
    <sheet name="DB" sheetId="10" r:id="rId10"/>
    <sheet name="(参考）下地・加算一覧" sheetId="13" r:id="rId11"/>
    <sheet name="更新ログ" sheetId="17" r:id="rId12"/>
  </sheets>
  <externalReferences>
    <externalReference r:id="rId13"/>
  </externalReferences>
  <definedNames>
    <definedName name="_xlnm._FilterDatabase" localSheetId="2" hidden="1">基礎・屋根・外壁!$AG$1:$AG$213</definedName>
    <definedName name="_xlnm._FilterDatabase" localSheetId="5" hidden="1">建具!$N$5:$N$173</definedName>
    <definedName name="_xlnm._FilterDatabase" localSheetId="6" hidden="1">建具の明細!$M$2:$M$76</definedName>
    <definedName name="_xlnm._FilterDatabase" localSheetId="1" hidden="1">見積拾!$U$2:$U$173</definedName>
    <definedName name="_xlnm._FilterDatabase" localSheetId="4" hidden="1">床・天井!$X$2:$X$93</definedName>
    <definedName name="_xlnm._FilterDatabase" localSheetId="7" hidden="1">設備!$T$1:$T$555</definedName>
    <definedName name="_xlnm._FilterDatabase" localSheetId="8" hidden="1">'設備(個別)'!$X$1:$X$130</definedName>
    <definedName name="_xlnm._FilterDatabase" localSheetId="0" hidden="1">調書!$BA$1:$BA$687</definedName>
    <definedName name="_xlnm._FilterDatabase" localSheetId="3" hidden="1">内壁・間仕切!$AB$2:$AB$145</definedName>
    <definedName name="ＥＶ規格">DB!$B$461:$AY$465</definedName>
    <definedName name="ＥＶ高速特注">DB!$B$475:$AY$479</definedName>
    <definedName name="ＥＶ特注">DB!$B$468:$AY$472</definedName>
    <definedName name="ＨＵＢ">DB!$B$209:$AY$213</definedName>
    <definedName name="ＬＧＳ名称">調書!$F$52:$F$53</definedName>
    <definedName name="_xlnm.Print_Area" localSheetId="9">DB!$A$1:$BZ$584</definedName>
    <definedName name="_xlnm.Print_Area" localSheetId="2">基礎・屋根・外壁!$A$2:$AF$213</definedName>
    <definedName name="_xlnm.Print_Area" localSheetId="5">建具!$B$5:$M$173</definedName>
    <definedName name="_xlnm.Print_Area" localSheetId="6">建具の明細!$A$2:$L$76</definedName>
    <definedName name="_xlnm.Print_Area" localSheetId="1">見積拾!$B$2:$T$172</definedName>
    <definedName name="_xlnm.Print_Area" localSheetId="4">床・天井!$A$2:$W$91</definedName>
    <definedName name="_xlnm.Print_Area" localSheetId="7">設備!$B$9:$S$555</definedName>
    <definedName name="_xlnm.Print_Area" localSheetId="8">'設備(個別)'!$A$2:$W$130</definedName>
    <definedName name="_xlnm.Print_Area" localSheetId="0">調書!$B$2:$AZ$686</definedName>
    <definedName name="_xlnm.Print_Area" localSheetId="3">内壁・間仕切!$A$2:$AA$145</definedName>
    <definedName name="_xlnm.Print_Titles" localSheetId="4">床・天井!$4:$5</definedName>
    <definedName name="ＲＣＣＢ名称" localSheetId="1">調書!$F$59:$F$69</definedName>
    <definedName name="ＲＣＣＢ名称">調書!$F$59:$F$69</definedName>
    <definedName name="Ｓ１０００型">DB!$B$531:$AY$535</definedName>
    <definedName name="Ｓ６００型">DB!$B$524:$AY$528</definedName>
    <definedName name="ＳＫ">DB!$B$265:$AY$269</definedName>
    <definedName name="Ｓ名称" localSheetId="1">調書!$F$20:$F$27</definedName>
    <definedName name="Ｓ名称">調書!$F$20:$F$27</definedName>
    <definedName name="ＴＶ局所">DB!$B$76:$AY$80</definedName>
    <definedName name="ＴＶ総体">DB!$B$69:$AY$73</definedName>
    <definedName name="ＵＢ">DB!$B$202:$AY$206</definedName>
    <definedName name="ＵＳ">DB!$B$223:$AY$227</definedName>
    <definedName name="インターホン">DB!$B$41:$AY$45</definedName>
    <definedName name="ガス">DB!$B$272:$AY$276</definedName>
    <definedName name="ゴンドラ">DB!$B$538:$AY$542</definedName>
    <definedName name="ｻｯｼ">建具!$B$11:$M$34</definedName>
    <definedName name="スプリンクラー">DB!$B$440:$AY$444</definedName>
    <definedName name="ドアホン">DB!$B$46:$AY$52</definedName>
    <definedName name="ドレンチャー">DB!$B$419:$AY$423</definedName>
    <definedName name="ナースコール">DB!#REF!</definedName>
    <definedName name="パッケージ">[1]DB!#REF!</definedName>
    <definedName name="ベンチレーター">DB!$B$384:$AY$388</definedName>
    <definedName name="ホームＥＶ">DB!$B$482:$AY$486</definedName>
    <definedName name="マルチ">DB!$B$300:$AS$304</definedName>
    <definedName name="ミニＳＫ">DB!$B$258:$AY$262</definedName>
    <definedName name="レンジフード">DB!$B$363:$AY$367</definedName>
    <definedName name="一般機械排煙">DB!$B$370:$AY$374</definedName>
    <definedName name="衛生">DB!$B$139:$AY$143</definedName>
    <definedName name="屋根">調書!$F$603:$AL$640</definedName>
    <definedName name="屋根構造">調書!$F$191:$AL$214</definedName>
    <definedName name="屋根構造名称">調書!$F$191:$F$214</definedName>
    <definedName name="屋根名称">調書!$F$603:$F$640</definedName>
    <definedName name="温風暖房">DB!$B$321:$AS$325</definedName>
    <definedName name="化粧台">DB!$B$181:$AY$185</definedName>
    <definedName name="火災報知">DB!$B$391:$AY$395</definedName>
    <definedName name="外周壁">調書!$F$250:$AL$272</definedName>
    <definedName name="外周壁名称">調書!$F$250:$F$272</definedName>
    <definedName name="外部">調書!$F$310:$AL$359</definedName>
    <definedName name="外部名称">調書!$F$310:$F$359</definedName>
    <definedName name="拡声器">DB!$B$55:$AY$59</definedName>
    <definedName name="換気一戸建">DB!$B$342:$O$346</definedName>
    <definedName name="換気集合形式">DB!$B$349:$O$353</definedName>
    <definedName name="換気設備">DB!$B$335:$AY$339</definedName>
    <definedName name="換気扇">DB!$B$356:$AY$360</definedName>
    <definedName name="監視カメラ">DB!$B$62:$AY$66</definedName>
    <definedName name="間仕切">調書!$F$279:$AL$303</definedName>
    <definedName name="間仕切名称">調書!$F$279:$F$303</definedName>
    <definedName name="基礎延長名称">調書!$G$140</definedName>
    <definedName name="気送管">DB!$B$454:$AY$458</definedName>
    <definedName name="給水">DB!$B$83:$AU$87</definedName>
    <definedName name="給水小">DB!$B$83:$AU$87</definedName>
    <definedName name="給水大">DB!$B$90:$AU$94</definedName>
    <definedName name="給湯管">DB!$B$251:$AY$255</definedName>
    <definedName name="給湯器">DB!$B$237:$AY$241</definedName>
    <definedName name="給湯貯湯式">DB!$B$244:$AY$248</definedName>
    <definedName name="建具">建具!$B$8:$K$101</definedName>
    <definedName name="建具名称">建具!$B$8:$B$101</definedName>
    <definedName name="個別">DB!$B$300:$X$304</definedName>
    <definedName name="呼出">DB!$B$27:$AY$31</definedName>
    <definedName name="構造コード">[1]DB!$G$591:$I$601</definedName>
    <definedName name="構造名称">DB!$B$595:$B$600</definedName>
    <definedName name="根伐土量名称">調書!$G$133</definedName>
    <definedName name="使用口">DB!$B$139:$AY$143</definedName>
    <definedName name="自動車">DB!$B$34:$AY$38</definedName>
    <definedName name="自動車電動ＥＶ">DB!$B$503:$AY$507</definedName>
    <definedName name="自動車油圧ＥＶ">DB!$B$510:$AY$514</definedName>
    <definedName name="主体不明確補正">DB!$C$556:$BZ$571</definedName>
    <definedName name="主体明確補正">DB!$C$575:$BZ$579</definedName>
    <definedName name="取得事由コード">[1]DB!$K$591:$L$595</definedName>
    <definedName name="受水槽">DB!$B$97:$AU$101</definedName>
    <definedName name="住宅建具総合">DB!$B$547:$X$550</definedName>
    <definedName name="小荷物専用昇降機">DB!$B$517:$AA$521</definedName>
    <definedName name="小便器">DB!$B$160:$AY$164</definedName>
    <definedName name="床">調書!$F$466:$AL$525</definedName>
    <definedName name="床構造">調書!$F$221:$AL$243</definedName>
    <definedName name="床構造名称">調書!$F$221:$F$243</definedName>
    <definedName name="床暖房">DB!$B$328:$AY$332</definedName>
    <definedName name="床名称">調書!$F$466:$F$525</definedName>
    <definedName name="消火栓">DB!$B$412:$AY$416</definedName>
    <definedName name="照明設備">DB!#REF!</definedName>
    <definedName name="硝子名称">建具!$B$119:$B$135</definedName>
    <definedName name="寝台ＥＶ">DB!$B$489:$AY$493</definedName>
    <definedName name="人荷ＥＶ">DB!$B$496:$AY$500</definedName>
    <definedName name="水道直結スプリンクラー">DB!$B$447:$AY$451</definedName>
    <definedName name="洗濯流し">DB!$B$174:$AY$178</definedName>
    <definedName name="洗面器">DB!$B$167:$AY$171</definedName>
    <definedName name="総合集合小">DB!$B$279:$AG$283</definedName>
    <definedName name="総合集合大">DB!$B$286:$AG$290</definedName>
    <definedName name="増圧ポンプ">DB!$B$104:$AY$108</definedName>
    <definedName name="耐火被覆">調書!$F$38:$F$49</definedName>
    <definedName name="断熱">調書!$H$360:$AL$369</definedName>
    <definedName name="断熱名称">調書!$H$360:$H$369</definedName>
    <definedName name="中央給湯">DB!$B$132:$AY$136</definedName>
    <definedName name="直接暖房">DB!$B$314:$AS$318</definedName>
    <definedName name="天井">調書!$F$543:$AL$586</definedName>
    <definedName name="天井扇">[1]DB!#REF!</definedName>
    <definedName name="天井名称">調書!$F$543:$F$586</definedName>
    <definedName name="電灯">DB!$B$13:$AY$17</definedName>
    <definedName name="電話">DB!$B$20:$AY$24</definedName>
    <definedName name="盗難">DB!#REF!</definedName>
    <definedName name="動力">DB!$B$6:$BA$10</definedName>
    <definedName name="特殊設備名称">建具!$B$154:$B$172</definedName>
    <definedName name="独立基礎名称">調書!$F$148</definedName>
    <definedName name="内部">調書!$F$376:$AL$449</definedName>
    <definedName name="内部名称">調書!$F$376:$F$449</definedName>
    <definedName name="熱源方式">DB!$B$293:$AY$297</definedName>
    <definedName name="熱源冷房">DB!$B$307:$AS$311</definedName>
    <definedName name="排水ポンプ">DB!$B$125:$AY$129</definedName>
    <definedName name="排水小">DB!$B$111:$AY$115</definedName>
    <definedName name="排水大">DB!$B$118:$AY$122</definedName>
    <definedName name="避雷導体">DB!$B$405:$AY$409</definedName>
    <definedName name="避雷突針">DB!$B$398:$AY$402</definedName>
    <definedName name="標準量">DB!$C$585:$Q$590</definedName>
    <definedName name="評価基準名称">DB!$C$575:$C$579</definedName>
    <definedName name="不活性ガス">DB!$B$426:$AY$430</definedName>
    <definedName name="附室排煙">DB!$B$377:$AY$381</definedName>
    <definedName name="泡消火">DB!$B$433:$AY$437</definedName>
    <definedName name="網戸名称">建具!$B$102:$B$107</definedName>
    <definedName name="洋便器">DB!$B$153:$AY$157</definedName>
    <definedName name="浴室換気乾燥機">DB!$B$216:$AY$220</definedName>
    <definedName name="浴槽上">DB!$B$188:$AY$192</definedName>
    <definedName name="浴槽並">DB!$B$195:$AY$199</definedName>
    <definedName name="流し台">DB!$B$230:$R$234</definedName>
    <definedName name="和便器">DB!$B$146:$AY$150</definedName>
  </definedNames>
  <calcPr calcId="162913"/>
</workbook>
</file>

<file path=xl/calcChain.xml><?xml version="1.0" encoding="utf-8"?>
<calcChain xmlns="http://schemas.openxmlformats.org/spreadsheetml/2006/main">
  <c r="N3" i="2" l="1"/>
  <c r="L3" i="2"/>
  <c r="P4" i="8" l="1"/>
  <c r="N4" i="8"/>
  <c r="A249" i="8"/>
  <c r="A76" i="8"/>
  <c r="A50" i="8"/>
  <c r="A42" i="8"/>
  <c r="A36" i="8"/>
  <c r="AF3" i="1" l="1"/>
  <c r="AC3" i="1"/>
  <c r="H37" i="8" l="1"/>
  <c r="P36" i="8" s="1"/>
  <c r="D73" i="10" l="1"/>
  <c r="E73" i="10"/>
  <c r="F73" i="10"/>
  <c r="G73" i="10"/>
  <c r="H73" i="10"/>
  <c r="I73" i="10"/>
  <c r="J73" i="10"/>
  <c r="K73" i="10"/>
  <c r="L73" i="10"/>
  <c r="M73" i="10"/>
  <c r="N73" i="10"/>
  <c r="O73" i="10"/>
  <c r="P73" i="10"/>
  <c r="Q73" i="10"/>
  <c r="R73" i="10"/>
  <c r="S73" i="10"/>
  <c r="T73" i="10"/>
  <c r="U73" i="10"/>
  <c r="V73" i="10"/>
  <c r="W73" i="10"/>
  <c r="X73" i="10"/>
  <c r="Y73" i="10"/>
  <c r="Z73" i="10"/>
  <c r="C73" i="10"/>
  <c r="M72" i="10"/>
  <c r="N72" i="10"/>
  <c r="O72" i="10"/>
  <c r="P72" i="10"/>
  <c r="Q72" i="10"/>
  <c r="R72" i="10"/>
  <c r="S72" i="10"/>
  <c r="T72" i="10"/>
  <c r="U72" i="10"/>
  <c r="V72" i="10"/>
  <c r="W72" i="10"/>
  <c r="X72" i="10"/>
  <c r="Y72" i="10"/>
  <c r="Z72" i="10"/>
  <c r="D72" i="10"/>
  <c r="E72" i="10"/>
  <c r="F72" i="10"/>
  <c r="G72" i="10"/>
  <c r="H72" i="10"/>
  <c r="I72" i="10"/>
  <c r="J72" i="10"/>
  <c r="K72" i="10"/>
  <c r="L72" i="10"/>
  <c r="C72" i="10"/>
  <c r="C227" i="10" l="1"/>
  <c r="I303" i="8" l="1"/>
  <c r="I305" i="8" s="1"/>
  <c r="T302" i="8" s="1"/>
  <c r="T304" i="8" s="1"/>
  <c r="A295" i="8"/>
  <c r="T294" i="8"/>
  <c r="T298" i="8" l="1"/>
  <c r="T295" i="8"/>
  <c r="T296" i="8"/>
  <c r="T300" i="8"/>
  <c r="T301" i="8"/>
  <c r="T299" i="8"/>
  <c r="T297" i="8"/>
  <c r="T306" i="8"/>
  <c r="T303" i="8"/>
  <c r="T305" i="8"/>
  <c r="K20" i="10"/>
  <c r="K24" i="10" s="1"/>
  <c r="H20" i="10"/>
  <c r="H23" i="10" s="1"/>
  <c r="E20" i="10"/>
  <c r="E22" i="10" s="1"/>
  <c r="H22" i="10" l="1"/>
  <c r="K23" i="10"/>
  <c r="E24" i="10"/>
  <c r="E23" i="10"/>
  <c r="H24" i="10"/>
  <c r="K22" i="10"/>
  <c r="N95" i="6" l="1"/>
  <c r="N93" i="6"/>
  <c r="A93" i="6"/>
  <c r="L119" i="9" l="1"/>
  <c r="L117" i="9"/>
  <c r="S116" i="9" s="1"/>
  <c r="X116" i="9"/>
  <c r="X119" i="9" l="1"/>
  <c r="X117" i="9"/>
  <c r="X118" i="9"/>
  <c r="T116" i="9"/>
  <c r="W116" i="9" s="1"/>
  <c r="C141" i="6" l="1"/>
  <c r="I147" i="6"/>
  <c r="I146" i="6"/>
  <c r="H147" i="6"/>
  <c r="H146" i="6"/>
  <c r="G147" i="6"/>
  <c r="G146" i="6"/>
  <c r="I143" i="6"/>
  <c r="H143" i="6"/>
  <c r="G143" i="6"/>
  <c r="I142" i="6"/>
  <c r="H142" i="6"/>
  <c r="G142" i="6"/>
  <c r="I141" i="6"/>
  <c r="H141" i="6"/>
  <c r="G141" i="6"/>
  <c r="I145" i="6"/>
  <c r="H145" i="6"/>
  <c r="G145" i="6"/>
  <c r="I144" i="6"/>
  <c r="H144" i="6"/>
  <c r="G144" i="6"/>
  <c r="K141" i="6"/>
  <c r="K4" i="8"/>
  <c r="I4" i="8"/>
  <c r="G4" i="8"/>
  <c r="F4" i="8"/>
  <c r="J147" i="6" l="1"/>
  <c r="F147" i="6" s="1"/>
  <c r="F145" i="6"/>
  <c r="T373" i="8"/>
  <c r="F14" i="9"/>
  <c r="F13" i="9"/>
  <c r="F12" i="9"/>
  <c r="F8" i="9"/>
  <c r="F7" i="9"/>
  <c r="F6" i="9"/>
  <c r="T13" i="2"/>
  <c r="U13" i="2" s="1"/>
  <c r="T12" i="2"/>
  <c r="U12" i="2" s="1"/>
  <c r="T11" i="2"/>
  <c r="U11" i="2" s="1"/>
  <c r="A10" i="2"/>
  <c r="T375" i="8" l="1"/>
  <c r="T376" i="8"/>
  <c r="T377" i="8"/>
  <c r="T374" i="8"/>
  <c r="T202" i="8"/>
  <c r="J210" i="8"/>
  <c r="R231" i="10"/>
  <c r="Q231" i="10"/>
  <c r="P231" i="10"/>
  <c r="O231" i="10"/>
  <c r="N231" i="10"/>
  <c r="M231" i="10"/>
  <c r="K231" i="10"/>
  <c r="J231" i="10"/>
  <c r="I231" i="10"/>
  <c r="H231" i="10"/>
  <c r="G231" i="10"/>
  <c r="F231" i="10"/>
  <c r="E231" i="10"/>
  <c r="D231" i="10"/>
  <c r="C231" i="10"/>
  <c r="R230" i="10"/>
  <c r="Q230" i="10"/>
  <c r="P230" i="10"/>
  <c r="O230" i="10"/>
  <c r="N230" i="10"/>
  <c r="M230" i="10"/>
  <c r="K230" i="10"/>
  <c r="J230" i="10"/>
  <c r="I230" i="10"/>
  <c r="H230" i="10"/>
  <c r="G230" i="10"/>
  <c r="F230" i="10"/>
  <c r="E230" i="10"/>
  <c r="D230" i="10"/>
  <c r="C230" i="10"/>
  <c r="L263" i="8"/>
  <c r="L261" i="8"/>
  <c r="T259" i="8"/>
  <c r="T248" i="8"/>
  <c r="T261" i="8" l="1"/>
  <c r="T265" i="8"/>
  <c r="T269" i="8"/>
  <c r="T262" i="8"/>
  <c r="T266" i="8"/>
  <c r="T260" i="8"/>
  <c r="T263" i="8"/>
  <c r="T267" i="8"/>
  <c r="T264" i="8"/>
  <c r="T268" i="8"/>
  <c r="T204" i="8"/>
  <c r="T208" i="8"/>
  <c r="T203" i="8"/>
  <c r="T205" i="8"/>
  <c r="T209" i="8"/>
  <c r="T206" i="8"/>
  <c r="T210" i="8"/>
  <c r="T207" i="8"/>
  <c r="T211" i="8"/>
  <c r="T252" i="8"/>
  <c r="T256" i="8"/>
  <c r="T253" i="8"/>
  <c r="T257" i="8"/>
  <c r="T250" i="8"/>
  <c r="T254" i="8"/>
  <c r="T258" i="8"/>
  <c r="T251" i="8"/>
  <c r="T255" i="8"/>
  <c r="T249" i="8"/>
  <c r="L204" i="8"/>
  <c r="L205" i="8" s="1"/>
  <c r="L226" i="10"/>
  <c r="L225" i="10"/>
  <c r="L223" i="10"/>
  <c r="A148" i="8"/>
  <c r="T147" i="8"/>
  <c r="T151" i="8" s="1"/>
  <c r="O185" i="10"/>
  <c r="N185" i="10"/>
  <c r="M185" i="10"/>
  <c r="L185" i="10"/>
  <c r="K185" i="10"/>
  <c r="J185" i="10"/>
  <c r="I185" i="10"/>
  <c r="H185" i="10"/>
  <c r="G185" i="10"/>
  <c r="F185" i="10"/>
  <c r="E185" i="10"/>
  <c r="D185" i="10"/>
  <c r="C185" i="10"/>
  <c r="O184" i="10"/>
  <c r="N184" i="10"/>
  <c r="M184" i="10"/>
  <c r="L184" i="10"/>
  <c r="K184" i="10"/>
  <c r="J184" i="10"/>
  <c r="I184" i="10"/>
  <c r="H184" i="10"/>
  <c r="G184" i="10"/>
  <c r="F184" i="10"/>
  <c r="E184" i="10"/>
  <c r="D184" i="10"/>
  <c r="C184" i="10"/>
  <c r="O181" i="10"/>
  <c r="N181" i="10"/>
  <c r="M181" i="10"/>
  <c r="L181" i="10"/>
  <c r="K181" i="10"/>
  <c r="J181" i="10"/>
  <c r="I181" i="10"/>
  <c r="H181" i="10"/>
  <c r="G181" i="10"/>
  <c r="F181" i="10"/>
  <c r="E181" i="10"/>
  <c r="D181" i="10"/>
  <c r="C181" i="10"/>
  <c r="A153" i="8"/>
  <c r="T152" i="8"/>
  <c r="T153" i="8" s="1"/>
  <c r="A145" i="8"/>
  <c r="T144" i="8"/>
  <c r="A142" i="8"/>
  <c r="T141" i="8"/>
  <c r="A139" i="8"/>
  <c r="T138" i="8"/>
  <c r="A136" i="8"/>
  <c r="K3" i="8" s="1"/>
  <c r="T135" i="8"/>
  <c r="T114" i="8"/>
  <c r="T109" i="8"/>
  <c r="T132" i="8"/>
  <c r="T146" i="8" l="1"/>
  <c r="T145" i="8"/>
  <c r="T112" i="8"/>
  <c r="T113" i="8"/>
  <c r="T110" i="8"/>
  <c r="T111" i="8"/>
  <c r="T140" i="8"/>
  <c r="T139" i="8"/>
  <c r="T116" i="8"/>
  <c r="T115" i="8"/>
  <c r="T136" i="8"/>
  <c r="T137" i="8"/>
  <c r="T142" i="8"/>
  <c r="T143" i="8"/>
  <c r="T148" i="8"/>
  <c r="T149" i="8"/>
  <c r="T150" i="8"/>
  <c r="T154" i="8"/>
  <c r="T156" i="8"/>
  <c r="T155" i="8"/>
  <c r="T120" i="8"/>
  <c r="L122" i="8"/>
  <c r="L119" i="8"/>
  <c r="T117" i="8"/>
  <c r="L116" i="8"/>
  <c r="A115" i="8"/>
  <c r="J4" i="8" s="1"/>
  <c r="T106" i="8"/>
  <c r="L113" i="8"/>
  <c r="L111" i="8"/>
  <c r="L108" i="8"/>
  <c r="T103" i="8"/>
  <c r="T100" i="8"/>
  <c r="L105" i="8"/>
  <c r="L102" i="8"/>
  <c r="T243" i="8"/>
  <c r="T49" i="8"/>
  <c r="T75" i="8"/>
  <c r="T105" i="8" l="1"/>
  <c r="T104" i="8"/>
  <c r="T118" i="8"/>
  <c r="T119" i="8"/>
  <c r="T107" i="8"/>
  <c r="T108" i="8"/>
  <c r="T122" i="8"/>
  <c r="T121" i="8"/>
  <c r="A66" i="8"/>
  <c r="T71" i="8"/>
  <c r="T72" i="8" s="1"/>
  <c r="AS433" i="1"/>
  <c r="AJ433" i="1"/>
  <c r="AP433" i="1" s="1"/>
  <c r="AS402" i="1"/>
  <c r="AJ402" i="1"/>
  <c r="AP402" i="1" s="1"/>
  <c r="AS300" i="1"/>
  <c r="AJ300" i="1"/>
  <c r="AP300" i="1" s="1"/>
  <c r="T73" i="8" l="1"/>
  <c r="T74" i="8"/>
  <c r="AW433" i="1"/>
  <c r="BA433" i="1" s="1"/>
  <c r="AW402" i="1"/>
  <c r="BA402" i="1" s="1"/>
  <c r="AW300" i="1"/>
  <c r="BA300" i="1" s="1"/>
  <c r="L678" i="1" l="1"/>
  <c r="O678" i="1" s="1"/>
  <c r="O674" i="1" l="1"/>
  <c r="N3" i="8"/>
  <c r="A668" i="1"/>
  <c r="A667" i="1"/>
  <c r="A666" i="1"/>
  <c r="A664" i="1"/>
  <c r="F170" i="2"/>
  <c r="F35" i="2"/>
  <c r="H101" i="1" l="1"/>
  <c r="AL72" i="1"/>
  <c r="AL71" i="1"/>
  <c r="AL70" i="1"/>
  <c r="AJ72" i="1"/>
  <c r="AJ71" i="1"/>
  <c r="AJ70" i="1"/>
  <c r="AP32" i="1"/>
  <c r="AN32" i="1"/>
  <c r="AP31" i="1"/>
  <c r="AN31" i="1"/>
  <c r="AP30" i="1"/>
  <c r="AN30" i="1"/>
  <c r="AS595" i="1" l="1"/>
  <c r="AS594" i="1"/>
  <c r="AS593" i="1"/>
  <c r="AS592" i="1"/>
  <c r="AS591" i="1"/>
  <c r="AS590" i="1"/>
  <c r="AS589" i="1"/>
  <c r="AS588" i="1"/>
  <c r="AS587" i="1"/>
  <c r="AS535" i="1"/>
  <c r="AS534" i="1"/>
  <c r="AS533" i="1"/>
  <c r="AS532" i="1"/>
  <c r="AS531" i="1"/>
  <c r="AS530" i="1"/>
  <c r="AS529" i="1"/>
  <c r="AS528" i="1"/>
  <c r="AS527" i="1"/>
  <c r="AS526" i="1"/>
  <c r="V91" i="5"/>
  <c r="S91" i="5"/>
  <c r="AS455" i="1"/>
  <c r="AS454" i="1"/>
  <c r="AS452" i="1"/>
  <c r="AS450" i="1"/>
  <c r="AS442" i="1"/>
  <c r="AB130" i="4"/>
  <c r="AB129" i="4"/>
  <c r="AB109" i="4"/>
  <c r="AB108" i="4"/>
  <c r="AB88" i="4"/>
  <c r="AB87" i="4"/>
  <c r="AB67" i="4"/>
  <c r="AS368" i="1"/>
  <c r="AS367" i="1"/>
  <c r="AS366" i="1"/>
  <c r="AS365" i="1"/>
  <c r="AS363" i="1"/>
  <c r="AS361" i="1"/>
  <c r="AS360" i="1"/>
  <c r="AS648" i="1"/>
  <c r="AS647" i="1"/>
  <c r="AS646" i="1"/>
  <c r="AS642" i="1"/>
  <c r="U167" i="2"/>
  <c r="T167" i="2"/>
  <c r="U166" i="2"/>
  <c r="T166" i="2"/>
  <c r="U149" i="2"/>
  <c r="T149" i="2"/>
  <c r="U148" i="2"/>
  <c r="T148" i="2"/>
  <c r="U131" i="2"/>
  <c r="T131" i="2"/>
  <c r="U130" i="2"/>
  <c r="T130" i="2"/>
  <c r="U107" i="2"/>
  <c r="T107" i="2"/>
  <c r="U106" i="2"/>
  <c r="T106" i="2"/>
  <c r="U83" i="2"/>
  <c r="T83" i="2"/>
  <c r="U82" i="2"/>
  <c r="T82" i="2"/>
  <c r="AS311" i="1"/>
  <c r="I6" i="9" l="1"/>
  <c r="F9" i="9"/>
  <c r="I9" i="9" s="1"/>
  <c r="I8" i="9"/>
  <c r="I14" i="9"/>
  <c r="I13" i="9"/>
  <c r="U168" i="2" l="1"/>
  <c r="T168" i="2"/>
  <c r="U150" i="2"/>
  <c r="T150" i="2"/>
  <c r="U132" i="2"/>
  <c r="T132" i="2"/>
  <c r="U108" i="2"/>
  <c r="T108" i="2"/>
  <c r="U84" i="2"/>
  <c r="T84" i="2"/>
  <c r="AJ649" i="1" l="1"/>
  <c r="AP649" i="1" s="1"/>
  <c r="AJ648" i="1"/>
  <c r="AP648" i="1" s="1"/>
  <c r="AW648" i="1" s="1"/>
  <c r="BA648" i="1" s="1"/>
  <c r="AJ647" i="1"/>
  <c r="AP647" i="1" s="1"/>
  <c r="AW647" i="1" s="1"/>
  <c r="BA647" i="1" s="1"/>
  <c r="AJ646" i="1"/>
  <c r="AP646" i="1" s="1"/>
  <c r="AW646" i="1" s="1"/>
  <c r="BA646" i="1" s="1"/>
  <c r="AJ645" i="1"/>
  <c r="AP645" i="1" s="1"/>
  <c r="AJ644" i="1"/>
  <c r="AP644" i="1" s="1"/>
  <c r="AJ595" i="1"/>
  <c r="AP595" i="1" s="1"/>
  <c r="AW595" i="1" s="1"/>
  <c r="BA595" i="1" s="1"/>
  <c r="AJ594" i="1"/>
  <c r="AP594" i="1" s="1"/>
  <c r="AW594" i="1" s="1"/>
  <c r="BA594" i="1" s="1"/>
  <c r="AJ593" i="1"/>
  <c r="AP593" i="1" s="1"/>
  <c r="AW593" i="1" s="1"/>
  <c r="BA593" i="1" s="1"/>
  <c r="AJ592" i="1"/>
  <c r="AP592" i="1" s="1"/>
  <c r="AW592" i="1" s="1"/>
  <c r="BA592" i="1" s="1"/>
  <c r="AJ591" i="1"/>
  <c r="AP591" i="1" s="1"/>
  <c r="AW591" i="1" s="1"/>
  <c r="BA591" i="1" s="1"/>
  <c r="AJ590" i="1"/>
  <c r="AP590" i="1" s="1"/>
  <c r="AW590" i="1" s="1"/>
  <c r="BA590" i="1" s="1"/>
  <c r="AJ534" i="1"/>
  <c r="AP534" i="1" s="1"/>
  <c r="AW534" i="1" s="1"/>
  <c r="BA534" i="1" s="1"/>
  <c r="AJ533" i="1"/>
  <c r="AP533" i="1" s="1"/>
  <c r="AW533" i="1" s="1"/>
  <c r="BA533" i="1" s="1"/>
  <c r="AJ532" i="1"/>
  <c r="AP532" i="1" s="1"/>
  <c r="AW532" i="1" s="1"/>
  <c r="BA532" i="1" s="1"/>
  <c r="AJ531" i="1"/>
  <c r="AP531" i="1" s="1"/>
  <c r="AW531" i="1" s="1"/>
  <c r="BA531" i="1" s="1"/>
  <c r="AJ530" i="1"/>
  <c r="AP530" i="1" s="1"/>
  <c r="AW530" i="1" s="1"/>
  <c r="BA530" i="1" s="1"/>
  <c r="AJ529" i="1"/>
  <c r="AP529" i="1" s="1"/>
  <c r="AW529" i="1" s="1"/>
  <c r="BA529" i="1" s="1"/>
  <c r="AJ458" i="1"/>
  <c r="AP458" i="1" s="1"/>
  <c r="AJ457" i="1"/>
  <c r="AP457" i="1" s="1"/>
  <c r="AJ456" i="1"/>
  <c r="AP456" i="1" s="1"/>
  <c r="AJ455" i="1"/>
  <c r="AP455" i="1" s="1"/>
  <c r="AW455" i="1" s="1"/>
  <c r="BA455" i="1" s="1"/>
  <c r="AJ454" i="1"/>
  <c r="AP454" i="1" s="1"/>
  <c r="AW454" i="1" s="1"/>
  <c r="BA454" i="1" s="1"/>
  <c r="AJ453" i="1"/>
  <c r="AP453" i="1" s="1"/>
  <c r="AJ364" i="1"/>
  <c r="AP364" i="1" s="1"/>
  <c r="AJ366" i="1"/>
  <c r="AP366" i="1" s="1"/>
  <c r="AW366" i="1" s="1"/>
  <c r="BA366" i="1" s="1"/>
  <c r="AJ365" i="1"/>
  <c r="AP365" i="1" s="1"/>
  <c r="AW365" i="1" s="1"/>
  <c r="BA365" i="1" s="1"/>
  <c r="AJ363" i="1"/>
  <c r="AP363" i="1" s="1"/>
  <c r="AW363" i="1" s="1"/>
  <c r="BA363" i="1" s="1"/>
  <c r="AJ367" i="1"/>
  <c r="AP367" i="1" s="1"/>
  <c r="AW367" i="1" s="1"/>
  <c r="BA367" i="1" s="1"/>
  <c r="T358" i="8" l="1"/>
  <c r="X112" i="9" l="1"/>
  <c r="R24" i="1" l="1"/>
  <c r="R23" i="1"/>
  <c r="T119" i="1" l="1"/>
  <c r="BA117" i="1"/>
  <c r="BA123" i="1" s="1"/>
  <c r="X119" i="1"/>
  <c r="AB119" i="1"/>
  <c r="AJ118" i="1" l="1"/>
  <c r="AN118" i="1" s="1"/>
  <c r="AV118" i="1" s="1"/>
  <c r="BA118" i="1"/>
  <c r="BA119" i="1"/>
  <c r="BA120" i="1"/>
  <c r="BA121" i="1"/>
  <c r="BA122" i="1"/>
  <c r="C436" i="10"/>
  <c r="C429" i="10"/>
  <c r="C79" i="10"/>
  <c r="C493" i="10"/>
  <c r="C492" i="10"/>
  <c r="C490" i="10"/>
  <c r="C489" i="10"/>
  <c r="C486" i="10"/>
  <c r="C485" i="10"/>
  <c r="C484" i="10"/>
  <c r="C482" i="10"/>
  <c r="C479" i="10"/>
  <c r="C478" i="10"/>
  <c r="C457" i="10"/>
  <c r="C458" i="10"/>
  <c r="C455" i="10"/>
  <c r="C388" i="10"/>
  <c r="C386" i="10"/>
  <c r="C385" i="10"/>
  <c r="C384" i="10"/>
  <c r="C269" i="10"/>
  <c r="C268" i="10"/>
  <c r="C267" i="10"/>
  <c r="C265" i="10"/>
  <c r="C261" i="10"/>
  <c r="C260" i="10"/>
  <c r="C248" i="10"/>
  <c r="C247" i="10"/>
  <c r="C246" i="10"/>
  <c r="C244" i="10"/>
  <c r="C241" i="10"/>
  <c r="C240" i="10"/>
  <c r="C239" i="10"/>
  <c r="C237" i="10"/>
  <c r="C226" i="10"/>
  <c r="C225" i="10"/>
  <c r="C223" i="10"/>
  <c r="C220" i="10"/>
  <c r="C219" i="10"/>
  <c r="C216" i="10"/>
  <c r="C213" i="10"/>
  <c r="C212" i="10"/>
  <c r="C211" i="10"/>
  <c r="C209" i="10"/>
  <c r="C206" i="10"/>
  <c r="C205" i="10"/>
  <c r="C202" i="10"/>
  <c r="C56" i="10"/>
  <c r="C38" i="10"/>
  <c r="C37" i="10"/>
  <c r="C35" i="10"/>
  <c r="C542" i="10"/>
  <c r="C541" i="10"/>
  <c r="C540" i="10"/>
  <c r="C539" i="10"/>
  <c r="C535" i="10"/>
  <c r="C534" i="10"/>
  <c r="C532" i="10"/>
  <c r="C528" i="10"/>
  <c r="C527" i="10"/>
  <c r="C525" i="10"/>
  <c r="C521" i="10"/>
  <c r="C520" i="10"/>
  <c r="C518" i="10"/>
  <c r="C514" i="10"/>
  <c r="C513" i="10"/>
  <c r="C512" i="10"/>
  <c r="C511" i="10"/>
  <c r="C507" i="10"/>
  <c r="C506" i="10"/>
  <c r="C505" i="10"/>
  <c r="C504" i="10"/>
  <c r="D164" i="6"/>
  <c r="D163" i="6"/>
  <c r="D162" i="6"/>
  <c r="X19" i="9"/>
  <c r="X20" i="9" s="1"/>
  <c r="L20" i="9"/>
  <c r="S19" i="9" s="1"/>
  <c r="T19" i="9" s="1"/>
  <c r="W19" i="9" s="1"/>
  <c r="L113" i="9"/>
  <c r="S112" i="9" s="1"/>
  <c r="AS490" i="1" l="1"/>
  <c r="AJ490" i="1"/>
  <c r="AP490" i="1" s="1"/>
  <c r="AS489" i="1"/>
  <c r="AJ489" i="1"/>
  <c r="AP489" i="1" s="1"/>
  <c r="AS488" i="1"/>
  <c r="AJ488" i="1"/>
  <c r="AP488" i="1" s="1"/>
  <c r="AS487" i="1"/>
  <c r="AJ487" i="1"/>
  <c r="AP487" i="1" s="1"/>
  <c r="AS431" i="1"/>
  <c r="AJ431" i="1"/>
  <c r="AP431" i="1" s="1"/>
  <c r="AS430" i="1"/>
  <c r="AJ430" i="1"/>
  <c r="AP430" i="1" s="1"/>
  <c r="AS346" i="1"/>
  <c r="AJ346" i="1"/>
  <c r="AP346" i="1" s="1"/>
  <c r="AS234" i="1"/>
  <c r="AJ234" i="1"/>
  <c r="AP234" i="1" s="1"/>
  <c r="AS233" i="1"/>
  <c r="AJ233" i="1"/>
  <c r="AP233" i="1" s="1"/>
  <c r="AS206" i="1"/>
  <c r="AJ206" i="1"/>
  <c r="AP206" i="1" s="1"/>
  <c r="AS205" i="1"/>
  <c r="AJ205" i="1"/>
  <c r="AP205" i="1" s="1"/>
  <c r="AW234" i="1" l="1"/>
  <c r="BA234" i="1" s="1"/>
  <c r="AW430" i="1"/>
  <c r="BA430" i="1" s="1"/>
  <c r="AW487" i="1"/>
  <c r="BA487" i="1" s="1"/>
  <c r="AW489" i="1"/>
  <c r="BA489" i="1" s="1"/>
  <c r="AW206" i="1"/>
  <c r="BA206" i="1" s="1"/>
  <c r="AW205" i="1"/>
  <c r="BA205" i="1" s="1"/>
  <c r="AW233" i="1"/>
  <c r="BA233" i="1" s="1"/>
  <c r="AW346" i="1"/>
  <c r="BA346" i="1" s="1"/>
  <c r="AW431" i="1"/>
  <c r="BA431" i="1" s="1"/>
  <c r="AW488" i="1"/>
  <c r="BA488" i="1" s="1"/>
  <c r="AW490" i="1"/>
  <c r="BA490" i="1" s="1"/>
  <c r="M91" i="5"/>
  <c r="G135" i="6" l="1"/>
  <c r="G134" i="6"/>
  <c r="G133" i="6"/>
  <c r="G132" i="6"/>
  <c r="G131" i="6"/>
  <c r="G130" i="6"/>
  <c r="G129" i="6"/>
  <c r="G128" i="6"/>
  <c r="G127" i="6"/>
  <c r="G126" i="6"/>
  <c r="G125" i="6"/>
  <c r="G124" i="6"/>
  <c r="G123" i="6"/>
  <c r="G122" i="6"/>
  <c r="G121" i="6"/>
  <c r="G118" i="6"/>
  <c r="G117" i="6"/>
  <c r="G116" i="6"/>
  <c r="G115" i="6"/>
  <c r="G114" i="6"/>
  <c r="G113" i="6"/>
  <c r="G112" i="6"/>
  <c r="G109" i="6"/>
  <c r="G108" i="6"/>
  <c r="G101" i="6"/>
  <c r="G100" i="6"/>
  <c r="G99" i="6"/>
  <c r="G98" i="6"/>
  <c r="G97" i="6"/>
  <c r="B91" i="6"/>
  <c r="B90" i="6"/>
  <c r="F91" i="6"/>
  <c r="G91" i="6" s="1"/>
  <c r="F90" i="6"/>
  <c r="G90" i="6" s="1"/>
  <c r="K91" i="6"/>
  <c r="K90" i="6"/>
  <c r="K50" i="7" l="1"/>
  <c r="K49" i="7"/>
  <c r="K48" i="7"/>
  <c r="K47" i="7"/>
  <c r="K46" i="7"/>
  <c r="K45" i="7"/>
  <c r="K44" i="7"/>
  <c r="K43" i="7"/>
  <c r="K42" i="7"/>
  <c r="K41" i="7"/>
  <c r="K40" i="7"/>
  <c r="K39" i="7"/>
  <c r="K38" i="7"/>
  <c r="K37" i="7"/>
  <c r="K36" i="7"/>
  <c r="K35" i="7"/>
  <c r="K34" i="7"/>
  <c r="K33" i="7"/>
  <c r="K32" i="7"/>
  <c r="K22" i="7"/>
  <c r="K21" i="7"/>
  <c r="K20" i="7"/>
  <c r="K19" i="7"/>
  <c r="K18" i="7"/>
  <c r="K17" i="7"/>
  <c r="K16" i="7"/>
  <c r="K15" i="7"/>
  <c r="K14" i="7"/>
  <c r="K13" i="7"/>
  <c r="K12" i="7"/>
  <c r="K11" i="7"/>
  <c r="K10" i="7"/>
  <c r="T391" i="8" l="1"/>
  <c r="T388" i="8"/>
  <c r="T90" i="8"/>
  <c r="AS236" i="1" l="1"/>
  <c r="AJ236" i="1"/>
  <c r="AP236" i="1" s="1"/>
  <c r="AS203" i="1"/>
  <c r="AJ203" i="1"/>
  <c r="AP203" i="1" s="1"/>
  <c r="AW203" i="1" l="1"/>
  <c r="BA203" i="1" s="1"/>
  <c r="AW236" i="1"/>
  <c r="BA236" i="1" s="1"/>
  <c r="I98" i="8"/>
  <c r="T96" i="8"/>
  <c r="T99" i="8" s="1"/>
  <c r="T52" i="8"/>
  <c r="T97" i="8" l="1"/>
  <c r="T98" i="8"/>
  <c r="X77" i="9"/>
  <c r="X81" i="9" s="1"/>
  <c r="X124" i="9"/>
  <c r="X129" i="9" s="1"/>
  <c r="X120" i="9"/>
  <c r="X123" i="9" s="1"/>
  <c r="X114" i="9"/>
  <c r="X115" i="9" s="1"/>
  <c r="X110" i="9"/>
  <c r="X111" i="9" s="1"/>
  <c r="X108" i="9"/>
  <c r="X109" i="9" s="1"/>
  <c r="X104" i="9"/>
  <c r="X107" i="9" s="1"/>
  <c r="X100" i="9"/>
  <c r="X103" i="9" s="1"/>
  <c r="X96" i="9"/>
  <c r="X99" i="9" s="1"/>
  <c r="X91" i="9"/>
  <c r="X95" i="9" s="1"/>
  <c r="X89" i="9"/>
  <c r="X90" i="9" s="1"/>
  <c r="X84" i="9"/>
  <c r="X88" i="9" s="1"/>
  <c r="X83" i="9"/>
  <c r="X79" i="9"/>
  <c r="X73" i="9"/>
  <c r="X76" i="9" s="1"/>
  <c r="X69" i="9"/>
  <c r="X72" i="9" s="1"/>
  <c r="X65" i="9"/>
  <c r="X68" i="9" s="1"/>
  <c r="X61" i="9"/>
  <c r="X64" i="9" s="1"/>
  <c r="X45" i="9"/>
  <c r="X48" i="9" s="1"/>
  <c r="X59" i="9"/>
  <c r="X60" i="9" s="1"/>
  <c r="X57" i="9"/>
  <c r="X58" i="9" s="1"/>
  <c r="X55" i="9"/>
  <c r="X56" i="9" s="1"/>
  <c r="X53" i="9"/>
  <c r="X54" i="9" s="1"/>
  <c r="X51" i="9"/>
  <c r="X52" i="9" s="1"/>
  <c r="X49" i="9"/>
  <c r="X50" i="9" s="1"/>
  <c r="X39" i="9"/>
  <c r="X31" i="9" s="1"/>
  <c r="X32" i="9" s="1"/>
  <c r="X37" i="9"/>
  <c r="X38" i="9" s="1"/>
  <c r="X35" i="9"/>
  <c r="X36" i="9" s="1"/>
  <c r="X33" i="9"/>
  <c r="X34" i="9" s="1"/>
  <c r="X29" i="9"/>
  <c r="X30" i="9" s="1"/>
  <c r="X27" i="9"/>
  <c r="X28" i="9" s="1"/>
  <c r="X23" i="9"/>
  <c r="X24" i="9" s="1"/>
  <c r="X21" i="9"/>
  <c r="X22" i="9" s="1"/>
  <c r="X17" i="9"/>
  <c r="X78" i="9" l="1"/>
  <c r="X82" i="9"/>
  <c r="X80" i="9"/>
  <c r="X62" i="9"/>
  <c r="X41" i="9"/>
  <c r="X63" i="9"/>
  <c r="X42" i="9"/>
  <c r="X43" i="9"/>
  <c r="X40" i="9"/>
  <c r="X44" i="9"/>
  <c r="X66" i="9"/>
  <c r="X67" i="9"/>
  <c r="X70" i="9"/>
  <c r="X71" i="9"/>
  <c r="X74" i="9"/>
  <c r="X75" i="9"/>
  <c r="X85" i="9"/>
  <c r="X86" i="9"/>
  <c r="X87" i="9"/>
  <c r="X92" i="9"/>
  <c r="X93" i="9"/>
  <c r="X94" i="9"/>
  <c r="X97" i="9"/>
  <c r="X98" i="9"/>
  <c r="X101" i="9"/>
  <c r="X102" i="9"/>
  <c r="X105" i="9"/>
  <c r="X106" i="9"/>
  <c r="X113" i="9"/>
  <c r="X121" i="9"/>
  <c r="X122" i="9"/>
  <c r="X125" i="9"/>
  <c r="X126" i="9"/>
  <c r="X127" i="9"/>
  <c r="X128" i="9"/>
  <c r="X46" i="9"/>
  <c r="X47" i="9"/>
  <c r="I172" i="6"/>
  <c r="I171" i="6"/>
  <c r="I170" i="6"/>
  <c r="I169" i="6"/>
  <c r="I166" i="6"/>
  <c r="I165" i="6"/>
  <c r="I164" i="6"/>
  <c r="I163" i="6"/>
  <c r="I162" i="6"/>
  <c r="I161" i="6"/>
  <c r="I160" i="6"/>
  <c r="I158" i="6"/>
  <c r="I157" i="6"/>
  <c r="I156" i="6"/>
  <c r="C25" i="2" l="1"/>
  <c r="T25" i="2"/>
  <c r="U25" i="2" s="1"/>
  <c r="A24" i="2"/>
  <c r="AL77" i="1"/>
  <c r="AJ77" i="1"/>
  <c r="AL76" i="1"/>
  <c r="AJ76" i="1"/>
  <c r="V75" i="1" l="1"/>
  <c r="BA74" i="1" s="1"/>
  <c r="V49" i="1"/>
  <c r="V45" i="1"/>
  <c r="V40" i="1"/>
  <c r="V48" i="1"/>
  <c r="V43" i="1"/>
  <c r="V39" i="1"/>
  <c r="V46" i="1"/>
  <c r="V47" i="1"/>
  <c r="V42" i="1"/>
  <c r="V38" i="1"/>
  <c r="V41" i="1"/>
  <c r="V44" i="1"/>
  <c r="V23" i="1"/>
  <c r="V22" i="1"/>
  <c r="V69" i="1"/>
  <c r="AB69" i="1" s="1"/>
  <c r="V21" i="1"/>
  <c r="V63" i="1"/>
  <c r="V61" i="1"/>
  <c r="V60" i="1"/>
  <c r="AL75" i="1"/>
  <c r="AB75" i="1" l="1"/>
  <c r="AF75" i="1" s="1"/>
  <c r="AR75" i="1" s="1"/>
  <c r="BA38" i="1"/>
  <c r="BA37" i="1"/>
  <c r="BA49" i="1"/>
  <c r="AB49" i="1"/>
  <c r="AB48" i="1"/>
  <c r="BA48" i="1"/>
  <c r="AB45" i="1"/>
  <c r="BA45" i="1"/>
  <c r="BA46" i="1"/>
  <c r="AB46" i="1"/>
  <c r="BA43" i="1"/>
  <c r="AB43" i="1"/>
  <c r="AB42" i="1"/>
  <c r="BA42" i="1"/>
  <c r="BA39" i="1"/>
  <c r="AB39" i="1"/>
  <c r="AB40" i="1"/>
  <c r="BA40" i="1"/>
  <c r="AB41" i="1"/>
  <c r="BA41" i="1"/>
  <c r="AB44" i="1"/>
  <c r="BA44" i="1"/>
  <c r="AB47" i="1"/>
  <c r="BA47" i="1"/>
  <c r="AB38" i="1"/>
  <c r="BA22" i="1"/>
  <c r="AB22" i="1"/>
  <c r="BA23" i="1"/>
  <c r="AB23" i="1"/>
  <c r="BA21" i="1"/>
  <c r="AB21" i="1"/>
  <c r="BA63" i="1"/>
  <c r="AB63" i="1"/>
  <c r="BA60" i="1"/>
  <c r="AB60" i="1"/>
  <c r="BA61" i="1"/>
  <c r="AB61" i="1"/>
  <c r="BA75" i="1"/>
  <c r="BA78" i="1"/>
  <c r="BA77" i="1"/>
  <c r="BA76" i="1"/>
  <c r="AJ513" i="1"/>
  <c r="AJ197" i="1"/>
  <c r="AR47" i="1" l="1"/>
  <c r="AR45" i="1"/>
  <c r="AR46" i="1"/>
  <c r="AR44" i="1"/>
  <c r="AR40" i="1"/>
  <c r="AR42" i="1"/>
  <c r="AR48" i="1"/>
  <c r="AR41" i="1"/>
  <c r="AR39" i="1"/>
  <c r="AR43" i="1"/>
  <c r="AR49" i="1"/>
  <c r="AR38" i="1"/>
  <c r="AV75" i="1"/>
  <c r="AV38" i="1" l="1"/>
  <c r="BA83" i="1"/>
  <c r="BA113" i="1" s="1"/>
  <c r="AL112" i="1"/>
  <c r="AF112" i="1"/>
  <c r="AB112" i="1"/>
  <c r="V106" i="1"/>
  <c r="T106" i="1"/>
  <c r="J23" i="9" l="1"/>
  <c r="L32" i="9"/>
  <c r="S31" i="9" s="1"/>
  <c r="T31" i="9" s="1"/>
  <c r="W31" i="9" s="1"/>
  <c r="L30" i="9"/>
  <c r="S29" i="9" s="1"/>
  <c r="T29" i="9" s="1"/>
  <c r="W29" i="9" s="1"/>
  <c r="L28" i="9"/>
  <c r="S27" i="9" s="1"/>
  <c r="T27" i="9" s="1"/>
  <c r="W27" i="9" s="1"/>
  <c r="L24" i="9"/>
  <c r="S23" i="9" s="1"/>
  <c r="T23" i="9" l="1"/>
  <c r="W23" i="9" s="1"/>
  <c r="X11" i="9"/>
  <c r="X16" i="9" s="1"/>
  <c r="X5" i="9"/>
  <c r="X10" i="9" s="1"/>
  <c r="L40" i="9"/>
  <c r="X6" i="9" l="1"/>
  <c r="X7" i="9"/>
  <c r="X8" i="9"/>
  <c r="X9" i="9"/>
  <c r="X12" i="9"/>
  <c r="X13" i="9"/>
  <c r="X14" i="9"/>
  <c r="X15" i="9"/>
  <c r="P128" i="1"/>
  <c r="X131" i="1" s="1"/>
  <c r="Z130" i="1" l="1"/>
  <c r="Z131" i="1"/>
  <c r="X130" i="1"/>
  <c r="P31" i="1"/>
  <c r="P32" i="1"/>
  <c r="H53" i="8" l="1"/>
  <c r="T468" i="8"/>
  <c r="T456" i="8"/>
  <c r="O479" i="8"/>
  <c r="R479" i="8" s="1"/>
  <c r="T479" i="8" l="1"/>
  <c r="AX7" i="1"/>
  <c r="X128" i="1" s="1"/>
  <c r="X129" i="1" s="1"/>
  <c r="AU7" i="1"/>
  <c r="O467" i="8" l="1"/>
  <c r="R467" i="8" l="1"/>
  <c r="T467" i="8" s="1"/>
  <c r="H472" i="8"/>
  <c r="K328" i="8"/>
  <c r="T355" i="8"/>
  <c r="T357" i="8" s="1"/>
  <c r="T339" i="8"/>
  <c r="T340" i="8" s="1"/>
  <c r="K278" i="8"/>
  <c r="T291" i="8"/>
  <c r="T356" i="8" l="1"/>
  <c r="T292" i="8"/>
  <c r="L240" i="8"/>
  <c r="L235" i="8"/>
  <c r="L227" i="8"/>
  <c r="T212" i="8" l="1"/>
  <c r="N223" i="8"/>
  <c r="N222" i="8"/>
  <c r="L213" i="8" s="1"/>
  <c r="L214" i="8" s="1"/>
  <c r="T223" i="8"/>
  <c r="T222" i="8"/>
  <c r="K71" i="10"/>
  <c r="K70" i="10"/>
  <c r="K69" i="10"/>
  <c r="H71" i="10"/>
  <c r="H70" i="10"/>
  <c r="H69" i="10"/>
  <c r="E71" i="10"/>
  <c r="E70" i="10"/>
  <c r="E69" i="10"/>
  <c r="T86" i="8"/>
  <c r="T89" i="8" s="1"/>
  <c r="T224" i="8" l="1"/>
  <c r="T221" i="8"/>
  <c r="T219" i="8"/>
  <c r="T87" i="8"/>
  <c r="T88" i="8"/>
  <c r="T45" i="8"/>
  <c r="T48" i="8" s="1"/>
  <c r="T46" i="8" l="1"/>
  <c r="T47" i="8"/>
  <c r="T419" i="8" l="1"/>
  <c r="A400" i="8" l="1"/>
  <c r="Q3" i="8" s="1"/>
  <c r="H444" i="8" l="1"/>
  <c r="H451" i="8"/>
  <c r="H449" i="8"/>
  <c r="H447" i="8"/>
  <c r="H462" i="8"/>
  <c r="H460" i="8"/>
  <c r="H458" i="8"/>
  <c r="H470" i="8"/>
  <c r="H474" i="8"/>
  <c r="H486" i="8"/>
  <c r="H484" i="8"/>
  <c r="H482" i="8"/>
  <c r="H495" i="8"/>
  <c r="H493" i="8"/>
  <c r="H497" i="8"/>
  <c r="H506" i="8"/>
  <c r="H502" i="8"/>
  <c r="H513" i="8" l="1"/>
  <c r="H515" i="8"/>
  <c r="H520" i="8" l="1"/>
  <c r="H531" i="8"/>
  <c r="H527" i="8"/>
  <c r="H545" i="8"/>
  <c r="H548" i="8"/>
  <c r="T546" i="8"/>
  <c r="T525" i="8"/>
  <c r="T518" i="8"/>
  <c r="T541" i="8" l="1"/>
  <c r="T534" i="8"/>
  <c r="T539" i="8" s="1"/>
  <c r="T540" i="8" l="1"/>
  <c r="T538" i="8"/>
  <c r="T537" i="8"/>
  <c r="T536" i="8"/>
  <c r="T535" i="8"/>
  <c r="H422" i="8"/>
  <c r="P590" i="10" l="1"/>
  <c r="P589" i="10"/>
  <c r="P588" i="10"/>
  <c r="P587" i="10"/>
  <c r="P586" i="10"/>
  <c r="AB134" i="4"/>
  <c r="AB113" i="4"/>
  <c r="AB91" i="4"/>
  <c r="AB71" i="4"/>
  <c r="AS449" i="1"/>
  <c r="AS448" i="1"/>
  <c r="AS447" i="1"/>
  <c r="AS446" i="1"/>
  <c r="AS445" i="1"/>
  <c r="AS444" i="1"/>
  <c r="AS443" i="1"/>
  <c r="AS441" i="1"/>
  <c r="AS440" i="1"/>
  <c r="AS439" i="1"/>
  <c r="AS438" i="1"/>
  <c r="AS437" i="1"/>
  <c r="AS436" i="1"/>
  <c r="AS435" i="1"/>
  <c r="AS434" i="1"/>
  <c r="AS432" i="1"/>
  <c r="AS429" i="1"/>
  <c r="AS428" i="1"/>
  <c r="AS427" i="1"/>
  <c r="AS426" i="1"/>
  <c r="AS425" i="1"/>
  <c r="AS424" i="1"/>
  <c r="AS423" i="1"/>
  <c r="AS422" i="1"/>
  <c r="AS421" i="1"/>
  <c r="AS420" i="1"/>
  <c r="AS419" i="1"/>
  <c r="AS418" i="1"/>
  <c r="AS417" i="1"/>
  <c r="AS415" i="1"/>
  <c r="AS414" i="1"/>
  <c r="AS413" i="1"/>
  <c r="AS412" i="1"/>
  <c r="AS411" i="1"/>
  <c r="AS410" i="1"/>
  <c r="AS409" i="1"/>
  <c r="AS408" i="1"/>
  <c r="AS406" i="1"/>
  <c r="AS405" i="1"/>
  <c r="AS404" i="1"/>
  <c r="AS403" i="1"/>
  <c r="AS401" i="1"/>
  <c r="AS400" i="1"/>
  <c r="AS399" i="1"/>
  <c r="AS398" i="1"/>
  <c r="AS397" i="1"/>
  <c r="AS396" i="1"/>
  <c r="AS395" i="1"/>
  <c r="AS394" i="1"/>
  <c r="AS393" i="1"/>
  <c r="AS392" i="1"/>
  <c r="AS391" i="1"/>
  <c r="AS390" i="1"/>
  <c r="AS389" i="1"/>
  <c r="AS387" i="1"/>
  <c r="AS386" i="1"/>
  <c r="AS385" i="1"/>
  <c r="AS384" i="1"/>
  <c r="AS382" i="1"/>
  <c r="AS381" i="1"/>
  <c r="AS380" i="1"/>
  <c r="AS379" i="1"/>
  <c r="AS378" i="1"/>
  <c r="AS377" i="1"/>
  <c r="H428" i="8" l="1"/>
  <c r="H425" i="8"/>
  <c r="T427" i="8"/>
  <c r="T424" i="8"/>
  <c r="N61" i="6" l="1"/>
  <c r="N53" i="6"/>
  <c r="N110" i="6"/>
  <c r="N107" i="6"/>
  <c r="N106" i="6"/>
  <c r="N105" i="6"/>
  <c r="N104" i="6"/>
  <c r="I107" i="6"/>
  <c r="O90" i="5" l="1"/>
  <c r="N90" i="5"/>
  <c r="M90" i="5"/>
  <c r="K90" i="5"/>
  <c r="J90" i="5"/>
  <c r="T399" i="8" l="1"/>
  <c r="T218" i="8" l="1"/>
  <c r="T217" i="8"/>
  <c r="T216" i="8"/>
  <c r="T215" i="8"/>
  <c r="T214" i="8"/>
  <c r="T213" i="8"/>
  <c r="R213" i="10"/>
  <c r="Q213" i="10"/>
  <c r="P213" i="10"/>
  <c r="O213" i="10"/>
  <c r="N213" i="10"/>
  <c r="M213" i="10"/>
  <c r="L213" i="10"/>
  <c r="K213" i="10"/>
  <c r="J213" i="10"/>
  <c r="I213" i="10"/>
  <c r="H213" i="10"/>
  <c r="G213" i="10"/>
  <c r="F213" i="10"/>
  <c r="E213" i="10"/>
  <c r="D213" i="10"/>
  <c r="R212" i="10"/>
  <c r="Q212" i="10"/>
  <c r="P212" i="10"/>
  <c r="O212" i="10"/>
  <c r="N212" i="10"/>
  <c r="M212" i="10"/>
  <c r="L212" i="10"/>
  <c r="K212" i="10"/>
  <c r="J212" i="10"/>
  <c r="I212" i="10"/>
  <c r="H212" i="10"/>
  <c r="G212" i="10"/>
  <c r="F212" i="10"/>
  <c r="E212" i="10"/>
  <c r="D212" i="10"/>
  <c r="R211" i="10"/>
  <c r="Q211" i="10"/>
  <c r="P211" i="10"/>
  <c r="O211" i="10"/>
  <c r="N211" i="10"/>
  <c r="M211" i="10"/>
  <c r="L211" i="10"/>
  <c r="K211" i="10"/>
  <c r="J211" i="10"/>
  <c r="I211" i="10"/>
  <c r="H211" i="10"/>
  <c r="G211" i="10"/>
  <c r="F211" i="10"/>
  <c r="E211" i="10"/>
  <c r="D211" i="10"/>
  <c r="R209" i="10"/>
  <c r="Q209" i="10"/>
  <c r="P209" i="10"/>
  <c r="O209" i="10"/>
  <c r="N209" i="10"/>
  <c r="M209" i="10"/>
  <c r="L209" i="10"/>
  <c r="K209" i="10"/>
  <c r="J209" i="10"/>
  <c r="I209" i="10"/>
  <c r="H209" i="10"/>
  <c r="G209" i="10"/>
  <c r="F209" i="10"/>
  <c r="E209" i="10"/>
  <c r="D209" i="10"/>
  <c r="T57" i="8"/>
  <c r="T41" i="8"/>
  <c r="T62" i="8" l="1"/>
  <c r="B10" i="10"/>
  <c r="B9" i="10"/>
  <c r="B8" i="10"/>
  <c r="B519" i="10" s="1"/>
  <c r="B7" i="10"/>
  <c r="B6" i="10"/>
  <c r="B535" i="10"/>
  <c r="B533" i="10"/>
  <c r="B514" i="10"/>
  <c r="B511" i="10"/>
  <c r="B505" i="10"/>
  <c r="B504" i="10"/>
  <c r="B497" i="10"/>
  <c r="B493" i="10"/>
  <c r="B490" i="10"/>
  <c r="B486" i="10"/>
  <c r="B484" i="10"/>
  <c r="B483" i="10"/>
  <c r="B479" i="10"/>
  <c r="B476" i="10"/>
  <c r="B472" i="10"/>
  <c r="B469" i="10"/>
  <c r="B468" i="10"/>
  <c r="B465" i="10"/>
  <c r="B462" i="10"/>
  <c r="B461" i="10"/>
  <c r="B458" i="10"/>
  <c r="B455" i="10"/>
  <c r="B454" i="10"/>
  <c r="B444" i="10"/>
  <c r="B441" i="10"/>
  <c r="B440" i="10"/>
  <c r="B437" i="10"/>
  <c r="B434" i="10"/>
  <c r="B433" i="10"/>
  <c r="B430" i="10"/>
  <c r="B427" i="10"/>
  <c r="B426" i="10"/>
  <c r="B423" i="10"/>
  <c r="B420" i="10"/>
  <c r="B419" i="10"/>
  <c r="B416" i="10"/>
  <c r="B413" i="10"/>
  <c r="B412" i="10"/>
  <c r="B409" i="10"/>
  <c r="B406" i="10"/>
  <c r="B405" i="10"/>
  <c r="B402" i="10"/>
  <c r="B399" i="10"/>
  <c r="B398" i="10"/>
  <c r="B395" i="10"/>
  <c r="B392" i="10"/>
  <c r="B391" i="10"/>
  <c r="B388" i="10"/>
  <c r="B385" i="10"/>
  <c r="B384" i="10"/>
  <c r="B381" i="10"/>
  <c r="B378" i="10"/>
  <c r="B377" i="10"/>
  <c r="B374" i="10"/>
  <c r="B371" i="10"/>
  <c r="B370" i="10"/>
  <c r="B367" i="10"/>
  <c r="B364" i="10"/>
  <c r="B363" i="10"/>
  <c r="B360" i="10"/>
  <c r="B357" i="10"/>
  <c r="B356" i="10"/>
  <c r="B353" i="10"/>
  <c r="B350" i="10"/>
  <c r="B349" i="10"/>
  <c r="B346" i="10"/>
  <c r="B343" i="10"/>
  <c r="B342" i="10"/>
  <c r="B339" i="10"/>
  <c r="B337" i="10"/>
  <c r="B336" i="10"/>
  <c r="B335" i="10"/>
  <c r="B332" i="10"/>
  <c r="B330" i="10"/>
  <c r="B329" i="10"/>
  <c r="B328" i="10"/>
  <c r="B325" i="10"/>
  <c r="B323" i="10"/>
  <c r="B322" i="10"/>
  <c r="B321" i="10"/>
  <c r="B318" i="10"/>
  <c r="B316" i="10"/>
  <c r="B315" i="10"/>
  <c r="B314" i="10"/>
  <c r="B311" i="10"/>
  <c r="B309" i="10"/>
  <c r="B308" i="10"/>
  <c r="B307" i="10"/>
  <c r="B304" i="10"/>
  <c r="B302" i="10"/>
  <c r="B301" i="10"/>
  <c r="B300" i="10"/>
  <c r="B297" i="10"/>
  <c r="B295" i="10"/>
  <c r="B294" i="10"/>
  <c r="B293" i="10"/>
  <c r="B276" i="10"/>
  <c r="B274" i="10"/>
  <c r="B273" i="10"/>
  <c r="B272" i="10"/>
  <c r="B269" i="10"/>
  <c r="B267" i="10"/>
  <c r="B266" i="10"/>
  <c r="B265" i="10"/>
  <c r="B262" i="10"/>
  <c r="B260" i="10"/>
  <c r="B259" i="10"/>
  <c r="B258" i="10"/>
  <c r="B248" i="10"/>
  <c r="B246" i="10"/>
  <c r="B245" i="10"/>
  <c r="B244" i="10"/>
  <c r="B241" i="10"/>
  <c r="B239" i="10"/>
  <c r="B238" i="10"/>
  <c r="B237" i="10"/>
  <c r="B227" i="10"/>
  <c r="B225" i="10"/>
  <c r="B224" i="10"/>
  <c r="B223" i="10"/>
  <c r="B220" i="10"/>
  <c r="B218" i="10"/>
  <c r="B217" i="10"/>
  <c r="B216" i="10"/>
  <c r="B213" i="10"/>
  <c r="B211" i="10"/>
  <c r="B210" i="10"/>
  <c r="B209" i="10"/>
  <c r="B206" i="10"/>
  <c r="B204" i="10"/>
  <c r="B203" i="10"/>
  <c r="B202" i="10"/>
  <c r="B199" i="10"/>
  <c r="B197" i="10"/>
  <c r="B196" i="10"/>
  <c r="B195" i="10"/>
  <c r="B192" i="10"/>
  <c r="B190" i="10"/>
  <c r="B189" i="10"/>
  <c r="B188" i="10"/>
  <c r="B143" i="10"/>
  <c r="B141" i="10"/>
  <c r="B140" i="10"/>
  <c r="B139" i="10"/>
  <c r="B136" i="10"/>
  <c r="B134" i="10"/>
  <c r="B133" i="10"/>
  <c r="B132" i="10"/>
  <c r="B87" i="10"/>
  <c r="B85" i="10"/>
  <c r="B84" i="10"/>
  <c r="B83" i="10"/>
  <c r="B80" i="10"/>
  <c r="B78" i="10"/>
  <c r="B77" i="10"/>
  <c r="B76" i="10"/>
  <c r="B73" i="10"/>
  <c r="B71" i="10"/>
  <c r="B70" i="10"/>
  <c r="B69" i="10"/>
  <c r="B66" i="10"/>
  <c r="B64" i="10"/>
  <c r="B63" i="10"/>
  <c r="B62" i="10"/>
  <c r="B59" i="10"/>
  <c r="B57" i="10"/>
  <c r="B56" i="10"/>
  <c r="B55" i="10"/>
  <c r="B45" i="10"/>
  <c r="B43" i="10"/>
  <c r="B42" i="10"/>
  <c r="B41" i="10"/>
  <c r="B38" i="10"/>
  <c r="B36" i="10"/>
  <c r="B35" i="10"/>
  <c r="B34" i="10"/>
  <c r="B31" i="10"/>
  <c r="B29" i="10"/>
  <c r="B28" i="10"/>
  <c r="B27" i="10"/>
  <c r="B24" i="10"/>
  <c r="B22" i="10"/>
  <c r="B21" i="10"/>
  <c r="B20" i="10"/>
  <c r="B17" i="10"/>
  <c r="B15" i="10"/>
  <c r="B14" i="10"/>
  <c r="B13" i="10"/>
  <c r="B477" i="10" l="1"/>
  <c r="B344" i="10"/>
  <c r="B351" i="10"/>
  <c r="B358" i="10"/>
  <c r="B365" i="10"/>
  <c r="B372" i="10"/>
  <c r="B379" i="10"/>
  <c r="B386" i="10"/>
  <c r="B393" i="10"/>
  <c r="B400" i="10"/>
  <c r="B407" i="10"/>
  <c r="B414" i="10"/>
  <c r="B421" i="10"/>
  <c r="B428" i="10"/>
  <c r="B435" i="10"/>
  <c r="B442" i="10"/>
  <c r="B456" i="10"/>
  <c r="B463" i="10"/>
  <c r="B470" i="10"/>
  <c r="B498" i="10"/>
  <c r="B491" i="10"/>
  <c r="B233" i="10"/>
  <c r="B177" i="10"/>
  <c r="B149" i="10"/>
  <c r="B289" i="10"/>
  <c r="B184" i="10"/>
  <c r="B170" i="10"/>
  <c r="B282" i="10"/>
  <c r="B163" i="10"/>
  <c r="B156" i="10"/>
  <c r="B198" i="10"/>
  <c r="B230" i="10"/>
  <c r="B181" i="10"/>
  <c r="B167" i="10"/>
  <c r="B279" i="10"/>
  <c r="B160" i="10"/>
  <c r="B146" i="10"/>
  <c r="B286" i="10"/>
  <c r="B153" i="10"/>
  <c r="B174" i="10"/>
  <c r="B234" i="10"/>
  <c r="B185" i="10"/>
  <c r="B171" i="10"/>
  <c r="B178" i="10"/>
  <c r="B150" i="10"/>
  <c r="B283" i="10"/>
  <c r="B164" i="10"/>
  <c r="B290" i="10"/>
  <c r="B157" i="10"/>
  <c r="B231" i="10"/>
  <c r="B280" i="10"/>
  <c r="B161" i="10"/>
  <c r="B182" i="10"/>
  <c r="B287" i="10"/>
  <c r="B154" i="10"/>
  <c r="B168" i="10"/>
  <c r="B175" i="10"/>
  <c r="B147" i="10"/>
  <c r="B232" i="10"/>
  <c r="B288" i="10"/>
  <c r="B155" i="10"/>
  <c r="B162" i="10"/>
  <c r="B176" i="10"/>
  <c r="B148" i="10"/>
  <c r="B183" i="10"/>
  <c r="B169" i="10"/>
  <c r="B281" i="10"/>
  <c r="B503" i="10"/>
  <c r="B521" i="10"/>
  <c r="B475" i="10"/>
  <c r="B500" i="10"/>
  <c r="B507" i="10"/>
  <c r="B482" i="10"/>
  <c r="B489" i="10"/>
  <c r="B496" i="10"/>
  <c r="B114" i="10"/>
  <c r="B93" i="10"/>
  <c r="B128" i="10"/>
  <c r="B121" i="10"/>
  <c r="B100" i="10"/>
  <c r="B125" i="10"/>
  <c r="B118" i="10"/>
  <c r="B97" i="10"/>
  <c r="B111" i="10"/>
  <c r="B90" i="10"/>
  <c r="B129" i="10"/>
  <c r="B122" i="10"/>
  <c r="B101" i="10"/>
  <c r="B115" i="10"/>
  <c r="B94" i="10"/>
  <c r="B119" i="10"/>
  <c r="B98" i="10"/>
  <c r="B112" i="10"/>
  <c r="B91" i="10"/>
  <c r="B126" i="10"/>
  <c r="B526" i="10"/>
  <c r="B113" i="10"/>
  <c r="B92" i="10"/>
  <c r="B99" i="10"/>
  <c r="B127" i="10"/>
  <c r="B120" i="10"/>
  <c r="B254" i="10"/>
  <c r="B107" i="10"/>
  <c r="B251" i="10"/>
  <c r="B104" i="10"/>
  <c r="B255" i="10"/>
  <c r="B108" i="10"/>
  <c r="B512" i="10"/>
  <c r="B252" i="10"/>
  <c r="B105" i="10"/>
  <c r="B253" i="10"/>
  <c r="B106" i="10"/>
  <c r="B268" i="10"/>
  <c r="B366" i="10"/>
  <c r="B65" i="10"/>
  <c r="B485" i="10"/>
  <c r="B86" i="10"/>
  <c r="B219" i="10"/>
  <c r="B303" i="10"/>
  <c r="B394" i="10"/>
  <c r="B513" i="10"/>
  <c r="B16" i="10"/>
  <c r="B226" i="10"/>
  <c r="B310" i="10"/>
  <c r="B422" i="10"/>
  <c r="B510" i="10"/>
  <c r="B528" i="10"/>
  <c r="B37" i="10"/>
  <c r="B191" i="10"/>
  <c r="B261" i="10"/>
  <c r="B338" i="10"/>
  <c r="B457" i="10"/>
  <c r="B542" i="10"/>
  <c r="B517" i="10"/>
  <c r="B524" i="10"/>
  <c r="B531" i="10"/>
  <c r="B538" i="10"/>
  <c r="B518" i="10"/>
  <c r="B525" i="10"/>
  <c r="B532" i="10"/>
  <c r="B539" i="10"/>
  <c r="B44" i="10"/>
  <c r="B72" i="10"/>
  <c r="B135" i="10"/>
  <c r="B205" i="10"/>
  <c r="B240" i="10"/>
  <c r="B275" i="10"/>
  <c r="B317" i="10"/>
  <c r="B345" i="10"/>
  <c r="B373" i="10"/>
  <c r="B401" i="10"/>
  <c r="B429" i="10"/>
  <c r="B464" i="10"/>
  <c r="B492" i="10"/>
  <c r="B520" i="10"/>
  <c r="B23" i="10"/>
  <c r="B30" i="10"/>
  <c r="B58" i="10"/>
  <c r="B79" i="10"/>
  <c r="B142" i="10"/>
  <c r="B212" i="10"/>
  <c r="B247" i="10"/>
  <c r="B296" i="10"/>
  <c r="B324" i="10"/>
  <c r="B352" i="10"/>
  <c r="B380" i="10"/>
  <c r="B408" i="10"/>
  <c r="B436" i="10"/>
  <c r="B471" i="10"/>
  <c r="B499" i="10"/>
  <c r="B527" i="10"/>
  <c r="B331" i="10"/>
  <c r="B359" i="10"/>
  <c r="B387" i="10"/>
  <c r="B415" i="10"/>
  <c r="B443" i="10"/>
  <c r="B478" i="10"/>
  <c r="B506" i="10"/>
  <c r="B534" i="10"/>
  <c r="B541" i="10"/>
  <c r="B540" i="10"/>
  <c r="T64" i="8"/>
  <c r="T63" i="8"/>
  <c r="B48" i="10"/>
  <c r="B447" i="10"/>
  <c r="B49" i="10"/>
  <c r="B448" i="10"/>
  <c r="B50" i="10"/>
  <c r="B449" i="10"/>
  <c r="B51" i="10"/>
  <c r="B450" i="10"/>
  <c r="B52" i="10"/>
  <c r="B451" i="10"/>
  <c r="AJ362" i="1"/>
  <c r="AP362" i="1" s="1"/>
  <c r="N35" i="6" l="1"/>
  <c r="A61" i="6"/>
  <c r="H3" i="6" s="1"/>
  <c r="A119" i="6"/>
  <c r="J3" i="6" s="1"/>
  <c r="A53" i="6"/>
  <c r="G3" i="6" s="1"/>
  <c r="A35" i="6"/>
  <c r="F3" i="6" s="1"/>
  <c r="I62" i="6"/>
  <c r="N62" i="6" s="1"/>
  <c r="G62" i="6"/>
  <c r="D62" i="6"/>
  <c r="I60" i="6"/>
  <c r="N60" i="6" s="1"/>
  <c r="G60" i="6"/>
  <c r="D60" i="6"/>
  <c r="I59" i="6"/>
  <c r="N59" i="6" s="1"/>
  <c r="G59" i="6"/>
  <c r="D59" i="6"/>
  <c r="I58" i="6"/>
  <c r="N58" i="6" s="1"/>
  <c r="G58" i="6"/>
  <c r="D58" i="6"/>
  <c r="I57" i="6"/>
  <c r="N57" i="6" s="1"/>
  <c r="G57" i="6"/>
  <c r="D57" i="6"/>
  <c r="I56" i="6"/>
  <c r="N56" i="6" s="1"/>
  <c r="G56" i="6"/>
  <c r="D56" i="6"/>
  <c r="G55" i="6"/>
  <c r="D55" i="6"/>
  <c r="G54" i="6"/>
  <c r="D54" i="6"/>
  <c r="I84" i="6"/>
  <c r="N84" i="6" s="1"/>
  <c r="G84" i="6"/>
  <c r="D84" i="6"/>
  <c r="I88" i="6"/>
  <c r="N88" i="6" s="1"/>
  <c r="G88" i="6"/>
  <c r="D88" i="6"/>
  <c r="I87" i="6"/>
  <c r="N87" i="6" s="1"/>
  <c r="G87" i="6"/>
  <c r="D87" i="6"/>
  <c r="I86" i="6"/>
  <c r="N86" i="6" s="1"/>
  <c r="G86" i="6"/>
  <c r="D86" i="6"/>
  <c r="I85" i="6"/>
  <c r="N85" i="6" s="1"/>
  <c r="G85" i="6"/>
  <c r="D85" i="6"/>
  <c r="I65" i="6"/>
  <c r="N65" i="6" s="1"/>
  <c r="G65" i="6"/>
  <c r="D65" i="6"/>
  <c r="I64" i="6"/>
  <c r="N64" i="6" s="1"/>
  <c r="G64" i="6"/>
  <c r="D64" i="6"/>
  <c r="I63" i="6"/>
  <c r="N63" i="6" s="1"/>
  <c r="G63" i="6"/>
  <c r="D63" i="6"/>
  <c r="I83" i="6"/>
  <c r="N83" i="6" s="1"/>
  <c r="G83" i="6"/>
  <c r="D83" i="6"/>
  <c r="I82" i="6"/>
  <c r="N82" i="6" s="1"/>
  <c r="G82" i="6"/>
  <c r="D82" i="6"/>
  <c r="I81" i="6"/>
  <c r="N81" i="6" s="1"/>
  <c r="G81" i="6"/>
  <c r="D81" i="6"/>
  <c r="I80" i="6"/>
  <c r="N80" i="6" s="1"/>
  <c r="G80" i="6"/>
  <c r="D80" i="6"/>
  <c r="I79" i="6"/>
  <c r="N79" i="6" s="1"/>
  <c r="G79" i="6"/>
  <c r="D79" i="6"/>
  <c r="I78" i="6"/>
  <c r="N78" i="6" s="1"/>
  <c r="G78" i="6"/>
  <c r="D78" i="6"/>
  <c r="I77" i="6"/>
  <c r="N77" i="6" s="1"/>
  <c r="G77" i="6"/>
  <c r="D77" i="6"/>
  <c r="I76" i="6"/>
  <c r="N76" i="6" s="1"/>
  <c r="G76" i="6"/>
  <c r="D76" i="6"/>
  <c r="I75" i="6"/>
  <c r="N75" i="6" s="1"/>
  <c r="G75" i="6"/>
  <c r="D75" i="6"/>
  <c r="I74" i="6"/>
  <c r="N74" i="6" s="1"/>
  <c r="G74" i="6"/>
  <c r="D74" i="6"/>
  <c r="I73" i="6"/>
  <c r="N73" i="6" s="1"/>
  <c r="G73" i="6"/>
  <c r="D73" i="6"/>
  <c r="I72" i="6"/>
  <c r="N72" i="6" s="1"/>
  <c r="G72" i="6"/>
  <c r="D72" i="6"/>
  <c r="I71" i="6"/>
  <c r="N71" i="6" s="1"/>
  <c r="G71" i="6"/>
  <c r="D71" i="6"/>
  <c r="I70" i="6"/>
  <c r="N70" i="6" s="1"/>
  <c r="G70" i="6"/>
  <c r="D70" i="6"/>
  <c r="I69" i="6"/>
  <c r="N69" i="6" s="1"/>
  <c r="G69" i="6"/>
  <c r="D69" i="6"/>
  <c r="I68" i="6"/>
  <c r="N68" i="6" s="1"/>
  <c r="G68" i="6"/>
  <c r="D68" i="6"/>
  <c r="I67" i="6"/>
  <c r="N67" i="6" s="1"/>
  <c r="G67" i="6"/>
  <c r="D67" i="6"/>
  <c r="I66" i="6"/>
  <c r="N66" i="6" s="1"/>
  <c r="G66" i="6"/>
  <c r="D66" i="6"/>
  <c r="I52" i="6"/>
  <c r="N52" i="6" s="1"/>
  <c r="G52" i="6"/>
  <c r="D52" i="6"/>
  <c r="I51" i="6"/>
  <c r="N51" i="6" s="1"/>
  <c r="G51" i="6"/>
  <c r="D51" i="6"/>
  <c r="I50" i="6"/>
  <c r="N50" i="6" s="1"/>
  <c r="G50" i="6"/>
  <c r="D50" i="6"/>
  <c r="I49" i="6"/>
  <c r="N49" i="6" s="1"/>
  <c r="G49" i="6"/>
  <c r="D49" i="6"/>
  <c r="I48" i="6"/>
  <c r="N48" i="6" s="1"/>
  <c r="G48" i="6"/>
  <c r="D48" i="6"/>
  <c r="G47" i="6"/>
  <c r="D47" i="6"/>
  <c r="I46" i="6"/>
  <c r="N46" i="6" s="1"/>
  <c r="G46" i="6"/>
  <c r="D46" i="6"/>
  <c r="I45" i="6"/>
  <c r="N45" i="6" s="1"/>
  <c r="G45" i="6"/>
  <c r="D45" i="6"/>
  <c r="I44" i="6"/>
  <c r="N44" i="6" s="1"/>
  <c r="G44" i="6"/>
  <c r="D44" i="6"/>
  <c r="I43" i="6"/>
  <c r="N43" i="6" s="1"/>
  <c r="G43" i="6"/>
  <c r="D43" i="6"/>
  <c r="I42" i="6"/>
  <c r="N42" i="6" s="1"/>
  <c r="G42" i="6"/>
  <c r="D42" i="6"/>
  <c r="I41" i="6"/>
  <c r="N41" i="6" s="1"/>
  <c r="G41" i="6"/>
  <c r="D41" i="6"/>
  <c r="I40" i="6"/>
  <c r="N40" i="6" s="1"/>
  <c r="G40" i="6"/>
  <c r="D40" i="6"/>
  <c r="I39" i="6"/>
  <c r="N39" i="6" s="1"/>
  <c r="G39" i="6"/>
  <c r="D39" i="6"/>
  <c r="I38" i="6"/>
  <c r="N38" i="6" s="1"/>
  <c r="G38" i="6"/>
  <c r="D38" i="6"/>
  <c r="I37" i="6"/>
  <c r="N37" i="6" s="1"/>
  <c r="G37" i="6"/>
  <c r="D37" i="6"/>
  <c r="I36" i="6"/>
  <c r="N36" i="6" s="1"/>
  <c r="G36" i="6"/>
  <c r="D36" i="6"/>
  <c r="I34" i="6"/>
  <c r="N34" i="6" s="1"/>
  <c r="G34" i="6"/>
  <c r="D34" i="6"/>
  <c r="I33" i="6"/>
  <c r="N33" i="6" s="1"/>
  <c r="G33" i="6"/>
  <c r="D33" i="6"/>
  <c r="I32" i="6"/>
  <c r="N32" i="6" s="1"/>
  <c r="G32" i="6"/>
  <c r="D32" i="6"/>
  <c r="I31" i="6"/>
  <c r="N31" i="6" s="1"/>
  <c r="G31" i="6"/>
  <c r="D31" i="6"/>
  <c r="I30" i="6"/>
  <c r="N30" i="6" s="1"/>
  <c r="G30" i="6"/>
  <c r="D30" i="6"/>
  <c r="I29" i="6"/>
  <c r="N29" i="6" s="1"/>
  <c r="G29" i="6"/>
  <c r="D29" i="6"/>
  <c r="I16" i="6"/>
  <c r="N16" i="6" s="1"/>
  <c r="G16" i="6"/>
  <c r="D16" i="6"/>
  <c r="I15" i="6"/>
  <c r="N15" i="6" s="1"/>
  <c r="G15" i="6"/>
  <c r="D15" i="6"/>
  <c r="I14" i="6"/>
  <c r="N14" i="6" s="1"/>
  <c r="G14" i="6"/>
  <c r="D14" i="6"/>
  <c r="I13" i="6"/>
  <c r="N13" i="6" s="1"/>
  <c r="G13" i="6"/>
  <c r="D13" i="6"/>
  <c r="G12" i="6"/>
  <c r="D12" i="6"/>
  <c r="G11" i="6"/>
  <c r="D11" i="6"/>
  <c r="I28" i="6"/>
  <c r="N28" i="6" s="1"/>
  <c r="G28" i="6"/>
  <c r="D28" i="6"/>
  <c r="I27" i="6"/>
  <c r="N27" i="6" s="1"/>
  <c r="G27" i="6"/>
  <c r="D27" i="6"/>
  <c r="I26" i="6"/>
  <c r="N26" i="6" s="1"/>
  <c r="G26" i="6"/>
  <c r="D26" i="6"/>
  <c r="I25" i="6"/>
  <c r="N25" i="6" s="1"/>
  <c r="G25" i="6"/>
  <c r="D25" i="6"/>
  <c r="I24" i="6"/>
  <c r="N24" i="6" s="1"/>
  <c r="G24" i="6"/>
  <c r="D24" i="6"/>
  <c r="I23" i="6"/>
  <c r="N23" i="6" s="1"/>
  <c r="G23" i="6"/>
  <c r="D23" i="6"/>
  <c r="I22" i="6"/>
  <c r="N22" i="6" s="1"/>
  <c r="G22" i="6"/>
  <c r="D22" i="6"/>
  <c r="I21" i="6"/>
  <c r="N21" i="6" s="1"/>
  <c r="G21" i="6"/>
  <c r="D21" i="6"/>
  <c r="I20" i="6"/>
  <c r="N20" i="6" s="1"/>
  <c r="G20" i="6"/>
  <c r="D20" i="6"/>
  <c r="I19" i="6"/>
  <c r="N19" i="6" s="1"/>
  <c r="G19" i="6"/>
  <c r="D19" i="6"/>
  <c r="I18" i="6"/>
  <c r="N18" i="6" s="1"/>
  <c r="G18" i="6"/>
  <c r="D18" i="6"/>
  <c r="G17" i="6"/>
  <c r="I133" i="6"/>
  <c r="N133" i="6" s="1"/>
  <c r="D133" i="6"/>
  <c r="H133" i="6" s="1"/>
  <c r="I132" i="6"/>
  <c r="N132" i="6" s="1"/>
  <c r="D132" i="6"/>
  <c r="H132" i="6" s="1"/>
  <c r="I131" i="6"/>
  <c r="N131" i="6" s="1"/>
  <c r="D131" i="6"/>
  <c r="H131" i="6" s="1"/>
  <c r="I130" i="6"/>
  <c r="N130" i="6" s="1"/>
  <c r="D130" i="6"/>
  <c r="H130" i="6" s="1"/>
  <c r="H19" i="6" l="1"/>
  <c r="H12" i="6"/>
  <c r="H18" i="6"/>
  <c r="J18" i="6" s="1"/>
  <c r="H22" i="6"/>
  <c r="J22" i="6" s="1"/>
  <c r="H26" i="6"/>
  <c r="H14" i="6"/>
  <c r="H30" i="6"/>
  <c r="H34" i="6"/>
  <c r="J34" i="6" s="1"/>
  <c r="H39" i="6"/>
  <c r="H43" i="6"/>
  <c r="H47" i="6"/>
  <c r="H50" i="6"/>
  <c r="J50" i="6" s="1"/>
  <c r="H67" i="6"/>
  <c r="H71" i="6"/>
  <c r="J71" i="6" s="1"/>
  <c r="H75" i="6"/>
  <c r="H79" i="6"/>
  <c r="J79" i="6" s="1"/>
  <c r="H83" i="6"/>
  <c r="H85" i="6"/>
  <c r="J85" i="6" s="1"/>
  <c r="H84" i="6"/>
  <c r="J84" i="6" s="1"/>
  <c r="H59" i="6"/>
  <c r="J59" i="6" s="1"/>
  <c r="H23" i="6"/>
  <c r="H27" i="6"/>
  <c r="J27" i="6" s="1"/>
  <c r="H15" i="6"/>
  <c r="H31" i="6"/>
  <c r="J31" i="6" s="1"/>
  <c r="H36" i="6"/>
  <c r="J36" i="6" s="1"/>
  <c r="H40" i="6"/>
  <c r="J40" i="6" s="1"/>
  <c r="H44" i="6"/>
  <c r="J44" i="6" s="1"/>
  <c r="H51" i="6"/>
  <c r="J51" i="6" s="1"/>
  <c r="H68" i="6"/>
  <c r="H72" i="6"/>
  <c r="J72" i="6" s="1"/>
  <c r="H76" i="6"/>
  <c r="J76" i="6" s="1"/>
  <c r="H80" i="6"/>
  <c r="J80" i="6" s="1"/>
  <c r="H63" i="6"/>
  <c r="H86" i="6"/>
  <c r="H54" i="6"/>
  <c r="H56" i="6"/>
  <c r="J56" i="6" s="1"/>
  <c r="H60" i="6"/>
  <c r="J60" i="6" s="1"/>
  <c r="H21" i="6"/>
  <c r="H25" i="6"/>
  <c r="H11" i="6"/>
  <c r="H13" i="6"/>
  <c r="H29" i="6"/>
  <c r="J29" i="6" s="1"/>
  <c r="H33" i="6"/>
  <c r="J33" i="6" s="1"/>
  <c r="H38" i="6"/>
  <c r="J38" i="6" s="1"/>
  <c r="H42" i="6"/>
  <c r="H46" i="6"/>
  <c r="J46" i="6" s="1"/>
  <c r="H49" i="6"/>
  <c r="J49" i="6" s="1"/>
  <c r="H66" i="6"/>
  <c r="J66" i="6" s="1"/>
  <c r="H70" i="6"/>
  <c r="H74" i="6"/>
  <c r="J74" i="6" s="1"/>
  <c r="H78" i="6"/>
  <c r="J78" i="6" s="1"/>
  <c r="H82" i="6"/>
  <c r="J82" i="6" s="1"/>
  <c r="H65" i="6"/>
  <c r="H88" i="6"/>
  <c r="J88" i="6" s="1"/>
  <c r="H55" i="6"/>
  <c r="H58" i="6"/>
  <c r="J58" i="6" s="1"/>
  <c r="H20" i="6"/>
  <c r="J20" i="6" s="1"/>
  <c r="H24" i="6"/>
  <c r="H28" i="6"/>
  <c r="J28" i="6" s="1"/>
  <c r="H16" i="6"/>
  <c r="J16" i="6" s="1"/>
  <c r="H32" i="6"/>
  <c r="J32" i="6" s="1"/>
  <c r="H37" i="6"/>
  <c r="J37" i="6" s="1"/>
  <c r="H41" i="6"/>
  <c r="J41" i="6" s="1"/>
  <c r="H45" i="6"/>
  <c r="J45" i="6" s="1"/>
  <c r="H48" i="6"/>
  <c r="H52" i="6"/>
  <c r="J52" i="6" s="1"/>
  <c r="H69" i="6"/>
  <c r="J69" i="6" s="1"/>
  <c r="H73" i="6"/>
  <c r="J73" i="6" s="1"/>
  <c r="H77" i="6"/>
  <c r="H81" i="6"/>
  <c r="J81" i="6" s="1"/>
  <c r="H64" i="6"/>
  <c r="J64" i="6" s="1"/>
  <c r="H87" i="6"/>
  <c r="J87" i="6" s="1"/>
  <c r="H57" i="6"/>
  <c r="J57" i="6" s="1"/>
  <c r="H62" i="6"/>
  <c r="J62" i="6" s="1"/>
  <c r="J19" i="6"/>
  <c r="J21" i="6"/>
  <c r="J23" i="6"/>
  <c r="J24" i="6"/>
  <c r="J25" i="6"/>
  <c r="J26" i="6"/>
  <c r="J13" i="6"/>
  <c r="J14" i="6"/>
  <c r="J15" i="6"/>
  <c r="J30" i="6"/>
  <c r="J39" i="6"/>
  <c r="J42" i="6"/>
  <c r="J43" i="6"/>
  <c r="J48" i="6"/>
  <c r="J67" i="6"/>
  <c r="J68" i="6"/>
  <c r="J70" i="6"/>
  <c r="J75" i="6"/>
  <c r="J77" i="6"/>
  <c r="J83" i="6"/>
  <c r="J63" i="6"/>
  <c r="J65" i="6"/>
  <c r="J86" i="6"/>
  <c r="J131" i="6"/>
  <c r="J132" i="6"/>
  <c r="J133" i="6"/>
  <c r="J130" i="6"/>
  <c r="AS637" i="1"/>
  <c r="AJ637" i="1"/>
  <c r="AP637" i="1" s="1"/>
  <c r="AS583" i="1"/>
  <c r="AJ583" i="1"/>
  <c r="AP583" i="1" s="1"/>
  <c r="AS582" i="1"/>
  <c r="AJ582" i="1"/>
  <c r="AP582" i="1" s="1"/>
  <c r="AS581" i="1"/>
  <c r="AJ581" i="1"/>
  <c r="AP581" i="1" s="1"/>
  <c r="AS522" i="1"/>
  <c r="AJ522" i="1"/>
  <c r="AP522" i="1" s="1"/>
  <c r="AS521" i="1"/>
  <c r="AJ521" i="1"/>
  <c r="AP521" i="1" s="1"/>
  <c r="AS512" i="1"/>
  <c r="AJ512" i="1"/>
  <c r="AP512" i="1" s="1"/>
  <c r="AS511" i="1"/>
  <c r="AJ511" i="1"/>
  <c r="AP511" i="1" s="1"/>
  <c r="AS510" i="1"/>
  <c r="AJ510" i="1"/>
  <c r="AP510" i="1" s="1"/>
  <c r="AS509" i="1"/>
  <c r="AJ509" i="1"/>
  <c r="AP509" i="1" s="1"/>
  <c r="AS508" i="1"/>
  <c r="AJ508" i="1"/>
  <c r="AP508" i="1" s="1"/>
  <c r="AW509" i="1" l="1"/>
  <c r="BA509" i="1" s="1"/>
  <c r="AW511" i="1"/>
  <c r="BA511" i="1" s="1"/>
  <c r="AW521" i="1"/>
  <c r="BA521" i="1" s="1"/>
  <c r="AW581" i="1"/>
  <c r="BA581" i="1" s="1"/>
  <c r="AW583" i="1"/>
  <c r="BA583" i="1" s="1"/>
  <c r="AW508" i="1"/>
  <c r="BA508" i="1" s="1"/>
  <c r="AW510" i="1"/>
  <c r="BA510" i="1" s="1"/>
  <c r="AW512" i="1"/>
  <c r="BA512" i="1" s="1"/>
  <c r="AW522" i="1"/>
  <c r="BA522" i="1" s="1"/>
  <c r="AW582" i="1"/>
  <c r="BA582" i="1" s="1"/>
  <c r="AW637" i="1"/>
  <c r="BA637" i="1" s="1"/>
  <c r="AJ446" i="1"/>
  <c r="AP446" i="1" s="1"/>
  <c r="AW446" i="1" s="1"/>
  <c r="BA446" i="1" s="1"/>
  <c r="AJ445" i="1"/>
  <c r="AP445" i="1" s="1"/>
  <c r="AW445" i="1" s="1"/>
  <c r="BA445" i="1" s="1"/>
  <c r="AJ444" i="1"/>
  <c r="AP444" i="1" s="1"/>
  <c r="AW444" i="1" s="1"/>
  <c r="BA444" i="1" s="1"/>
  <c r="AS357" i="1"/>
  <c r="AJ357" i="1"/>
  <c r="AP357" i="1" s="1"/>
  <c r="AS356" i="1"/>
  <c r="AJ356" i="1"/>
  <c r="AP356" i="1" s="1"/>
  <c r="AJ198" i="1"/>
  <c r="AP198" i="1" s="1"/>
  <c r="AS198" i="1"/>
  <c r="AS201" i="1"/>
  <c r="AJ201" i="1"/>
  <c r="AP201" i="1" s="1"/>
  <c r="AS200" i="1"/>
  <c r="AJ200" i="1"/>
  <c r="AP200" i="1" s="1"/>
  <c r="AS199" i="1"/>
  <c r="AJ199" i="1"/>
  <c r="AP199" i="1" s="1"/>
  <c r="AS197" i="1"/>
  <c r="AP197" i="1"/>
  <c r="AW197" i="1" l="1"/>
  <c r="BA197" i="1" s="1"/>
  <c r="AW200" i="1"/>
  <c r="BA200" i="1" s="1"/>
  <c r="AW198" i="1"/>
  <c r="BA198" i="1" s="1"/>
  <c r="AW357" i="1"/>
  <c r="BA357" i="1" s="1"/>
  <c r="AW199" i="1"/>
  <c r="BA199" i="1" s="1"/>
  <c r="AW201" i="1"/>
  <c r="BA201" i="1" s="1"/>
  <c r="AW356" i="1"/>
  <c r="BA356" i="1" s="1"/>
  <c r="AG13" i="3"/>
  <c r="AF13" i="3"/>
  <c r="AG14" i="3" s="1"/>
  <c r="AG11" i="3" s="1"/>
  <c r="AN145" i="1"/>
  <c r="AR127" i="1"/>
  <c r="K133" i="1" s="1"/>
  <c r="AL35" i="1"/>
  <c r="AJ35" i="1"/>
  <c r="AL34" i="1"/>
  <c r="AJ34" i="1"/>
  <c r="AL33" i="1"/>
  <c r="AJ33" i="1"/>
  <c r="AL32" i="1"/>
  <c r="AJ32" i="1"/>
  <c r="AL31" i="1"/>
  <c r="AJ31" i="1"/>
  <c r="AG675" i="1"/>
  <c r="AG12" i="3" l="1"/>
  <c r="AR145" i="1"/>
  <c r="I118" i="6"/>
  <c r="N118" i="6" s="1"/>
  <c r="D118" i="6"/>
  <c r="H118" i="6" s="1"/>
  <c r="I117" i="6"/>
  <c r="N117" i="6" s="1"/>
  <c r="D117" i="6"/>
  <c r="H117" i="6" s="1"/>
  <c r="N111" i="6"/>
  <c r="I116" i="6"/>
  <c r="N116" i="6" s="1"/>
  <c r="I115" i="6"/>
  <c r="N115" i="6" s="1"/>
  <c r="I114" i="6"/>
  <c r="N114" i="6" s="1"/>
  <c r="I113" i="6"/>
  <c r="N113" i="6" s="1"/>
  <c r="I112" i="6"/>
  <c r="D116" i="6"/>
  <c r="H116" i="6" s="1"/>
  <c r="D115" i="6"/>
  <c r="H115" i="6" s="1"/>
  <c r="D114" i="6"/>
  <c r="H114" i="6" s="1"/>
  <c r="D113" i="6"/>
  <c r="H113" i="6" s="1"/>
  <c r="D112" i="6"/>
  <c r="H112" i="6" s="1"/>
  <c r="J114" i="6" l="1"/>
  <c r="J116" i="6"/>
  <c r="J113" i="6"/>
  <c r="J115" i="6"/>
  <c r="J117" i="6"/>
  <c r="J118" i="6"/>
  <c r="J112" i="6"/>
  <c r="N112" i="6"/>
  <c r="L42" i="9" l="1"/>
  <c r="L44" i="9"/>
  <c r="S39" i="9" l="1"/>
  <c r="T39" i="9" s="1"/>
  <c r="W39" i="9" s="1"/>
  <c r="AS640" i="1"/>
  <c r="AJ640" i="1"/>
  <c r="AP640" i="1" s="1"/>
  <c r="AS639" i="1"/>
  <c r="AJ639" i="1"/>
  <c r="AP639" i="1"/>
  <c r="AS638" i="1"/>
  <c r="AJ638" i="1"/>
  <c r="AP638" i="1" s="1"/>
  <c r="AS636" i="1"/>
  <c r="AJ636" i="1"/>
  <c r="AP636" i="1" s="1"/>
  <c r="AS635" i="1"/>
  <c r="AJ635" i="1"/>
  <c r="AP635" i="1" s="1"/>
  <c r="AJ634" i="1"/>
  <c r="AP634" i="1" s="1"/>
  <c r="AS633" i="1"/>
  <c r="AJ633" i="1"/>
  <c r="AP633" i="1" s="1"/>
  <c r="AS632" i="1"/>
  <c r="AJ632" i="1"/>
  <c r="AP632" i="1" s="1"/>
  <c r="AS631" i="1"/>
  <c r="AJ631" i="1"/>
  <c r="AP631" i="1" s="1"/>
  <c r="AS630" i="1"/>
  <c r="AJ630" i="1"/>
  <c r="AP630" i="1" s="1"/>
  <c r="AS629" i="1"/>
  <c r="AJ629" i="1"/>
  <c r="AP629" i="1" s="1"/>
  <c r="AS628" i="1"/>
  <c r="AJ628" i="1"/>
  <c r="AP628" i="1"/>
  <c r="AS627" i="1"/>
  <c r="AJ627" i="1"/>
  <c r="AP627" i="1" s="1"/>
  <c r="AS626" i="1"/>
  <c r="AJ626" i="1"/>
  <c r="AP626" i="1" s="1"/>
  <c r="AS625" i="1"/>
  <c r="AJ625" i="1"/>
  <c r="AP625" i="1" s="1"/>
  <c r="AS624" i="1"/>
  <c r="AJ624" i="1"/>
  <c r="AP624" i="1" s="1"/>
  <c r="AS623" i="1"/>
  <c r="AJ623" i="1"/>
  <c r="AP623" i="1" s="1"/>
  <c r="AS622" i="1"/>
  <c r="AJ622" i="1"/>
  <c r="AP622" i="1" s="1"/>
  <c r="AS621" i="1"/>
  <c r="AJ621" i="1"/>
  <c r="AP621" i="1" s="1"/>
  <c r="AS620" i="1"/>
  <c r="AJ620" i="1"/>
  <c r="AP620" i="1" s="1"/>
  <c r="AS619" i="1"/>
  <c r="AJ619" i="1"/>
  <c r="AP619" i="1" s="1"/>
  <c r="AJ618" i="1"/>
  <c r="AP618" i="1" s="1"/>
  <c r="AS617" i="1"/>
  <c r="AJ617" i="1"/>
  <c r="AP617" i="1" s="1"/>
  <c r="AJ616" i="1"/>
  <c r="AP616" i="1" s="1"/>
  <c r="AJ615" i="1"/>
  <c r="AP615" i="1" s="1"/>
  <c r="AS614" i="1"/>
  <c r="AJ614" i="1"/>
  <c r="AP614" i="1" s="1"/>
  <c r="AS613" i="1"/>
  <c r="AJ613" i="1"/>
  <c r="AP613" i="1" s="1"/>
  <c r="AS612" i="1"/>
  <c r="AJ612" i="1"/>
  <c r="AP612" i="1" s="1"/>
  <c r="AS611" i="1"/>
  <c r="AJ611" i="1"/>
  <c r="AP611" i="1" s="1"/>
  <c r="AS610" i="1"/>
  <c r="AJ610" i="1"/>
  <c r="AP610" i="1" s="1"/>
  <c r="AS609" i="1"/>
  <c r="AJ609" i="1"/>
  <c r="AP609" i="1" s="1"/>
  <c r="AS608" i="1"/>
  <c r="AJ608" i="1"/>
  <c r="AP608" i="1" s="1"/>
  <c r="AS607" i="1"/>
  <c r="AJ607" i="1"/>
  <c r="AP607" i="1" s="1"/>
  <c r="AS606" i="1"/>
  <c r="AJ606" i="1"/>
  <c r="AP606" i="1" s="1"/>
  <c r="AS605" i="1"/>
  <c r="AJ605" i="1"/>
  <c r="AP605" i="1" s="1"/>
  <c r="AS604" i="1"/>
  <c r="AJ604" i="1"/>
  <c r="AP604" i="1" s="1"/>
  <c r="AJ603" i="1"/>
  <c r="AP603" i="1" s="1"/>
  <c r="AW603" i="1" s="1"/>
  <c r="AJ641" i="1"/>
  <c r="AP641" i="1" s="1"/>
  <c r="AJ642" i="1"/>
  <c r="AP642" i="1" s="1"/>
  <c r="AW642" i="1" s="1"/>
  <c r="AJ643" i="1"/>
  <c r="AP643" i="1" s="1"/>
  <c r="AJ650" i="1"/>
  <c r="AP650" i="1" s="1"/>
  <c r="AW650" i="1" s="1"/>
  <c r="BA650" i="1" s="1"/>
  <c r="AP652" i="1"/>
  <c r="AW652" i="1" s="1"/>
  <c r="AP653" i="1"/>
  <c r="AW653" i="1" s="1"/>
  <c r="AP654" i="1"/>
  <c r="AW654" i="1" s="1"/>
  <c r="AS586" i="1"/>
  <c r="AJ586" i="1"/>
  <c r="AP586" i="1" s="1"/>
  <c r="AS585" i="1"/>
  <c r="AJ585" i="1"/>
  <c r="AP585" i="1" s="1"/>
  <c r="AS584" i="1"/>
  <c r="AJ584" i="1"/>
  <c r="AP584" i="1" s="1"/>
  <c r="AS580" i="1"/>
  <c r="AJ580" i="1"/>
  <c r="AP580" i="1" s="1"/>
  <c r="AS579" i="1"/>
  <c r="AJ579" i="1"/>
  <c r="AP579" i="1" s="1"/>
  <c r="AS578" i="1"/>
  <c r="AJ578" i="1"/>
  <c r="AP578" i="1" s="1"/>
  <c r="AS577" i="1"/>
  <c r="AJ577" i="1"/>
  <c r="AP577" i="1" s="1"/>
  <c r="AS576" i="1"/>
  <c r="AJ576" i="1"/>
  <c r="AP576" i="1" s="1"/>
  <c r="AS575" i="1"/>
  <c r="AJ575" i="1"/>
  <c r="AP575" i="1" s="1"/>
  <c r="AS574" i="1"/>
  <c r="AJ574" i="1"/>
  <c r="AP574" i="1" s="1"/>
  <c r="AS573" i="1"/>
  <c r="AJ573" i="1"/>
  <c r="AP573" i="1" s="1"/>
  <c r="AS572" i="1"/>
  <c r="AJ572" i="1"/>
  <c r="AP572" i="1" s="1"/>
  <c r="AS571" i="1"/>
  <c r="AJ571" i="1"/>
  <c r="AP571" i="1" s="1"/>
  <c r="AS570" i="1"/>
  <c r="AJ570" i="1"/>
  <c r="AP570" i="1" s="1"/>
  <c r="AS569" i="1"/>
  <c r="AJ569" i="1"/>
  <c r="AP569" i="1" s="1"/>
  <c r="AS568" i="1"/>
  <c r="AJ568" i="1"/>
  <c r="AP568" i="1" s="1"/>
  <c r="AS567" i="1"/>
  <c r="AJ567" i="1"/>
  <c r="AP567" i="1" s="1"/>
  <c r="AS566" i="1"/>
  <c r="AJ566" i="1"/>
  <c r="AP566" i="1" s="1"/>
  <c r="AS565" i="1"/>
  <c r="AJ565" i="1"/>
  <c r="AP565" i="1" s="1"/>
  <c r="AS564" i="1"/>
  <c r="AJ564" i="1"/>
  <c r="AP564" i="1" s="1"/>
  <c r="AS563" i="1"/>
  <c r="AJ563" i="1"/>
  <c r="AP563" i="1" s="1"/>
  <c r="AS562" i="1"/>
  <c r="AJ562" i="1"/>
  <c r="AP562" i="1" s="1"/>
  <c r="AS561" i="1"/>
  <c r="AJ561" i="1"/>
  <c r="AP561" i="1" s="1"/>
  <c r="AS560" i="1"/>
  <c r="AJ560" i="1"/>
  <c r="AP560" i="1" s="1"/>
  <c r="AS559" i="1"/>
  <c r="AJ559" i="1"/>
  <c r="AP559" i="1" s="1"/>
  <c r="AS558" i="1"/>
  <c r="AJ558" i="1"/>
  <c r="AP558" i="1" s="1"/>
  <c r="AS557" i="1"/>
  <c r="AJ557" i="1"/>
  <c r="AP557" i="1" s="1"/>
  <c r="AS556" i="1"/>
  <c r="AJ556" i="1"/>
  <c r="AP556" i="1" s="1"/>
  <c r="AS555" i="1"/>
  <c r="AJ555" i="1"/>
  <c r="AP555" i="1" s="1"/>
  <c r="AS554" i="1"/>
  <c r="AJ554" i="1"/>
  <c r="AP554" i="1" s="1"/>
  <c r="AS553" i="1"/>
  <c r="AJ553" i="1"/>
  <c r="AP553" i="1" s="1"/>
  <c r="AS552" i="1"/>
  <c r="AJ552" i="1"/>
  <c r="AP552" i="1" s="1"/>
  <c r="AS551" i="1"/>
  <c r="AJ551" i="1"/>
  <c r="AP551" i="1"/>
  <c r="AS550" i="1"/>
  <c r="AJ550" i="1"/>
  <c r="AP550" i="1" s="1"/>
  <c r="AJ549" i="1"/>
  <c r="AP549" i="1" s="1"/>
  <c r="AS548" i="1"/>
  <c r="AJ548" i="1"/>
  <c r="AP548" i="1" s="1"/>
  <c r="AS547" i="1"/>
  <c r="AJ547" i="1"/>
  <c r="AP547" i="1" s="1"/>
  <c r="AS546" i="1"/>
  <c r="AJ546" i="1"/>
  <c r="AP546" i="1" s="1"/>
  <c r="AS545" i="1"/>
  <c r="AJ545" i="1"/>
  <c r="AP545" i="1" s="1"/>
  <c r="AS544" i="1"/>
  <c r="AJ544" i="1"/>
  <c r="AP544" i="1" s="1"/>
  <c r="AJ543" i="1"/>
  <c r="AP543" i="1" s="1"/>
  <c r="AW543" i="1" s="1"/>
  <c r="AJ587" i="1"/>
  <c r="AP587" i="1" s="1"/>
  <c r="AW587" i="1" s="1"/>
  <c r="BA587" i="1" s="1"/>
  <c r="AJ588" i="1"/>
  <c r="AP588" i="1" s="1"/>
  <c r="AW588" i="1" s="1"/>
  <c r="BA588" i="1" s="1"/>
  <c r="AJ589" i="1"/>
  <c r="AP589" i="1" s="1"/>
  <c r="AW589" i="1" s="1"/>
  <c r="BA589" i="1" s="1"/>
  <c r="AJ596" i="1"/>
  <c r="AP596" i="1" s="1"/>
  <c r="AW596" i="1" s="1"/>
  <c r="AS525" i="1"/>
  <c r="AJ525" i="1"/>
  <c r="AP525" i="1" s="1"/>
  <c r="AS524" i="1"/>
  <c r="AJ524" i="1"/>
  <c r="AP524" i="1" s="1"/>
  <c r="AS523" i="1"/>
  <c r="AJ523" i="1"/>
  <c r="AP523" i="1" s="1"/>
  <c r="AS520" i="1"/>
  <c r="AJ520" i="1"/>
  <c r="AP520" i="1" s="1"/>
  <c r="AS519" i="1"/>
  <c r="AJ519" i="1"/>
  <c r="AP519" i="1" s="1"/>
  <c r="AS518" i="1"/>
  <c r="AJ518" i="1"/>
  <c r="AP518" i="1" s="1"/>
  <c r="AS517" i="1"/>
  <c r="AJ517" i="1"/>
  <c r="AP517" i="1" s="1"/>
  <c r="AS516" i="1"/>
  <c r="AJ516" i="1"/>
  <c r="AP516" i="1" s="1"/>
  <c r="AS515" i="1"/>
  <c r="AJ515" i="1"/>
  <c r="AP515" i="1" s="1"/>
  <c r="AS514" i="1"/>
  <c r="AJ514" i="1"/>
  <c r="AP514" i="1" s="1"/>
  <c r="AS513" i="1"/>
  <c r="AP513" i="1"/>
  <c r="AS507" i="1"/>
  <c r="AJ507" i="1"/>
  <c r="AP507" i="1" s="1"/>
  <c r="AS506" i="1"/>
  <c r="AJ506" i="1"/>
  <c r="AP506" i="1" s="1"/>
  <c r="AS505" i="1"/>
  <c r="AJ505" i="1"/>
  <c r="AP505" i="1" s="1"/>
  <c r="AS504" i="1"/>
  <c r="AJ504" i="1"/>
  <c r="AP504" i="1" s="1"/>
  <c r="AS503" i="1"/>
  <c r="AJ503" i="1"/>
  <c r="AP503" i="1" s="1"/>
  <c r="AS502" i="1"/>
  <c r="AJ502" i="1"/>
  <c r="AP502" i="1" s="1"/>
  <c r="AS501" i="1"/>
  <c r="AJ501" i="1"/>
  <c r="AP501" i="1" s="1"/>
  <c r="AS500" i="1"/>
  <c r="AJ500" i="1"/>
  <c r="AP500" i="1" s="1"/>
  <c r="AS499" i="1"/>
  <c r="AJ499" i="1"/>
  <c r="AP499" i="1" s="1"/>
  <c r="AS498" i="1"/>
  <c r="AJ498" i="1"/>
  <c r="AP498" i="1" s="1"/>
  <c r="AS497" i="1"/>
  <c r="AJ497" i="1"/>
  <c r="AP497" i="1" s="1"/>
  <c r="AS496" i="1"/>
  <c r="AJ496" i="1"/>
  <c r="AP496" i="1" s="1"/>
  <c r="AS495" i="1"/>
  <c r="AJ495" i="1"/>
  <c r="AP495" i="1" s="1"/>
  <c r="AS494" i="1"/>
  <c r="AJ494" i="1"/>
  <c r="AP494" i="1" s="1"/>
  <c r="AS493" i="1"/>
  <c r="AJ493" i="1"/>
  <c r="AP493" i="1" s="1"/>
  <c r="AS492" i="1"/>
  <c r="AJ492" i="1"/>
  <c r="AP492" i="1" s="1"/>
  <c r="AS491" i="1"/>
  <c r="AJ491" i="1"/>
  <c r="AP491" i="1" s="1"/>
  <c r="AS486" i="1"/>
  <c r="AJ486" i="1"/>
  <c r="AP486" i="1" s="1"/>
  <c r="AS485" i="1"/>
  <c r="AJ485" i="1"/>
  <c r="AP485" i="1" s="1"/>
  <c r="AS484" i="1"/>
  <c r="AJ484" i="1"/>
  <c r="AP484" i="1" s="1"/>
  <c r="AS483" i="1"/>
  <c r="AJ483" i="1"/>
  <c r="AP483" i="1" s="1"/>
  <c r="AS482" i="1"/>
  <c r="AJ482" i="1"/>
  <c r="AP482" i="1" s="1"/>
  <c r="AS481" i="1"/>
  <c r="AJ481" i="1"/>
  <c r="AP481" i="1" s="1"/>
  <c r="AS480" i="1"/>
  <c r="AJ480" i="1"/>
  <c r="AP480" i="1" s="1"/>
  <c r="AS479" i="1"/>
  <c r="AJ479" i="1"/>
  <c r="AP479" i="1" s="1"/>
  <c r="AS478" i="1"/>
  <c r="AJ478" i="1"/>
  <c r="AP478" i="1" s="1"/>
  <c r="AS477" i="1"/>
  <c r="AJ477" i="1"/>
  <c r="AP477" i="1" s="1"/>
  <c r="AS476" i="1"/>
  <c r="AJ476" i="1"/>
  <c r="AP476" i="1" s="1"/>
  <c r="AS475" i="1"/>
  <c r="AJ475" i="1"/>
  <c r="AP475" i="1" s="1"/>
  <c r="AS474" i="1"/>
  <c r="AJ474" i="1"/>
  <c r="AP474" i="1" s="1"/>
  <c r="AJ473" i="1"/>
  <c r="AP473" i="1" s="1"/>
  <c r="AJ472" i="1"/>
  <c r="AP472" i="1" s="1"/>
  <c r="AS471" i="1"/>
  <c r="AJ471" i="1"/>
  <c r="AP471" i="1" s="1"/>
  <c r="AS470" i="1"/>
  <c r="AJ470" i="1"/>
  <c r="AP470" i="1" s="1"/>
  <c r="AS469" i="1"/>
  <c r="AJ469" i="1"/>
  <c r="AP469" i="1" s="1"/>
  <c r="AS468" i="1"/>
  <c r="AJ468" i="1"/>
  <c r="AP468" i="1" s="1"/>
  <c r="AJ467" i="1"/>
  <c r="AP467" i="1" s="1"/>
  <c r="AJ466" i="1"/>
  <c r="AP466" i="1" s="1"/>
  <c r="AW466" i="1" s="1"/>
  <c r="AJ526" i="1"/>
  <c r="AP526" i="1" s="1"/>
  <c r="AW526" i="1" s="1"/>
  <c r="BA526" i="1" s="1"/>
  <c r="AJ527" i="1"/>
  <c r="AP527" i="1" s="1"/>
  <c r="AW527" i="1" s="1"/>
  <c r="BA527" i="1" s="1"/>
  <c r="AJ528" i="1"/>
  <c r="AP528" i="1" s="1"/>
  <c r="AW528" i="1" s="1"/>
  <c r="BA528" i="1" s="1"/>
  <c r="AJ535" i="1"/>
  <c r="AP535" i="1" s="1"/>
  <c r="AW535" i="1" s="1"/>
  <c r="BA535" i="1" s="1"/>
  <c r="AJ536" i="1"/>
  <c r="AP536" i="1" s="1"/>
  <c r="AW536" i="1" s="1"/>
  <c r="BA536" i="1" s="1"/>
  <c r="AJ449" i="1"/>
  <c r="AP449" i="1" s="1"/>
  <c r="AW449" i="1" s="1"/>
  <c r="BA449" i="1" s="1"/>
  <c r="AJ448" i="1"/>
  <c r="AP448" i="1" s="1"/>
  <c r="AW448" i="1" s="1"/>
  <c r="BA448" i="1" s="1"/>
  <c r="AJ447" i="1"/>
  <c r="AP447" i="1" s="1"/>
  <c r="AW447" i="1" s="1"/>
  <c r="BA447" i="1" s="1"/>
  <c r="AJ443" i="1"/>
  <c r="AP443" i="1" s="1"/>
  <c r="AW443" i="1" s="1"/>
  <c r="BA443" i="1" s="1"/>
  <c r="AJ442" i="1"/>
  <c r="AP442" i="1" s="1"/>
  <c r="AW442" i="1" s="1"/>
  <c r="BA442" i="1" s="1"/>
  <c r="AJ441" i="1"/>
  <c r="AP441" i="1" s="1"/>
  <c r="AW441" i="1" s="1"/>
  <c r="BA441" i="1" s="1"/>
  <c r="AJ440" i="1"/>
  <c r="AP440" i="1" s="1"/>
  <c r="AW440" i="1" s="1"/>
  <c r="BA440" i="1" s="1"/>
  <c r="AJ439" i="1"/>
  <c r="AP439" i="1" s="1"/>
  <c r="AW439" i="1" s="1"/>
  <c r="BA439" i="1" s="1"/>
  <c r="AJ438" i="1"/>
  <c r="AP438" i="1" s="1"/>
  <c r="AW438" i="1" s="1"/>
  <c r="BA438" i="1" s="1"/>
  <c r="AJ437" i="1"/>
  <c r="AP437" i="1" s="1"/>
  <c r="AW437" i="1" s="1"/>
  <c r="BA437" i="1" s="1"/>
  <c r="AJ436" i="1"/>
  <c r="AP436" i="1" s="1"/>
  <c r="AW436" i="1" s="1"/>
  <c r="BA436" i="1" s="1"/>
  <c r="AJ435" i="1"/>
  <c r="AP435" i="1" s="1"/>
  <c r="AW435" i="1" s="1"/>
  <c r="BA435" i="1" s="1"/>
  <c r="AJ434" i="1"/>
  <c r="AP434" i="1" s="1"/>
  <c r="AW434" i="1" s="1"/>
  <c r="BA434" i="1" s="1"/>
  <c r="AJ432" i="1"/>
  <c r="AP432" i="1" s="1"/>
  <c r="AW432" i="1" s="1"/>
  <c r="BA432" i="1" s="1"/>
  <c r="AJ429" i="1"/>
  <c r="AP429" i="1" s="1"/>
  <c r="AW429" i="1" s="1"/>
  <c r="BA429" i="1" s="1"/>
  <c r="AJ428" i="1"/>
  <c r="AP428" i="1" s="1"/>
  <c r="AW428" i="1" s="1"/>
  <c r="BA428" i="1" s="1"/>
  <c r="AJ427" i="1"/>
  <c r="AP427" i="1" s="1"/>
  <c r="AW427" i="1" s="1"/>
  <c r="BA427" i="1" s="1"/>
  <c r="AJ426" i="1"/>
  <c r="AP426" i="1" s="1"/>
  <c r="AW426" i="1" s="1"/>
  <c r="BA426" i="1" s="1"/>
  <c r="AJ425" i="1"/>
  <c r="AP425" i="1" s="1"/>
  <c r="AW425" i="1" s="1"/>
  <c r="BA425" i="1" s="1"/>
  <c r="AJ424" i="1"/>
  <c r="AP424" i="1" s="1"/>
  <c r="AW424" i="1" s="1"/>
  <c r="BA424" i="1" s="1"/>
  <c r="AJ423" i="1"/>
  <c r="AP423" i="1" s="1"/>
  <c r="AW423" i="1" s="1"/>
  <c r="BA423" i="1" s="1"/>
  <c r="AJ422" i="1"/>
  <c r="AP422" i="1" s="1"/>
  <c r="AW422" i="1" s="1"/>
  <c r="BA422" i="1" s="1"/>
  <c r="AJ421" i="1"/>
  <c r="AP421" i="1" s="1"/>
  <c r="AW421" i="1" s="1"/>
  <c r="BA421" i="1" s="1"/>
  <c r="AJ420" i="1"/>
  <c r="AP420" i="1" s="1"/>
  <c r="AW420" i="1" s="1"/>
  <c r="BA420" i="1" s="1"/>
  <c r="AJ419" i="1"/>
  <c r="AP419" i="1" s="1"/>
  <c r="AW419" i="1" s="1"/>
  <c r="BA419" i="1" s="1"/>
  <c r="AJ418" i="1"/>
  <c r="AP418" i="1" s="1"/>
  <c r="AW418" i="1" s="1"/>
  <c r="BA418" i="1" s="1"/>
  <c r="AJ417" i="1"/>
  <c r="AP417" i="1" s="1"/>
  <c r="AW417" i="1" s="1"/>
  <c r="BA417" i="1" s="1"/>
  <c r="AJ416" i="1"/>
  <c r="AP416" i="1" s="1"/>
  <c r="AJ415" i="1"/>
  <c r="AP415" i="1" s="1"/>
  <c r="AW415" i="1" s="1"/>
  <c r="BA415" i="1" s="1"/>
  <c r="AJ414" i="1"/>
  <c r="AP414" i="1" s="1"/>
  <c r="AW414" i="1" s="1"/>
  <c r="BA414" i="1" s="1"/>
  <c r="AJ413" i="1"/>
  <c r="AP413" i="1" s="1"/>
  <c r="AW413" i="1" s="1"/>
  <c r="BA413" i="1" s="1"/>
  <c r="AJ412" i="1"/>
  <c r="AP412" i="1" s="1"/>
  <c r="AW412" i="1" s="1"/>
  <c r="BA412" i="1" s="1"/>
  <c r="AJ411" i="1"/>
  <c r="AP411" i="1" s="1"/>
  <c r="AW411" i="1" s="1"/>
  <c r="BA411" i="1" s="1"/>
  <c r="AJ410" i="1"/>
  <c r="AP410" i="1" s="1"/>
  <c r="AW410" i="1" s="1"/>
  <c r="BA410" i="1" s="1"/>
  <c r="AJ409" i="1"/>
  <c r="AP409" i="1" s="1"/>
  <c r="AW409" i="1" s="1"/>
  <c r="BA409" i="1" s="1"/>
  <c r="AJ408" i="1"/>
  <c r="AP408" i="1" s="1"/>
  <c r="AW408" i="1" s="1"/>
  <c r="BA408" i="1" s="1"/>
  <c r="AJ407" i="1"/>
  <c r="AP407" i="1" s="1"/>
  <c r="AJ406" i="1"/>
  <c r="AP406" i="1" s="1"/>
  <c r="AW406" i="1" s="1"/>
  <c r="BA406" i="1" s="1"/>
  <c r="AJ405" i="1"/>
  <c r="AP405" i="1" s="1"/>
  <c r="AW405" i="1" s="1"/>
  <c r="BA405" i="1" s="1"/>
  <c r="AJ404" i="1"/>
  <c r="AP404" i="1" s="1"/>
  <c r="AW404" i="1" s="1"/>
  <c r="BA404" i="1" s="1"/>
  <c r="AJ403" i="1"/>
  <c r="AP403" i="1" s="1"/>
  <c r="AW403" i="1" s="1"/>
  <c r="BA403" i="1" s="1"/>
  <c r="AJ401" i="1"/>
  <c r="AP401" i="1" s="1"/>
  <c r="AW401" i="1" s="1"/>
  <c r="BA401" i="1" s="1"/>
  <c r="AJ400" i="1"/>
  <c r="AP400" i="1" s="1"/>
  <c r="AW400" i="1" s="1"/>
  <c r="BA400" i="1" s="1"/>
  <c r="AJ399" i="1"/>
  <c r="AP399" i="1" s="1"/>
  <c r="AW399" i="1" s="1"/>
  <c r="BA399" i="1" s="1"/>
  <c r="AJ398" i="1"/>
  <c r="AP398" i="1" s="1"/>
  <c r="AW398" i="1" s="1"/>
  <c r="BA398" i="1" s="1"/>
  <c r="AJ397" i="1"/>
  <c r="AP397" i="1" s="1"/>
  <c r="AW397" i="1" s="1"/>
  <c r="BA397" i="1" s="1"/>
  <c r="AJ396" i="1"/>
  <c r="AP396" i="1" s="1"/>
  <c r="AW396" i="1" s="1"/>
  <c r="BA396" i="1" s="1"/>
  <c r="AJ395" i="1"/>
  <c r="AP395" i="1" s="1"/>
  <c r="AW395" i="1" s="1"/>
  <c r="BA395" i="1" s="1"/>
  <c r="AJ394" i="1"/>
  <c r="AP394" i="1" s="1"/>
  <c r="AW394" i="1" s="1"/>
  <c r="BA394" i="1" s="1"/>
  <c r="AJ393" i="1"/>
  <c r="AP393" i="1" s="1"/>
  <c r="AW393" i="1" s="1"/>
  <c r="BA393" i="1" s="1"/>
  <c r="AJ392" i="1"/>
  <c r="AP392" i="1" s="1"/>
  <c r="AW392" i="1" s="1"/>
  <c r="BA392" i="1" s="1"/>
  <c r="AJ391" i="1"/>
  <c r="AP391" i="1" s="1"/>
  <c r="AW391" i="1" s="1"/>
  <c r="BA391" i="1" s="1"/>
  <c r="AJ390" i="1"/>
  <c r="AP390" i="1" s="1"/>
  <c r="AW390" i="1" s="1"/>
  <c r="BA390" i="1" s="1"/>
  <c r="AJ389" i="1"/>
  <c r="AP389" i="1" s="1"/>
  <c r="AW389" i="1" s="1"/>
  <c r="BA389" i="1" s="1"/>
  <c r="AJ388" i="1"/>
  <c r="AP388" i="1" s="1"/>
  <c r="AJ387" i="1"/>
  <c r="AP387" i="1" s="1"/>
  <c r="AW387" i="1" s="1"/>
  <c r="BA387" i="1" s="1"/>
  <c r="AJ386" i="1"/>
  <c r="AP386" i="1" s="1"/>
  <c r="AW386" i="1" s="1"/>
  <c r="BA386" i="1" s="1"/>
  <c r="AJ385" i="1"/>
  <c r="AP385" i="1" s="1"/>
  <c r="AW385" i="1" s="1"/>
  <c r="BA385" i="1" s="1"/>
  <c r="AJ384" i="1"/>
  <c r="AP384" i="1" s="1"/>
  <c r="AW384" i="1" s="1"/>
  <c r="BA384" i="1" s="1"/>
  <c r="AJ383" i="1"/>
  <c r="AP383" i="1" s="1"/>
  <c r="AJ382" i="1"/>
  <c r="AP382" i="1" s="1"/>
  <c r="AW382" i="1" s="1"/>
  <c r="BA382" i="1" s="1"/>
  <c r="AJ381" i="1"/>
  <c r="AP381" i="1" s="1"/>
  <c r="AW381" i="1" s="1"/>
  <c r="BA381" i="1" s="1"/>
  <c r="AJ380" i="1"/>
  <c r="AP380" i="1" s="1"/>
  <c r="AW380" i="1" s="1"/>
  <c r="BA380" i="1" s="1"/>
  <c r="AJ379" i="1"/>
  <c r="AP379" i="1" s="1"/>
  <c r="AW379" i="1" s="1"/>
  <c r="BA379" i="1" s="1"/>
  <c r="AJ378" i="1"/>
  <c r="AP378" i="1" s="1"/>
  <c r="AW378" i="1" s="1"/>
  <c r="BA378" i="1" s="1"/>
  <c r="AJ377" i="1"/>
  <c r="AP377" i="1" s="1"/>
  <c r="AW377" i="1" s="1"/>
  <c r="BA377" i="1" s="1"/>
  <c r="AJ376" i="1"/>
  <c r="AP376" i="1" s="1"/>
  <c r="AW376" i="1" s="1"/>
  <c r="AJ450" i="1"/>
  <c r="AP450" i="1" s="1"/>
  <c r="AW450" i="1" s="1"/>
  <c r="BA450" i="1" s="1"/>
  <c r="AJ451" i="1"/>
  <c r="AP451" i="1" s="1"/>
  <c r="AJ452" i="1"/>
  <c r="AP452" i="1" s="1"/>
  <c r="AW452" i="1" s="1"/>
  <c r="BA452" i="1" s="1"/>
  <c r="AJ459" i="1"/>
  <c r="AP459" i="1" s="1"/>
  <c r="AW459" i="1" s="1"/>
  <c r="BA459" i="1" s="1"/>
  <c r="AS359" i="1"/>
  <c r="AJ359" i="1"/>
  <c r="AP359" i="1" s="1"/>
  <c r="AS358" i="1"/>
  <c r="AJ358" i="1"/>
  <c r="AP358" i="1" s="1"/>
  <c r="AS355" i="1"/>
  <c r="AJ355" i="1"/>
  <c r="AP355" i="1" s="1"/>
  <c r="AS354" i="1"/>
  <c r="AJ354" i="1"/>
  <c r="AP354" i="1" s="1"/>
  <c r="AS353" i="1"/>
  <c r="AJ353" i="1"/>
  <c r="AP353" i="1" s="1"/>
  <c r="AS352" i="1"/>
  <c r="AJ352" i="1"/>
  <c r="AP352" i="1" s="1"/>
  <c r="AS351" i="1"/>
  <c r="AJ351" i="1"/>
  <c r="AP351" i="1" s="1"/>
  <c r="AS350" i="1"/>
  <c r="AJ350" i="1"/>
  <c r="AP350" i="1" s="1"/>
  <c r="AS349" i="1"/>
  <c r="AJ349" i="1"/>
  <c r="AP349" i="1" s="1"/>
  <c r="AS348" i="1"/>
  <c r="AJ348" i="1"/>
  <c r="AP348" i="1" s="1"/>
  <c r="AS347" i="1"/>
  <c r="AJ347" i="1"/>
  <c r="AP347" i="1" s="1"/>
  <c r="AS345" i="1"/>
  <c r="AJ345" i="1"/>
  <c r="AP345" i="1" s="1"/>
  <c r="AS344" i="1"/>
  <c r="AJ344" i="1"/>
  <c r="AP344" i="1" s="1"/>
  <c r="AS343" i="1"/>
  <c r="AJ343" i="1"/>
  <c r="AP343" i="1" s="1"/>
  <c r="AS342" i="1"/>
  <c r="AJ342" i="1"/>
  <c r="AP342" i="1" s="1"/>
  <c r="AS341" i="1"/>
  <c r="AJ341" i="1"/>
  <c r="AP341" i="1" s="1"/>
  <c r="AS340" i="1"/>
  <c r="AJ340" i="1"/>
  <c r="AP340" i="1" s="1"/>
  <c r="AS339" i="1"/>
  <c r="AJ339" i="1"/>
  <c r="AP339" i="1" s="1"/>
  <c r="AS338" i="1"/>
  <c r="AJ338" i="1"/>
  <c r="AP338" i="1" s="1"/>
  <c r="AS337" i="1"/>
  <c r="AJ337" i="1"/>
  <c r="AP337" i="1" s="1"/>
  <c r="AS336" i="1"/>
  <c r="AJ336" i="1"/>
  <c r="AP336" i="1" s="1"/>
  <c r="AS335" i="1"/>
  <c r="AJ335" i="1"/>
  <c r="AP335" i="1" s="1"/>
  <c r="AS334" i="1"/>
  <c r="AJ334" i="1"/>
  <c r="AP334" i="1" s="1"/>
  <c r="AS333" i="1"/>
  <c r="AJ333" i="1"/>
  <c r="AP333" i="1" s="1"/>
  <c r="AS332" i="1"/>
  <c r="AJ332" i="1"/>
  <c r="AP332" i="1" s="1"/>
  <c r="AJ331" i="1"/>
  <c r="AP331" i="1" s="1"/>
  <c r="AS330" i="1"/>
  <c r="AJ330" i="1"/>
  <c r="AP330" i="1" s="1"/>
  <c r="AS329" i="1"/>
  <c r="AJ329" i="1"/>
  <c r="AP329" i="1" s="1"/>
  <c r="AS328" i="1"/>
  <c r="AJ328" i="1"/>
  <c r="AP328" i="1" s="1"/>
  <c r="AS327" i="1"/>
  <c r="AJ327" i="1"/>
  <c r="AP327" i="1" s="1"/>
  <c r="AS326" i="1"/>
  <c r="AJ326" i="1"/>
  <c r="AP326" i="1" s="1"/>
  <c r="AS325" i="1"/>
  <c r="AJ325" i="1"/>
  <c r="AP325" i="1" s="1"/>
  <c r="AS324" i="1"/>
  <c r="AJ324" i="1"/>
  <c r="AP324" i="1" s="1"/>
  <c r="AS323" i="1"/>
  <c r="AJ323" i="1"/>
  <c r="AP323" i="1" s="1"/>
  <c r="AJ322" i="1"/>
  <c r="AP322" i="1" s="1"/>
  <c r="AS321" i="1"/>
  <c r="AJ321" i="1"/>
  <c r="AP321" i="1" s="1"/>
  <c r="AS320" i="1"/>
  <c r="AJ320" i="1"/>
  <c r="AP320" i="1" s="1"/>
  <c r="AS319" i="1"/>
  <c r="AJ319" i="1"/>
  <c r="AP319" i="1" s="1"/>
  <c r="AS318" i="1"/>
  <c r="AJ318" i="1"/>
  <c r="AP318" i="1" s="1"/>
  <c r="AS317" i="1"/>
  <c r="AJ317" i="1"/>
  <c r="AP317" i="1" s="1"/>
  <c r="AS316" i="1"/>
  <c r="AJ316" i="1"/>
  <c r="AP316" i="1" s="1"/>
  <c r="AS315" i="1"/>
  <c r="AJ315" i="1"/>
  <c r="AP315" i="1" s="1"/>
  <c r="AS314" i="1"/>
  <c r="AJ314" i="1"/>
  <c r="AP314" i="1" s="1"/>
  <c r="AS313" i="1"/>
  <c r="AJ313" i="1"/>
  <c r="AP313" i="1" s="1"/>
  <c r="AS312" i="1"/>
  <c r="AJ312" i="1"/>
  <c r="AP312" i="1" s="1"/>
  <c r="AJ311" i="1"/>
  <c r="AP311" i="1" s="1"/>
  <c r="AW311" i="1" s="1"/>
  <c r="BA311" i="1" s="1"/>
  <c r="AJ310" i="1"/>
  <c r="AP310" i="1" s="1"/>
  <c r="AW310" i="1" s="1"/>
  <c r="AJ360" i="1"/>
  <c r="AP360" i="1" s="1"/>
  <c r="AW360" i="1" s="1"/>
  <c r="BA360" i="1" s="1"/>
  <c r="AJ361" i="1"/>
  <c r="AP361" i="1" s="1"/>
  <c r="AW361" i="1" s="1"/>
  <c r="BA361" i="1" s="1"/>
  <c r="AJ368" i="1"/>
  <c r="AP368" i="1" s="1"/>
  <c r="AW368" i="1" s="1"/>
  <c r="BA368" i="1" s="1"/>
  <c r="AJ369" i="1"/>
  <c r="AP369" i="1" s="1"/>
  <c r="AW369" i="1" s="1"/>
  <c r="BA369" i="1" s="1"/>
  <c r="AS303" i="1"/>
  <c r="AJ303" i="1"/>
  <c r="AP303" i="1" s="1"/>
  <c r="AS302" i="1"/>
  <c r="AJ302" i="1"/>
  <c r="AP302" i="1" s="1"/>
  <c r="AS301" i="1"/>
  <c r="AJ301" i="1"/>
  <c r="AP301" i="1" s="1"/>
  <c r="AS299" i="1"/>
  <c r="AJ299" i="1"/>
  <c r="AP299" i="1" s="1"/>
  <c r="AS298" i="1"/>
  <c r="AJ298" i="1"/>
  <c r="AP298" i="1" s="1"/>
  <c r="AS297" i="1"/>
  <c r="AJ297" i="1"/>
  <c r="AP297" i="1" s="1"/>
  <c r="AS296" i="1"/>
  <c r="AJ296" i="1"/>
  <c r="AP296" i="1" s="1"/>
  <c r="AS295" i="1"/>
  <c r="AJ295" i="1"/>
  <c r="AP295" i="1" s="1"/>
  <c r="AS294" i="1"/>
  <c r="AJ294" i="1"/>
  <c r="AP294" i="1" s="1"/>
  <c r="AS293" i="1"/>
  <c r="AJ293" i="1"/>
  <c r="AP293" i="1" s="1"/>
  <c r="AS292" i="1"/>
  <c r="AJ292" i="1"/>
  <c r="AP292" i="1" s="1"/>
  <c r="AS291" i="1"/>
  <c r="AJ291" i="1"/>
  <c r="AP291" i="1" s="1"/>
  <c r="AS290" i="1"/>
  <c r="AJ290" i="1"/>
  <c r="AP290" i="1" s="1"/>
  <c r="AS289" i="1"/>
  <c r="AJ289" i="1"/>
  <c r="AP289" i="1" s="1"/>
  <c r="AS288" i="1"/>
  <c r="AJ288" i="1"/>
  <c r="AP288" i="1" s="1"/>
  <c r="AS287" i="1"/>
  <c r="AJ287" i="1"/>
  <c r="AP287" i="1" s="1"/>
  <c r="AS286" i="1"/>
  <c r="AJ286" i="1"/>
  <c r="AP286" i="1" s="1"/>
  <c r="AS285" i="1"/>
  <c r="AJ285" i="1"/>
  <c r="AP285" i="1" s="1"/>
  <c r="AS284" i="1"/>
  <c r="AJ284" i="1"/>
  <c r="AP284" i="1" s="1"/>
  <c r="AS283" i="1"/>
  <c r="AJ283" i="1"/>
  <c r="AP283" i="1" s="1"/>
  <c r="AS282" i="1"/>
  <c r="AJ282" i="1"/>
  <c r="AP282" i="1" s="1"/>
  <c r="AS281" i="1"/>
  <c r="AJ281" i="1"/>
  <c r="AP281" i="1" s="1"/>
  <c r="AS280" i="1"/>
  <c r="AJ280" i="1"/>
  <c r="AP280" i="1" s="1"/>
  <c r="AJ279" i="1"/>
  <c r="AP279" i="1" s="1"/>
  <c r="AW279" i="1" s="1"/>
  <c r="AS272" i="1"/>
  <c r="AJ272" i="1"/>
  <c r="AP272" i="1" s="1"/>
  <c r="AS271" i="1"/>
  <c r="AJ271" i="1"/>
  <c r="AP271" i="1" s="1"/>
  <c r="AS270" i="1"/>
  <c r="AJ270" i="1"/>
  <c r="AP270" i="1" s="1"/>
  <c r="AS269" i="1"/>
  <c r="AJ269" i="1"/>
  <c r="AP269" i="1" s="1"/>
  <c r="AS268" i="1"/>
  <c r="AJ268" i="1"/>
  <c r="AP268" i="1" s="1"/>
  <c r="AS267" i="1"/>
  <c r="AJ267" i="1"/>
  <c r="AP267" i="1" s="1"/>
  <c r="AS266" i="1"/>
  <c r="AJ266" i="1"/>
  <c r="AP266" i="1" s="1"/>
  <c r="AS265" i="1"/>
  <c r="AJ265" i="1"/>
  <c r="AP265" i="1" s="1"/>
  <c r="AS264" i="1"/>
  <c r="AJ264" i="1"/>
  <c r="AP264" i="1" s="1"/>
  <c r="AS263" i="1"/>
  <c r="AJ263" i="1"/>
  <c r="AP263" i="1" s="1"/>
  <c r="AS262" i="1"/>
  <c r="AJ262" i="1"/>
  <c r="AP262" i="1" s="1"/>
  <c r="AS261" i="1"/>
  <c r="AJ261" i="1"/>
  <c r="AP261" i="1" s="1"/>
  <c r="AS260" i="1"/>
  <c r="AJ260" i="1"/>
  <c r="AP260" i="1" s="1"/>
  <c r="AS259" i="1"/>
  <c r="AJ259" i="1"/>
  <c r="AP259" i="1" s="1"/>
  <c r="AS258" i="1"/>
  <c r="AJ258" i="1"/>
  <c r="AP258" i="1" s="1"/>
  <c r="AS257" i="1"/>
  <c r="AJ257" i="1"/>
  <c r="AP257" i="1" s="1"/>
  <c r="AS256" i="1"/>
  <c r="AJ256" i="1"/>
  <c r="AP256" i="1" s="1"/>
  <c r="AS255" i="1"/>
  <c r="AJ255" i="1"/>
  <c r="AP255" i="1" s="1"/>
  <c r="AS254" i="1"/>
  <c r="AJ254" i="1"/>
  <c r="AP254" i="1" s="1"/>
  <c r="AS253" i="1"/>
  <c r="AJ253" i="1"/>
  <c r="AP253" i="1" s="1"/>
  <c r="AS252" i="1"/>
  <c r="AJ252" i="1"/>
  <c r="AP252" i="1" s="1"/>
  <c r="AS251" i="1"/>
  <c r="AJ251" i="1"/>
  <c r="AP251" i="1" s="1"/>
  <c r="AJ250" i="1"/>
  <c r="AP250" i="1" s="1"/>
  <c r="AW250" i="1" s="1"/>
  <c r="AS243" i="1"/>
  <c r="AJ243" i="1"/>
  <c r="AP243" i="1" s="1"/>
  <c r="AS242" i="1"/>
  <c r="AJ242" i="1"/>
  <c r="AP242" i="1" s="1"/>
  <c r="AS241" i="1"/>
  <c r="AJ241" i="1"/>
  <c r="AP241" i="1" s="1"/>
  <c r="AS240" i="1"/>
  <c r="AJ240" i="1"/>
  <c r="AP240" i="1" s="1"/>
  <c r="AS239" i="1"/>
  <c r="AJ239" i="1"/>
  <c r="AP239" i="1" s="1"/>
  <c r="AS238" i="1"/>
  <c r="AJ238" i="1"/>
  <c r="AP238" i="1" s="1"/>
  <c r="AS237" i="1"/>
  <c r="AJ237" i="1"/>
  <c r="AP237" i="1" s="1"/>
  <c r="AS235" i="1"/>
  <c r="AJ235" i="1"/>
  <c r="AP235" i="1" s="1"/>
  <c r="AS232" i="1"/>
  <c r="AJ232" i="1"/>
  <c r="AP232" i="1" s="1"/>
  <c r="AS231" i="1"/>
  <c r="AJ231" i="1"/>
  <c r="AP231" i="1" s="1"/>
  <c r="AS230" i="1"/>
  <c r="AJ230" i="1"/>
  <c r="AP230" i="1" s="1"/>
  <c r="AS229" i="1"/>
  <c r="AJ229" i="1"/>
  <c r="AP229" i="1" s="1"/>
  <c r="AS228" i="1"/>
  <c r="AJ228" i="1"/>
  <c r="AP228" i="1" s="1"/>
  <c r="AS227" i="1"/>
  <c r="AJ227" i="1"/>
  <c r="AP227" i="1" s="1"/>
  <c r="AS226" i="1"/>
  <c r="AJ226" i="1"/>
  <c r="AP226" i="1" s="1"/>
  <c r="AS225" i="1"/>
  <c r="AJ225" i="1"/>
  <c r="AP225" i="1" s="1"/>
  <c r="AS224" i="1"/>
  <c r="AJ224" i="1"/>
  <c r="AP224" i="1" s="1"/>
  <c r="AS223" i="1"/>
  <c r="AJ223" i="1"/>
  <c r="AP223" i="1" s="1"/>
  <c r="AS222" i="1"/>
  <c r="AJ222" i="1"/>
  <c r="AP222" i="1" s="1"/>
  <c r="AJ221" i="1"/>
  <c r="AP221" i="1" s="1"/>
  <c r="AW221" i="1" s="1"/>
  <c r="AS214" i="1"/>
  <c r="AJ214" i="1"/>
  <c r="AP214" i="1" s="1"/>
  <c r="AS213" i="1"/>
  <c r="AJ213" i="1"/>
  <c r="AP213" i="1" s="1"/>
  <c r="AS212" i="1"/>
  <c r="AJ212" i="1"/>
  <c r="AP212" i="1" s="1"/>
  <c r="AS211" i="1"/>
  <c r="AJ211" i="1"/>
  <c r="AP211" i="1" s="1"/>
  <c r="AS210" i="1"/>
  <c r="AJ210" i="1"/>
  <c r="AP210" i="1" s="1"/>
  <c r="AS209" i="1"/>
  <c r="AJ209" i="1"/>
  <c r="AP209" i="1" s="1"/>
  <c r="AS208" i="1"/>
  <c r="AJ208" i="1"/>
  <c r="AP208" i="1" s="1"/>
  <c r="AS207" i="1"/>
  <c r="AJ207" i="1"/>
  <c r="AP207" i="1" s="1"/>
  <c r="AS204" i="1"/>
  <c r="AJ204" i="1"/>
  <c r="AP204" i="1" s="1"/>
  <c r="AS202" i="1"/>
  <c r="AJ202" i="1"/>
  <c r="AP202" i="1" s="1"/>
  <c r="AS196" i="1"/>
  <c r="AJ196" i="1"/>
  <c r="AP196" i="1" s="1"/>
  <c r="AS195" i="1"/>
  <c r="AJ195" i="1"/>
  <c r="AP195" i="1" s="1"/>
  <c r="AS194" i="1"/>
  <c r="AJ194" i="1"/>
  <c r="AP194" i="1" s="1"/>
  <c r="AS193" i="1"/>
  <c r="AJ193" i="1"/>
  <c r="AP193" i="1" s="1"/>
  <c r="AS192" i="1"/>
  <c r="AJ192" i="1"/>
  <c r="AP192" i="1" s="1"/>
  <c r="AJ191" i="1"/>
  <c r="AP191" i="1" s="1"/>
  <c r="AW191" i="1" s="1"/>
  <c r="AB129" i="1"/>
  <c r="AF129" i="1"/>
  <c r="I11" i="1"/>
  <c r="AR128" i="1" s="1"/>
  <c r="K134" i="1" s="1"/>
  <c r="X138" i="1"/>
  <c r="AB138" i="1"/>
  <c r="V24" i="1"/>
  <c r="AB24" i="1" s="1"/>
  <c r="V27" i="1"/>
  <c r="AB27" i="1" s="1"/>
  <c r="V31" i="1"/>
  <c r="V28" i="1" s="1"/>
  <c r="V32" i="1"/>
  <c r="V29" i="1" s="1"/>
  <c r="V53" i="1"/>
  <c r="AB53" i="1" s="1"/>
  <c r="AN54" i="1"/>
  <c r="AN55" i="1"/>
  <c r="AN56" i="1"/>
  <c r="V59" i="1"/>
  <c r="BA59" i="1" s="1"/>
  <c r="V65" i="1"/>
  <c r="BA65" i="1" s="1"/>
  <c r="V67" i="1"/>
  <c r="BA67" i="1" s="1"/>
  <c r="V68" i="1"/>
  <c r="BA68" i="1" s="1"/>
  <c r="BA69" i="1"/>
  <c r="BA684" i="1"/>
  <c r="L9" i="8"/>
  <c r="I28" i="8" s="1"/>
  <c r="E11" i="1"/>
  <c r="P9" i="8" s="1"/>
  <c r="C20" i="5"/>
  <c r="P362" i="8"/>
  <c r="N389" i="8"/>
  <c r="N392" i="8"/>
  <c r="BA654" i="1"/>
  <c r="BA653" i="1"/>
  <c r="BA652" i="1"/>
  <c r="BA642" i="1"/>
  <c r="BA596" i="1"/>
  <c r="AF160" i="1"/>
  <c r="AF168" i="1"/>
  <c r="AF169" i="1"/>
  <c r="AS160" i="1"/>
  <c r="AF161" i="1"/>
  <c r="AS161" i="1"/>
  <c r="AF162" i="1"/>
  <c r="AS162" i="1"/>
  <c r="AF163" i="1"/>
  <c r="AS163" i="1"/>
  <c r="AF164" i="1"/>
  <c r="AS164" i="1"/>
  <c r="AF165" i="1"/>
  <c r="AS165" i="1"/>
  <c r="AF166" i="1"/>
  <c r="AS166" i="1"/>
  <c r="Y172" i="1"/>
  <c r="AD172" i="1"/>
  <c r="AS172" i="1"/>
  <c r="Y173" i="1"/>
  <c r="BA173" i="1" s="1"/>
  <c r="AD173" i="1"/>
  <c r="AS173" i="1"/>
  <c r="Y174" i="1"/>
  <c r="AD174" i="1"/>
  <c r="AS174" i="1"/>
  <c r="BA166" i="1"/>
  <c r="BA165" i="1"/>
  <c r="BA164" i="1"/>
  <c r="BA163" i="1"/>
  <c r="BA162" i="1"/>
  <c r="BA161" i="1"/>
  <c r="BA160" i="1"/>
  <c r="BA107" i="1"/>
  <c r="BA106" i="1"/>
  <c r="BA105" i="1"/>
  <c r="BA104" i="1"/>
  <c r="BA103" i="1"/>
  <c r="BA102" i="1"/>
  <c r="BA101" i="1"/>
  <c r="BA100" i="1"/>
  <c r="BA99" i="1"/>
  <c r="BA98" i="1"/>
  <c r="BA86" i="1"/>
  <c r="BA85" i="1"/>
  <c r="BA84" i="1"/>
  <c r="T27" i="2"/>
  <c r="G134" i="1" s="1"/>
  <c r="H33" i="8"/>
  <c r="P26" i="8" s="1"/>
  <c r="T225" i="8"/>
  <c r="T230" i="8" s="1"/>
  <c r="D90" i="6"/>
  <c r="H90" i="6" s="1"/>
  <c r="I90" i="6"/>
  <c r="N90" i="6" s="1"/>
  <c r="D91" i="6"/>
  <c r="H91" i="6" s="1"/>
  <c r="I91" i="6"/>
  <c r="N91" i="6" s="1"/>
  <c r="I17" i="6"/>
  <c r="D17" i="6"/>
  <c r="H17" i="6" s="1"/>
  <c r="I97" i="6"/>
  <c r="N97" i="6" s="1"/>
  <c r="D97" i="6"/>
  <c r="H97" i="6" s="1"/>
  <c r="I98" i="6"/>
  <c r="N98" i="6" s="1"/>
  <c r="D98" i="6"/>
  <c r="H98" i="6" s="1"/>
  <c r="I99" i="6"/>
  <c r="N99" i="6" s="1"/>
  <c r="D99" i="6"/>
  <c r="H99" i="6" s="1"/>
  <c r="I100" i="6"/>
  <c r="D100" i="6"/>
  <c r="H100" i="6" s="1"/>
  <c r="I101" i="6"/>
  <c r="N101" i="6" s="1"/>
  <c r="D101" i="6"/>
  <c r="H101" i="6" s="1"/>
  <c r="D108" i="6"/>
  <c r="H108" i="6" s="1"/>
  <c r="D109" i="6"/>
  <c r="H109" i="6" s="1"/>
  <c r="D121" i="6"/>
  <c r="H121" i="6" s="1"/>
  <c r="I122" i="6"/>
  <c r="N122" i="6" s="1"/>
  <c r="D122" i="6"/>
  <c r="H122" i="6" s="1"/>
  <c r="I123" i="6"/>
  <c r="D123" i="6"/>
  <c r="H123" i="6" s="1"/>
  <c r="I124" i="6"/>
  <c r="D124" i="6"/>
  <c r="H124" i="6" s="1"/>
  <c r="I125" i="6"/>
  <c r="N125" i="6" s="1"/>
  <c r="D125" i="6"/>
  <c r="H125" i="6" s="1"/>
  <c r="I126" i="6"/>
  <c r="D126" i="6"/>
  <c r="H126" i="6" s="1"/>
  <c r="I127" i="6"/>
  <c r="N127" i="6" s="1"/>
  <c r="D127" i="6"/>
  <c r="H127" i="6" s="1"/>
  <c r="I128" i="6"/>
  <c r="D128" i="6"/>
  <c r="H128" i="6" s="1"/>
  <c r="I129" i="6"/>
  <c r="N129" i="6" s="1"/>
  <c r="D129" i="6"/>
  <c r="H129" i="6" s="1"/>
  <c r="I134" i="6"/>
  <c r="D134" i="6"/>
  <c r="H134" i="6" s="1"/>
  <c r="I135" i="6"/>
  <c r="N135" i="6" s="1"/>
  <c r="D135" i="6"/>
  <c r="H135" i="6" s="1"/>
  <c r="D156" i="6"/>
  <c r="H156" i="6" s="1"/>
  <c r="J156" i="6" s="1"/>
  <c r="D157" i="6"/>
  <c r="H157" i="6" s="1"/>
  <c r="J157" i="6" s="1"/>
  <c r="D158" i="6"/>
  <c r="H158" i="6" s="1"/>
  <c r="D159" i="6"/>
  <c r="H159" i="6" s="1"/>
  <c r="D160" i="6"/>
  <c r="H160" i="6" s="1"/>
  <c r="J160" i="6" s="1"/>
  <c r="D161" i="6"/>
  <c r="H161" i="6" s="1"/>
  <c r="J161" i="6" s="1"/>
  <c r="H162" i="6"/>
  <c r="H163" i="6"/>
  <c r="J163" i="6" s="1"/>
  <c r="H164" i="6"/>
  <c r="J164" i="6" s="1"/>
  <c r="D165" i="6"/>
  <c r="H165" i="6" s="1"/>
  <c r="J165" i="6" s="1"/>
  <c r="D166" i="6"/>
  <c r="H166" i="6" s="1"/>
  <c r="J166" i="6" s="1"/>
  <c r="D167" i="6"/>
  <c r="H167" i="6" s="1"/>
  <c r="D168" i="6"/>
  <c r="H168" i="6" s="1"/>
  <c r="D169" i="6"/>
  <c r="H169" i="6" s="1"/>
  <c r="J169" i="6" s="1"/>
  <c r="D170" i="6"/>
  <c r="H170" i="6" s="1"/>
  <c r="J170" i="6" s="1"/>
  <c r="D171" i="6"/>
  <c r="H171" i="6" s="1"/>
  <c r="J171" i="6" s="1"/>
  <c r="D172" i="6"/>
  <c r="H172" i="6" s="1"/>
  <c r="J172" i="6" s="1"/>
  <c r="T161" i="2"/>
  <c r="T144" i="2"/>
  <c r="T125" i="2"/>
  <c r="T123" i="2"/>
  <c r="T99" i="2"/>
  <c r="T98" i="2"/>
  <c r="T100" i="2"/>
  <c r="T79" i="2"/>
  <c r="T78" i="2"/>
  <c r="T77" i="2"/>
  <c r="T85" i="2"/>
  <c r="T64" i="2"/>
  <c r="T65" i="2"/>
  <c r="T66" i="2"/>
  <c r="T48" i="2"/>
  <c r="T41" i="2"/>
  <c r="T33" i="2"/>
  <c r="P149" i="1"/>
  <c r="AJ148" i="1" s="1"/>
  <c r="AN148" i="1" s="1"/>
  <c r="P129" i="1"/>
  <c r="T29" i="2"/>
  <c r="AP54" i="1"/>
  <c r="AP56" i="1"/>
  <c r="T17" i="2"/>
  <c r="U17" i="2" s="1"/>
  <c r="A5" i="1"/>
  <c r="B3" i="1" s="1"/>
  <c r="A20" i="1"/>
  <c r="E3" i="1" s="1"/>
  <c r="A85" i="1"/>
  <c r="H3" i="1" s="1"/>
  <c r="A127" i="1"/>
  <c r="K3" i="1" s="1"/>
  <c r="A159" i="1"/>
  <c r="N3" i="1" s="1"/>
  <c r="A191" i="1"/>
  <c r="Q3" i="1" s="1"/>
  <c r="A221" i="1"/>
  <c r="T3" i="1" s="1"/>
  <c r="A250" i="1"/>
  <c r="W3" i="1" s="1"/>
  <c r="A279" i="1"/>
  <c r="Z3" i="1" s="1"/>
  <c r="A310" i="1"/>
  <c r="A376" i="1"/>
  <c r="A466" i="1"/>
  <c r="AI3" i="1" s="1"/>
  <c r="A543" i="1"/>
  <c r="AL3" i="1" s="1"/>
  <c r="A603" i="1"/>
  <c r="AO3" i="1" s="1"/>
  <c r="A665" i="1"/>
  <c r="AR3" i="1" s="1"/>
  <c r="A674" i="1"/>
  <c r="AU3" i="1" s="1"/>
  <c r="A680" i="1"/>
  <c r="AX3" i="1" s="1"/>
  <c r="AP25" i="1"/>
  <c r="AP55" i="1"/>
  <c r="AL59" i="1"/>
  <c r="R85" i="1"/>
  <c r="H103" i="1"/>
  <c r="J103" i="1"/>
  <c r="J104" i="1"/>
  <c r="H104" i="1"/>
  <c r="L103" i="1"/>
  <c r="L101" i="1" s="1"/>
  <c r="N103" i="1"/>
  <c r="N104" i="1"/>
  <c r="L104" i="1"/>
  <c r="P103" i="1"/>
  <c r="P101" i="1" s="1"/>
  <c r="R103" i="1"/>
  <c r="R104" i="1"/>
  <c r="P104" i="1"/>
  <c r="T102" i="1"/>
  <c r="T103" i="1"/>
  <c r="T104" i="1"/>
  <c r="T105" i="1"/>
  <c r="V103" i="1"/>
  <c r="V104" i="1"/>
  <c r="X104" i="1"/>
  <c r="Z104" i="1"/>
  <c r="Z103" i="1"/>
  <c r="X103" i="1"/>
  <c r="X106" i="1"/>
  <c r="Z106" i="1"/>
  <c r="Z107" i="1"/>
  <c r="X107" i="1"/>
  <c r="X105" i="1"/>
  <c r="AB102" i="1"/>
  <c r="AB103" i="1"/>
  <c r="AD103" i="1"/>
  <c r="AB104" i="1"/>
  <c r="AJ101" i="1"/>
  <c r="AN101" i="1"/>
  <c r="AR102" i="1"/>
  <c r="AR103" i="1"/>
  <c r="AT103" i="1"/>
  <c r="AR104" i="1"/>
  <c r="AT102" i="1"/>
  <c r="AR101" i="1"/>
  <c r="AV102" i="1"/>
  <c r="AV103" i="1"/>
  <c r="H102" i="1"/>
  <c r="J102" i="1"/>
  <c r="L102" i="1"/>
  <c r="N102" i="1"/>
  <c r="P102" i="1"/>
  <c r="R102" i="1"/>
  <c r="V102" i="1"/>
  <c r="AD102" i="1"/>
  <c r="AF102" i="1"/>
  <c r="AH102" i="1"/>
  <c r="AJ102" i="1"/>
  <c r="AL102" i="1"/>
  <c r="AN102" i="1"/>
  <c r="AP102" i="1"/>
  <c r="AW102" i="1"/>
  <c r="AX102" i="1"/>
  <c r="AY102" i="1"/>
  <c r="AF103" i="1"/>
  <c r="AH103" i="1"/>
  <c r="AF106" i="1" s="1"/>
  <c r="AJ103" i="1"/>
  <c r="AL103" i="1"/>
  <c r="AN103" i="1"/>
  <c r="AP103" i="1"/>
  <c r="AW103" i="1"/>
  <c r="AX103" i="1"/>
  <c r="AY103" i="1"/>
  <c r="AD104" i="1"/>
  <c r="AF104" i="1"/>
  <c r="AH104" i="1"/>
  <c r="AJ104" i="1"/>
  <c r="AL104" i="1"/>
  <c r="AN104" i="1"/>
  <c r="AP104" i="1"/>
  <c r="AT104" i="1"/>
  <c r="V105" i="1"/>
  <c r="Z105" i="1"/>
  <c r="AF167" i="1"/>
  <c r="T39" i="2"/>
  <c r="T40" i="2"/>
  <c r="T44" i="2" s="1"/>
  <c r="T42" i="2"/>
  <c r="T43" i="2"/>
  <c r="Q91" i="5"/>
  <c r="T47" i="2"/>
  <c r="T49" i="2"/>
  <c r="T50" i="2"/>
  <c r="T51" i="2"/>
  <c r="T55" i="2"/>
  <c r="T56" i="2"/>
  <c r="T57" i="2"/>
  <c r="T58" i="2"/>
  <c r="T59" i="2"/>
  <c r="T60" i="2"/>
  <c r="U60" i="2" s="1"/>
  <c r="T63" i="2"/>
  <c r="T67" i="2"/>
  <c r="T68" i="2" s="1"/>
  <c r="U68" i="2" s="1"/>
  <c r="T76" i="2"/>
  <c r="T86" i="2" s="1"/>
  <c r="U86" i="2" s="1"/>
  <c r="T80" i="2"/>
  <c r="T97" i="2"/>
  <c r="T101" i="2"/>
  <c r="T96" i="2"/>
  <c r="AS416" i="1" s="1"/>
  <c r="T102" i="2"/>
  <c r="T103" i="2"/>
  <c r="T104" i="2"/>
  <c r="T124" i="2"/>
  <c r="T122" i="2"/>
  <c r="T120" i="2"/>
  <c r="AS473" i="1" s="1"/>
  <c r="T121" i="2"/>
  <c r="T126" i="2"/>
  <c r="T127" i="2"/>
  <c r="T128" i="2"/>
  <c r="T142" i="2"/>
  <c r="T143" i="2"/>
  <c r="T152" i="2" s="1"/>
  <c r="U152" i="2" s="1"/>
  <c r="T145" i="2"/>
  <c r="T146" i="2"/>
  <c r="Y652" i="1"/>
  <c r="Y656" i="1"/>
  <c r="Y657" i="1"/>
  <c r="AG652" i="1"/>
  <c r="AJ652" i="1"/>
  <c r="Y653" i="1"/>
  <c r="AG653" i="1"/>
  <c r="AJ653" i="1"/>
  <c r="Y654" i="1"/>
  <c r="AG654" i="1"/>
  <c r="AJ654" i="1"/>
  <c r="Y655" i="1"/>
  <c r="T160" i="2"/>
  <c r="T162" i="2"/>
  <c r="T163" i="2"/>
  <c r="T164" i="2"/>
  <c r="A673" i="1"/>
  <c r="H674" i="1"/>
  <c r="U674" i="1"/>
  <c r="AJ674" i="1" s="1"/>
  <c r="H675" i="1"/>
  <c r="AA675" i="1"/>
  <c r="AJ675" i="1" s="1"/>
  <c r="A686" i="1"/>
  <c r="A6" i="2"/>
  <c r="F3" i="2" s="1"/>
  <c r="T7" i="2"/>
  <c r="U7" i="2" s="1"/>
  <c r="T8" i="2"/>
  <c r="T9" i="2"/>
  <c r="U8" i="2"/>
  <c r="U9" i="2"/>
  <c r="A14" i="2"/>
  <c r="T15" i="2"/>
  <c r="A16" i="2"/>
  <c r="T18" i="2"/>
  <c r="V64" i="1" s="1"/>
  <c r="T19" i="2"/>
  <c r="U19" i="2" s="1"/>
  <c r="T20" i="2"/>
  <c r="T21" i="2"/>
  <c r="T22" i="2"/>
  <c r="T23" i="2"/>
  <c r="U20" i="2"/>
  <c r="U21" i="2"/>
  <c r="U22" i="2"/>
  <c r="U23" i="2"/>
  <c r="A26" i="2"/>
  <c r="A28" i="2"/>
  <c r="T30" i="2"/>
  <c r="T31" i="2"/>
  <c r="U28" i="2"/>
  <c r="U29" i="2"/>
  <c r="U30" i="2"/>
  <c r="U31" i="2"/>
  <c r="A32" i="2"/>
  <c r="U33" i="2"/>
  <c r="U32" i="2"/>
  <c r="A34" i="2"/>
  <c r="U35" i="2"/>
  <c r="U34" i="2" s="1"/>
  <c r="A39" i="2"/>
  <c r="H3" i="2" s="1"/>
  <c r="U39" i="2"/>
  <c r="U40" i="2"/>
  <c r="U41" i="2"/>
  <c r="U42" i="2"/>
  <c r="U43" i="2"/>
  <c r="U44" i="2"/>
  <c r="U47" i="2"/>
  <c r="U48" i="2"/>
  <c r="U49" i="2"/>
  <c r="U50" i="2"/>
  <c r="U51" i="2"/>
  <c r="A55" i="2"/>
  <c r="J3" i="2" s="1"/>
  <c r="U55" i="2"/>
  <c r="U56" i="2"/>
  <c r="U57" i="2"/>
  <c r="U58" i="2"/>
  <c r="U59" i="2"/>
  <c r="U63" i="2"/>
  <c r="U64" i="2"/>
  <c r="U65" i="2"/>
  <c r="U66" i="2"/>
  <c r="U67" i="2"/>
  <c r="A71" i="2"/>
  <c r="T71" i="2"/>
  <c r="U71" i="2"/>
  <c r="T72" i="2"/>
  <c r="U72" i="2"/>
  <c r="T73" i="2"/>
  <c r="U73" i="2"/>
  <c r="T74" i="2"/>
  <c r="U74" i="2"/>
  <c r="T75" i="2"/>
  <c r="U75" i="2"/>
  <c r="U76" i="2"/>
  <c r="U77" i="2"/>
  <c r="U78" i="2"/>
  <c r="U79" i="2"/>
  <c r="U80" i="2"/>
  <c r="T81" i="2"/>
  <c r="U81" i="2"/>
  <c r="U85" i="2"/>
  <c r="A89" i="2"/>
  <c r="T89" i="2"/>
  <c r="U89" i="2"/>
  <c r="T90" i="2"/>
  <c r="U90" i="2"/>
  <c r="T91" i="2"/>
  <c r="U91" i="2"/>
  <c r="T92" i="2"/>
  <c r="U92" i="2"/>
  <c r="T93" i="2"/>
  <c r="U93" i="2"/>
  <c r="T94" i="2"/>
  <c r="U94" i="2"/>
  <c r="T95" i="2"/>
  <c r="U95" i="2"/>
  <c r="U96" i="2"/>
  <c r="U97" i="2"/>
  <c r="U98" i="2"/>
  <c r="U99" i="2"/>
  <c r="U100" i="2"/>
  <c r="U101" i="2"/>
  <c r="U102" i="2"/>
  <c r="U103" i="2"/>
  <c r="U104" i="2"/>
  <c r="T105" i="2"/>
  <c r="U105" i="2"/>
  <c r="T109" i="2"/>
  <c r="U109" i="2"/>
  <c r="A113" i="2"/>
  <c r="P3" i="2" s="1"/>
  <c r="T113" i="2"/>
  <c r="U113" i="2"/>
  <c r="T114" i="2"/>
  <c r="U114" i="2"/>
  <c r="T115" i="2"/>
  <c r="U115" i="2"/>
  <c r="T116" i="2"/>
  <c r="U116" i="2"/>
  <c r="T117" i="2"/>
  <c r="U117" i="2"/>
  <c r="T118" i="2"/>
  <c r="U118" i="2"/>
  <c r="T119" i="2"/>
  <c r="U119" i="2"/>
  <c r="U120" i="2"/>
  <c r="U121" i="2"/>
  <c r="U122" i="2"/>
  <c r="U123" i="2"/>
  <c r="U124" i="2"/>
  <c r="U125" i="2"/>
  <c r="U126" i="2"/>
  <c r="U127" i="2"/>
  <c r="U128" i="2"/>
  <c r="T129" i="2"/>
  <c r="U129" i="2"/>
  <c r="T133" i="2"/>
  <c r="U133" i="2"/>
  <c r="A137" i="2"/>
  <c r="R3" i="2" s="1"/>
  <c r="T137" i="2"/>
  <c r="U137" i="2"/>
  <c r="T138" i="2"/>
  <c r="U138" i="2"/>
  <c r="T139" i="2"/>
  <c r="U139" i="2"/>
  <c r="T140" i="2"/>
  <c r="U140" i="2"/>
  <c r="T141" i="2"/>
  <c r="U141" i="2"/>
  <c r="U142" i="2"/>
  <c r="U143" i="2"/>
  <c r="U144" i="2"/>
  <c r="U145" i="2"/>
  <c r="U146" i="2"/>
  <c r="T147" i="2"/>
  <c r="U147" i="2"/>
  <c r="T151" i="2"/>
  <c r="U151" i="2"/>
  <c r="A155" i="2"/>
  <c r="T3" i="2" s="1"/>
  <c r="T155" i="2"/>
  <c r="U155" i="2"/>
  <c r="T156" i="2"/>
  <c r="U156" i="2"/>
  <c r="T157" i="2"/>
  <c r="U157" i="2"/>
  <c r="T158" i="2"/>
  <c r="U158" i="2"/>
  <c r="T159" i="2"/>
  <c r="U159" i="2"/>
  <c r="U160" i="2"/>
  <c r="U161" i="2"/>
  <c r="U162" i="2"/>
  <c r="U163" i="2"/>
  <c r="U164" i="2"/>
  <c r="T165" i="2"/>
  <c r="U165" i="2"/>
  <c r="T169" i="2"/>
  <c r="U169" i="2"/>
  <c r="U170" i="2"/>
  <c r="U171" i="2"/>
  <c r="AF6" i="3"/>
  <c r="AG6" i="3"/>
  <c r="AG7" i="3"/>
  <c r="AG8" i="3"/>
  <c r="AG9" i="3"/>
  <c r="AF17" i="3"/>
  <c r="F21" i="3"/>
  <c r="L21" i="3"/>
  <c r="R21" i="3"/>
  <c r="X21" i="3"/>
  <c r="AD21" i="3"/>
  <c r="F22" i="3"/>
  <c r="L22" i="3"/>
  <c r="R22" i="3"/>
  <c r="X22" i="3"/>
  <c r="AD22" i="3"/>
  <c r="F23" i="3"/>
  <c r="L23" i="3"/>
  <c r="R23" i="3"/>
  <c r="X23" i="3"/>
  <c r="AD23" i="3"/>
  <c r="F24" i="3"/>
  <c r="L24" i="3"/>
  <c r="R24" i="3"/>
  <c r="X24" i="3"/>
  <c r="AD24" i="3"/>
  <c r="F25" i="3"/>
  <c r="L25" i="3"/>
  <c r="R25" i="3"/>
  <c r="X25" i="3"/>
  <c r="AD25" i="3"/>
  <c r="F26" i="3"/>
  <c r="L26" i="3"/>
  <c r="R26" i="3"/>
  <c r="X26" i="3"/>
  <c r="AD26" i="3"/>
  <c r="F27" i="3"/>
  <c r="L27" i="3"/>
  <c r="R27" i="3"/>
  <c r="X27" i="3"/>
  <c r="AD27" i="3"/>
  <c r="F28" i="3"/>
  <c r="L28" i="3"/>
  <c r="R28" i="3"/>
  <c r="X28" i="3"/>
  <c r="AD28" i="3"/>
  <c r="F29" i="3"/>
  <c r="L29" i="3"/>
  <c r="R29" i="3"/>
  <c r="X29" i="3"/>
  <c r="AD29" i="3"/>
  <c r="F30" i="3"/>
  <c r="L30" i="3"/>
  <c r="R30" i="3"/>
  <c r="X30" i="3"/>
  <c r="AD30" i="3"/>
  <c r="F31" i="3"/>
  <c r="L31" i="3"/>
  <c r="R31" i="3"/>
  <c r="X31" i="3"/>
  <c r="AD31" i="3"/>
  <c r="F32" i="3"/>
  <c r="L32" i="3"/>
  <c r="R32" i="3"/>
  <c r="X32" i="3"/>
  <c r="AD32" i="3"/>
  <c r="F33" i="3"/>
  <c r="L33" i="3"/>
  <c r="R33" i="3"/>
  <c r="X33" i="3"/>
  <c r="AD33" i="3"/>
  <c r="F34" i="3"/>
  <c r="L34" i="3"/>
  <c r="R34" i="3"/>
  <c r="X34" i="3"/>
  <c r="AD34" i="3"/>
  <c r="F35" i="3"/>
  <c r="L35" i="3"/>
  <c r="R35" i="3"/>
  <c r="X35" i="3"/>
  <c r="AD35" i="3"/>
  <c r="F36" i="3"/>
  <c r="L36" i="3"/>
  <c r="R36" i="3"/>
  <c r="X36" i="3"/>
  <c r="AD36" i="3"/>
  <c r="AF41" i="3"/>
  <c r="AG41" i="3" s="1"/>
  <c r="F45" i="3"/>
  <c r="L45" i="3"/>
  <c r="R45" i="3"/>
  <c r="X45" i="3"/>
  <c r="AD45" i="3"/>
  <c r="F46" i="3"/>
  <c r="L46" i="3"/>
  <c r="R46" i="3"/>
  <c r="X46" i="3"/>
  <c r="AD46" i="3"/>
  <c r="F47" i="3"/>
  <c r="L47" i="3"/>
  <c r="R47" i="3"/>
  <c r="X47" i="3"/>
  <c r="AD47" i="3"/>
  <c r="F48" i="3"/>
  <c r="L48" i="3"/>
  <c r="R48" i="3"/>
  <c r="X48" i="3"/>
  <c r="AD48" i="3"/>
  <c r="F49" i="3"/>
  <c r="L49" i="3"/>
  <c r="R49" i="3"/>
  <c r="X49" i="3"/>
  <c r="AD49" i="3"/>
  <c r="F50" i="3"/>
  <c r="L50" i="3"/>
  <c r="R50" i="3"/>
  <c r="AG50" i="3" s="1"/>
  <c r="X50" i="3"/>
  <c r="AD50" i="3"/>
  <c r="F51" i="3"/>
  <c r="L51" i="3"/>
  <c r="R51" i="3"/>
  <c r="X51" i="3"/>
  <c r="AD51" i="3"/>
  <c r="F52" i="3"/>
  <c r="L52" i="3"/>
  <c r="R52" i="3"/>
  <c r="X52" i="3"/>
  <c r="AD52" i="3"/>
  <c r="F53" i="3"/>
  <c r="L53" i="3"/>
  <c r="R53" i="3"/>
  <c r="X53" i="3"/>
  <c r="AD53" i="3"/>
  <c r="F54" i="3"/>
  <c r="L54" i="3"/>
  <c r="R54" i="3"/>
  <c r="X54" i="3"/>
  <c r="AD54" i="3"/>
  <c r="F55" i="3"/>
  <c r="L55" i="3"/>
  <c r="R55" i="3"/>
  <c r="X55" i="3"/>
  <c r="AD55" i="3"/>
  <c r="F56" i="3"/>
  <c r="L56" i="3"/>
  <c r="R56" i="3"/>
  <c r="X56" i="3"/>
  <c r="AD56" i="3"/>
  <c r="F57" i="3"/>
  <c r="L57" i="3"/>
  <c r="R57" i="3"/>
  <c r="X57" i="3"/>
  <c r="AG57" i="3" s="1"/>
  <c r="AD57" i="3"/>
  <c r="F58" i="3"/>
  <c r="L58" i="3"/>
  <c r="R58" i="3"/>
  <c r="AG58" i="3" s="1"/>
  <c r="X58" i="3"/>
  <c r="AD58" i="3"/>
  <c r="F59" i="3"/>
  <c r="L59" i="3"/>
  <c r="R59" i="3"/>
  <c r="X59" i="3"/>
  <c r="AD59" i="3"/>
  <c r="F60" i="3"/>
  <c r="L60" i="3"/>
  <c r="R60" i="3"/>
  <c r="X60" i="3"/>
  <c r="AD60" i="3"/>
  <c r="AG65" i="3"/>
  <c r="F69" i="3"/>
  <c r="L69" i="3"/>
  <c r="R69" i="3"/>
  <c r="X69" i="3"/>
  <c r="AD69" i="3"/>
  <c r="F70" i="3"/>
  <c r="L70" i="3"/>
  <c r="R70" i="3"/>
  <c r="X70" i="3"/>
  <c r="AD70" i="3"/>
  <c r="F71" i="3"/>
  <c r="AG71" i="3" s="1"/>
  <c r="L71" i="3"/>
  <c r="R71" i="3"/>
  <c r="X71" i="3"/>
  <c r="AD71" i="3"/>
  <c r="F72" i="3"/>
  <c r="L72" i="3"/>
  <c r="R72" i="3"/>
  <c r="X72" i="3"/>
  <c r="AD72" i="3"/>
  <c r="F73" i="3"/>
  <c r="L73" i="3"/>
  <c r="R73" i="3"/>
  <c r="X73" i="3"/>
  <c r="AD73" i="3"/>
  <c r="F74" i="3"/>
  <c r="L74" i="3"/>
  <c r="R74" i="3"/>
  <c r="X74" i="3"/>
  <c r="AD74" i="3"/>
  <c r="F75" i="3"/>
  <c r="L75" i="3"/>
  <c r="R75" i="3"/>
  <c r="X75" i="3"/>
  <c r="AD75" i="3"/>
  <c r="F76" i="3"/>
  <c r="L76" i="3"/>
  <c r="R76" i="3"/>
  <c r="X76" i="3"/>
  <c r="AD76" i="3"/>
  <c r="F77" i="3"/>
  <c r="L77" i="3"/>
  <c r="R77" i="3"/>
  <c r="X77" i="3"/>
  <c r="AD77" i="3"/>
  <c r="F78" i="3"/>
  <c r="L78" i="3"/>
  <c r="R78" i="3"/>
  <c r="X78" i="3"/>
  <c r="AD78" i="3"/>
  <c r="F79" i="3"/>
  <c r="L79" i="3"/>
  <c r="R79" i="3"/>
  <c r="AG79" i="3" s="1"/>
  <c r="X79" i="3"/>
  <c r="AD79" i="3"/>
  <c r="F80" i="3"/>
  <c r="L80" i="3"/>
  <c r="R80" i="3"/>
  <c r="X80" i="3"/>
  <c r="AD80" i="3"/>
  <c r="F81" i="3"/>
  <c r="L81" i="3"/>
  <c r="R81" i="3"/>
  <c r="X81" i="3"/>
  <c r="AD81" i="3"/>
  <c r="F82" i="3"/>
  <c r="L82" i="3"/>
  <c r="R82" i="3"/>
  <c r="X82" i="3"/>
  <c r="AD82" i="3"/>
  <c r="F83" i="3"/>
  <c r="L83" i="3"/>
  <c r="R83" i="3"/>
  <c r="X83" i="3"/>
  <c r="AD83" i="3"/>
  <c r="F84" i="3"/>
  <c r="L84" i="3"/>
  <c r="R84" i="3"/>
  <c r="X84" i="3"/>
  <c r="AD84" i="3"/>
  <c r="Z88" i="3"/>
  <c r="Z91" i="3" s="1"/>
  <c r="AS616" i="1"/>
  <c r="F95" i="3"/>
  <c r="L95" i="3"/>
  <c r="R95" i="3"/>
  <c r="X95" i="3"/>
  <c r="AD95" i="3"/>
  <c r="F96" i="3"/>
  <c r="L96" i="3"/>
  <c r="R96" i="3"/>
  <c r="X96" i="3"/>
  <c r="AD96" i="3"/>
  <c r="AG96" i="3"/>
  <c r="F97" i="3"/>
  <c r="L97" i="3"/>
  <c r="R97" i="3"/>
  <c r="X97" i="3"/>
  <c r="AG97" i="3" s="1"/>
  <c r="AD97" i="3"/>
  <c r="F98" i="3"/>
  <c r="L98" i="3"/>
  <c r="R98" i="3"/>
  <c r="AG98" i="3" s="1"/>
  <c r="X98" i="3"/>
  <c r="AD98" i="3"/>
  <c r="F99" i="3"/>
  <c r="L99" i="3"/>
  <c r="R99" i="3"/>
  <c r="X99" i="3"/>
  <c r="AD99" i="3"/>
  <c r="F100" i="3"/>
  <c r="AG100" i="3" s="1"/>
  <c r="L100" i="3"/>
  <c r="R100" i="3"/>
  <c r="X100" i="3"/>
  <c r="AD100" i="3"/>
  <c r="F101" i="3"/>
  <c r="L101" i="3"/>
  <c r="R101" i="3"/>
  <c r="X101" i="3"/>
  <c r="AD101" i="3"/>
  <c r="F102" i="3"/>
  <c r="L102" i="3"/>
  <c r="R102" i="3"/>
  <c r="X102" i="3"/>
  <c r="AD102" i="3"/>
  <c r="F103" i="3"/>
  <c r="L103" i="3"/>
  <c r="R103" i="3"/>
  <c r="X103" i="3"/>
  <c r="AD103" i="3"/>
  <c r="F104" i="3"/>
  <c r="AG104" i="3" s="1"/>
  <c r="L104" i="3"/>
  <c r="R104" i="3"/>
  <c r="X104" i="3"/>
  <c r="AD104" i="3"/>
  <c r="F105" i="3"/>
  <c r="L105" i="3"/>
  <c r="R105" i="3"/>
  <c r="X105" i="3"/>
  <c r="AD105" i="3"/>
  <c r="F106" i="3"/>
  <c r="L106" i="3"/>
  <c r="R106" i="3"/>
  <c r="X106" i="3"/>
  <c r="AD106" i="3"/>
  <c r="F107" i="3"/>
  <c r="L107" i="3"/>
  <c r="R107" i="3"/>
  <c r="X107" i="3"/>
  <c r="AD107" i="3"/>
  <c r="F108" i="3"/>
  <c r="L108" i="3"/>
  <c r="R108" i="3"/>
  <c r="X108" i="3"/>
  <c r="AD108" i="3"/>
  <c r="F109" i="3"/>
  <c r="L109" i="3"/>
  <c r="R109" i="3"/>
  <c r="X109" i="3"/>
  <c r="AD109" i="3"/>
  <c r="F110" i="3"/>
  <c r="L110" i="3"/>
  <c r="R110" i="3"/>
  <c r="X110" i="3"/>
  <c r="AD110" i="3"/>
  <c r="F121" i="3"/>
  <c r="L121" i="3"/>
  <c r="R121" i="3"/>
  <c r="X121" i="3"/>
  <c r="AD121" i="3"/>
  <c r="F122" i="3"/>
  <c r="L122" i="3"/>
  <c r="H138" i="3" s="1"/>
  <c r="H140" i="3" s="1"/>
  <c r="R122" i="3"/>
  <c r="X122" i="3"/>
  <c r="AD122" i="3"/>
  <c r="F123" i="3"/>
  <c r="L123" i="3"/>
  <c r="R123" i="3"/>
  <c r="AG123" i="3" s="1"/>
  <c r="X123" i="3"/>
  <c r="AD123" i="3"/>
  <c r="F124" i="3"/>
  <c r="L124" i="3"/>
  <c r="R124" i="3"/>
  <c r="X124" i="3"/>
  <c r="AD124" i="3"/>
  <c r="F125" i="3"/>
  <c r="L125" i="3"/>
  <c r="R125" i="3"/>
  <c r="X125" i="3"/>
  <c r="AD125" i="3"/>
  <c r="F126" i="3"/>
  <c r="L126" i="3"/>
  <c r="R126" i="3"/>
  <c r="X126" i="3"/>
  <c r="AD126" i="3"/>
  <c r="F127" i="3"/>
  <c r="L127" i="3"/>
  <c r="R127" i="3"/>
  <c r="X127" i="3"/>
  <c r="AD127" i="3"/>
  <c r="F128" i="3"/>
  <c r="L128" i="3"/>
  <c r="R128" i="3"/>
  <c r="X128" i="3"/>
  <c r="AD128" i="3"/>
  <c r="F129" i="3"/>
  <c r="AG129" i="3" s="1"/>
  <c r="L129" i="3"/>
  <c r="R129" i="3"/>
  <c r="X129" i="3"/>
  <c r="AD129" i="3"/>
  <c r="F130" i="3"/>
  <c r="L130" i="3"/>
  <c r="R130" i="3"/>
  <c r="X130" i="3"/>
  <c r="AD130" i="3"/>
  <c r="F131" i="3"/>
  <c r="L131" i="3"/>
  <c r="R131" i="3"/>
  <c r="X131" i="3"/>
  <c r="AD131" i="3"/>
  <c r="F132" i="3"/>
  <c r="L132" i="3"/>
  <c r="R132" i="3"/>
  <c r="X132" i="3"/>
  <c r="AD132" i="3"/>
  <c r="F133" i="3"/>
  <c r="L133" i="3"/>
  <c r="R133" i="3"/>
  <c r="X133" i="3"/>
  <c r="AD133" i="3"/>
  <c r="F134" i="3"/>
  <c r="L134" i="3"/>
  <c r="R134" i="3"/>
  <c r="X134" i="3"/>
  <c r="AD134" i="3"/>
  <c r="F135" i="3"/>
  <c r="L135" i="3"/>
  <c r="R135" i="3"/>
  <c r="X135" i="3"/>
  <c r="AD135" i="3"/>
  <c r="F136" i="3"/>
  <c r="L136" i="3"/>
  <c r="R136" i="3"/>
  <c r="X136" i="3"/>
  <c r="AD136" i="3"/>
  <c r="AF140" i="3"/>
  <c r="F144" i="3"/>
  <c r="L144" i="3"/>
  <c r="R144" i="3"/>
  <c r="X144" i="3"/>
  <c r="AD144" i="3"/>
  <c r="F145" i="3"/>
  <c r="L145" i="3"/>
  <c r="R145" i="3"/>
  <c r="X145" i="3"/>
  <c r="AD145" i="3"/>
  <c r="F146" i="3"/>
  <c r="L146" i="3"/>
  <c r="R146" i="3"/>
  <c r="X146" i="3"/>
  <c r="AD146" i="3"/>
  <c r="F147" i="3"/>
  <c r="L147" i="3"/>
  <c r="R147" i="3"/>
  <c r="N161" i="3" s="1"/>
  <c r="N163" i="3" s="1"/>
  <c r="X147" i="3"/>
  <c r="AD147" i="3"/>
  <c r="F148" i="3"/>
  <c r="L148" i="3"/>
  <c r="R148" i="3"/>
  <c r="X148" i="3"/>
  <c r="AD148" i="3"/>
  <c r="F149" i="3"/>
  <c r="L149" i="3"/>
  <c r="R149" i="3"/>
  <c r="X149" i="3"/>
  <c r="AD149" i="3"/>
  <c r="F150" i="3"/>
  <c r="L150" i="3"/>
  <c r="R150" i="3"/>
  <c r="X150" i="3"/>
  <c r="AD150" i="3"/>
  <c r="F151" i="3"/>
  <c r="L151" i="3"/>
  <c r="R151" i="3"/>
  <c r="X151" i="3"/>
  <c r="AD151" i="3"/>
  <c r="F152" i="3"/>
  <c r="L152" i="3"/>
  <c r="R152" i="3"/>
  <c r="X152" i="3"/>
  <c r="AD152" i="3"/>
  <c r="F153" i="3"/>
  <c r="L153" i="3"/>
  <c r="R153" i="3"/>
  <c r="X153" i="3"/>
  <c r="AD153" i="3"/>
  <c r="F154" i="3"/>
  <c r="L154" i="3"/>
  <c r="R154" i="3"/>
  <c r="X154" i="3"/>
  <c r="AD154" i="3"/>
  <c r="F155" i="3"/>
  <c r="L155" i="3"/>
  <c r="R155" i="3"/>
  <c r="X155" i="3"/>
  <c r="AD155" i="3"/>
  <c r="F156" i="3"/>
  <c r="L156" i="3"/>
  <c r="R156" i="3"/>
  <c r="X156" i="3"/>
  <c r="AD156" i="3"/>
  <c r="F157" i="3"/>
  <c r="L157" i="3"/>
  <c r="R157" i="3"/>
  <c r="X157" i="3"/>
  <c r="AD157" i="3"/>
  <c r="F158" i="3"/>
  <c r="L158" i="3"/>
  <c r="R158" i="3"/>
  <c r="X158" i="3"/>
  <c r="AD158" i="3"/>
  <c r="F159" i="3"/>
  <c r="L159" i="3"/>
  <c r="R159" i="3"/>
  <c r="X159" i="3"/>
  <c r="AD159" i="3"/>
  <c r="F167" i="3"/>
  <c r="L167" i="3"/>
  <c r="R167" i="3"/>
  <c r="X167" i="3"/>
  <c r="AD167" i="3"/>
  <c r="F168" i="3"/>
  <c r="L168" i="3"/>
  <c r="R168" i="3"/>
  <c r="X168" i="3"/>
  <c r="AD168" i="3"/>
  <c r="F169" i="3"/>
  <c r="L169" i="3"/>
  <c r="R169" i="3"/>
  <c r="X169" i="3"/>
  <c r="AD169" i="3"/>
  <c r="F170" i="3"/>
  <c r="L170" i="3"/>
  <c r="R170" i="3"/>
  <c r="X170" i="3"/>
  <c r="AD170" i="3"/>
  <c r="F171" i="3"/>
  <c r="L171" i="3"/>
  <c r="R171" i="3"/>
  <c r="X171" i="3"/>
  <c r="AD171" i="3"/>
  <c r="F172" i="3"/>
  <c r="L172" i="3"/>
  <c r="R172" i="3"/>
  <c r="X172" i="3"/>
  <c r="AD172" i="3"/>
  <c r="F173" i="3"/>
  <c r="L173" i="3"/>
  <c r="R173" i="3"/>
  <c r="X173" i="3"/>
  <c r="AD173" i="3"/>
  <c r="F174" i="3"/>
  <c r="L174" i="3"/>
  <c r="R174" i="3"/>
  <c r="X174" i="3"/>
  <c r="AD174" i="3"/>
  <c r="F175" i="3"/>
  <c r="L175" i="3"/>
  <c r="R175" i="3"/>
  <c r="X175" i="3"/>
  <c r="AD175" i="3"/>
  <c r="F176" i="3"/>
  <c r="L176" i="3"/>
  <c r="R176" i="3"/>
  <c r="X176" i="3"/>
  <c r="AD176" i="3"/>
  <c r="F177" i="3"/>
  <c r="L177" i="3"/>
  <c r="R177" i="3"/>
  <c r="X177" i="3"/>
  <c r="AD177" i="3"/>
  <c r="F178" i="3"/>
  <c r="L178" i="3"/>
  <c r="R178" i="3"/>
  <c r="X178" i="3"/>
  <c r="AD178" i="3"/>
  <c r="F179" i="3"/>
  <c r="L179" i="3"/>
  <c r="R179" i="3"/>
  <c r="X179" i="3"/>
  <c r="AD179" i="3"/>
  <c r="F180" i="3"/>
  <c r="L180" i="3"/>
  <c r="R180" i="3"/>
  <c r="X180" i="3"/>
  <c r="AD180" i="3"/>
  <c r="F181" i="3"/>
  <c r="L181" i="3"/>
  <c r="R181" i="3"/>
  <c r="X181" i="3"/>
  <c r="AD181" i="3"/>
  <c r="F182" i="3"/>
  <c r="L182" i="3"/>
  <c r="R182" i="3"/>
  <c r="X182" i="3"/>
  <c r="AD182" i="3"/>
  <c r="F192" i="3"/>
  <c r="L192" i="3"/>
  <c r="R192" i="3"/>
  <c r="X192" i="3"/>
  <c r="AD192" i="3"/>
  <c r="F193" i="3"/>
  <c r="L193" i="3"/>
  <c r="R193" i="3"/>
  <c r="X193" i="3"/>
  <c r="AD193" i="3"/>
  <c r="F194" i="3"/>
  <c r="L194" i="3"/>
  <c r="R194" i="3"/>
  <c r="X194" i="3"/>
  <c r="AD194" i="3"/>
  <c r="F195" i="3"/>
  <c r="L195" i="3"/>
  <c r="R195" i="3"/>
  <c r="X195" i="3"/>
  <c r="AD195" i="3"/>
  <c r="F196" i="3"/>
  <c r="L196" i="3"/>
  <c r="R196" i="3"/>
  <c r="X196" i="3"/>
  <c r="AD196" i="3"/>
  <c r="F197" i="3"/>
  <c r="L197" i="3"/>
  <c r="R197" i="3"/>
  <c r="X197" i="3"/>
  <c r="AD197" i="3"/>
  <c r="F198" i="3"/>
  <c r="L198" i="3"/>
  <c r="R198" i="3"/>
  <c r="X198" i="3"/>
  <c r="AD198" i="3"/>
  <c r="F199" i="3"/>
  <c r="L199" i="3"/>
  <c r="R199" i="3"/>
  <c r="X199" i="3"/>
  <c r="AD199" i="3"/>
  <c r="F200" i="3"/>
  <c r="L200" i="3"/>
  <c r="R200" i="3"/>
  <c r="X200" i="3"/>
  <c r="AD200" i="3"/>
  <c r="F201" i="3"/>
  <c r="L201" i="3"/>
  <c r="R201" i="3"/>
  <c r="X201" i="3"/>
  <c r="AD201" i="3"/>
  <c r="F202" i="3"/>
  <c r="L202" i="3"/>
  <c r="R202" i="3"/>
  <c r="X202" i="3"/>
  <c r="AD202" i="3"/>
  <c r="F203" i="3"/>
  <c r="L203" i="3"/>
  <c r="R203" i="3"/>
  <c r="X203" i="3"/>
  <c r="AD203" i="3"/>
  <c r="F204" i="3"/>
  <c r="L204" i="3"/>
  <c r="R204" i="3"/>
  <c r="X204" i="3"/>
  <c r="AD204" i="3"/>
  <c r="F205" i="3"/>
  <c r="L205" i="3"/>
  <c r="R205" i="3"/>
  <c r="X205" i="3"/>
  <c r="AD205" i="3"/>
  <c r="F206" i="3"/>
  <c r="L206" i="3"/>
  <c r="R206" i="3"/>
  <c r="X206" i="3"/>
  <c r="AD206" i="3"/>
  <c r="F207" i="3"/>
  <c r="L207" i="3"/>
  <c r="R207" i="3"/>
  <c r="X207" i="3"/>
  <c r="AD207" i="3"/>
  <c r="C4" i="4"/>
  <c r="C8" i="4"/>
  <c r="F8" i="4"/>
  <c r="J8" i="4"/>
  <c r="M8" i="4"/>
  <c r="Q8" i="4"/>
  <c r="T8" i="4"/>
  <c r="X8" i="4"/>
  <c r="AA8" i="4"/>
  <c r="C9" i="4"/>
  <c r="F9" i="4"/>
  <c r="J9" i="4"/>
  <c r="M9" i="4"/>
  <c r="Q9" i="4"/>
  <c r="T9" i="4"/>
  <c r="X9" i="4"/>
  <c r="AA9" i="4"/>
  <c r="C10" i="4"/>
  <c r="F10" i="4"/>
  <c r="J10" i="4"/>
  <c r="AB10" i="4" s="1"/>
  <c r="M10" i="4"/>
  <c r="Q10" i="4"/>
  <c r="T10" i="4"/>
  <c r="X10" i="4"/>
  <c r="AA10" i="4"/>
  <c r="C11" i="4"/>
  <c r="F11" i="4"/>
  <c r="J11" i="4"/>
  <c r="M11" i="4"/>
  <c r="Q11" i="4"/>
  <c r="T11" i="4"/>
  <c r="X11" i="4"/>
  <c r="AA11" i="4"/>
  <c r="C12" i="4"/>
  <c r="F12" i="4"/>
  <c r="J12" i="4"/>
  <c r="M12" i="4"/>
  <c r="Q12" i="4"/>
  <c r="T12" i="4"/>
  <c r="X12" i="4"/>
  <c r="AA12" i="4"/>
  <c r="C13" i="4"/>
  <c r="F13" i="4"/>
  <c r="J13" i="4"/>
  <c r="M13" i="4"/>
  <c r="Q13" i="4"/>
  <c r="T13" i="4"/>
  <c r="X13" i="4"/>
  <c r="AA13" i="4"/>
  <c r="C14" i="4"/>
  <c r="F14" i="4"/>
  <c r="J14" i="4"/>
  <c r="M14" i="4"/>
  <c r="Q14" i="4"/>
  <c r="T14" i="4"/>
  <c r="X14" i="4"/>
  <c r="AA14" i="4"/>
  <c r="C15" i="4"/>
  <c r="F15" i="4"/>
  <c r="J15" i="4"/>
  <c r="M15" i="4"/>
  <c r="Q15" i="4"/>
  <c r="T15" i="4"/>
  <c r="X15" i="4"/>
  <c r="AA15" i="4"/>
  <c r="C16" i="4"/>
  <c r="F16" i="4"/>
  <c r="J16" i="4"/>
  <c r="M16" i="4"/>
  <c r="Q16" i="4"/>
  <c r="T16" i="4"/>
  <c r="X16" i="4"/>
  <c r="AA16" i="4"/>
  <c r="C17" i="4"/>
  <c r="F17" i="4"/>
  <c r="J17" i="4"/>
  <c r="M17" i="4"/>
  <c r="Q17" i="4"/>
  <c r="T17" i="4"/>
  <c r="X17" i="4"/>
  <c r="AA17" i="4"/>
  <c r="C18" i="4"/>
  <c r="F18" i="4"/>
  <c r="AB18" i="4" s="1"/>
  <c r="J18" i="4"/>
  <c r="M18" i="4"/>
  <c r="Q18" i="4"/>
  <c r="T18" i="4"/>
  <c r="X18" i="4"/>
  <c r="AA18" i="4"/>
  <c r="C19" i="4"/>
  <c r="F19" i="4"/>
  <c r="J19" i="4"/>
  <c r="M19" i="4"/>
  <c r="Q19" i="4"/>
  <c r="T19" i="4"/>
  <c r="X19" i="4"/>
  <c r="AA19" i="4"/>
  <c r="C20" i="4"/>
  <c r="F20" i="4"/>
  <c r="AB20" i="4" s="1"/>
  <c r="J20" i="4"/>
  <c r="M20" i="4"/>
  <c r="Q20" i="4"/>
  <c r="T20" i="4"/>
  <c r="X20" i="4"/>
  <c r="AA20" i="4"/>
  <c r="C21" i="4"/>
  <c r="F21" i="4"/>
  <c r="J21" i="4"/>
  <c r="M21" i="4"/>
  <c r="Q21" i="4"/>
  <c r="T21" i="4"/>
  <c r="X21" i="4"/>
  <c r="AA21" i="4"/>
  <c r="C22" i="4"/>
  <c r="F22" i="4"/>
  <c r="J22" i="4"/>
  <c r="M22" i="4"/>
  <c r="Q22" i="4"/>
  <c r="T22" i="4"/>
  <c r="X22" i="4"/>
  <c r="AA22" i="4"/>
  <c r="C23" i="4"/>
  <c r="F23" i="4"/>
  <c r="J23" i="4"/>
  <c r="M23" i="4"/>
  <c r="Q23" i="4"/>
  <c r="T23" i="4"/>
  <c r="X23" i="4"/>
  <c r="AA23" i="4"/>
  <c r="C24" i="4"/>
  <c r="F24" i="4"/>
  <c r="J24" i="4"/>
  <c r="M24" i="4"/>
  <c r="Q24" i="4"/>
  <c r="T24" i="4"/>
  <c r="X24" i="4"/>
  <c r="AA24" i="4"/>
  <c r="C25" i="4"/>
  <c r="F25" i="4"/>
  <c r="J25" i="4"/>
  <c r="M25" i="4"/>
  <c r="Q25" i="4"/>
  <c r="T25" i="4"/>
  <c r="X25" i="4"/>
  <c r="AA25" i="4"/>
  <c r="C36" i="4"/>
  <c r="F36" i="4"/>
  <c r="J36" i="4"/>
  <c r="M36" i="4"/>
  <c r="Q36" i="4"/>
  <c r="T36" i="4"/>
  <c r="X36" i="4"/>
  <c r="AA36" i="4"/>
  <c r="C37" i="4"/>
  <c r="F37" i="4"/>
  <c r="J37" i="4"/>
  <c r="M37" i="4"/>
  <c r="Q37" i="4"/>
  <c r="T37" i="4"/>
  <c r="X37" i="4"/>
  <c r="AA37" i="4"/>
  <c r="C38" i="4"/>
  <c r="F38" i="4"/>
  <c r="J38" i="4"/>
  <c r="M38" i="4"/>
  <c r="Q38" i="4"/>
  <c r="T38" i="4"/>
  <c r="X38" i="4"/>
  <c r="AA38" i="4"/>
  <c r="C39" i="4"/>
  <c r="F39" i="4"/>
  <c r="J39" i="4"/>
  <c r="M39" i="4"/>
  <c r="Q39" i="4"/>
  <c r="T39" i="4"/>
  <c r="X39" i="4"/>
  <c r="AA39" i="4"/>
  <c r="C40" i="4"/>
  <c r="F40" i="4"/>
  <c r="J40" i="4"/>
  <c r="M40" i="4"/>
  <c r="Q40" i="4"/>
  <c r="T40" i="4"/>
  <c r="X40" i="4"/>
  <c r="AA40" i="4"/>
  <c r="C41" i="4"/>
  <c r="F41" i="4"/>
  <c r="AB41" i="4" s="1"/>
  <c r="J41" i="4"/>
  <c r="M41" i="4"/>
  <c r="Q41" i="4"/>
  <c r="T41" i="4"/>
  <c r="X41" i="4"/>
  <c r="AA41" i="4"/>
  <c r="C42" i="4"/>
  <c r="F42" i="4"/>
  <c r="J42" i="4"/>
  <c r="M42" i="4"/>
  <c r="Q42" i="4"/>
  <c r="T42" i="4"/>
  <c r="X42" i="4"/>
  <c r="AA42" i="4"/>
  <c r="C43" i="4"/>
  <c r="F43" i="4"/>
  <c r="J43" i="4"/>
  <c r="M43" i="4"/>
  <c r="Q43" i="4"/>
  <c r="T43" i="4"/>
  <c r="X43" i="4"/>
  <c r="AA43" i="4"/>
  <c r="C44" i="4"/>
  <c r="F44" i="4"/>
  <c r="J44" i="4"/>
  <c r="M44" i="4"/>
  <c r="Q44" i="4"/>
  <c r="T44" i="4"/>
  <c r="X44" i="4"/>
  <c r="AA44" i="4"/>
  <c r="C45" i="4"/>
  <c r="F45" i="4"/>
  <c r="J45" i="4"/>
  <c r="M45" i="4"/>
  <c r="Q45" i="4"/>
  <c r="T45" i="4"/>
  <c r="X45" i="4"/>
  <c r="AA45" i="4"/>
  <c r="C46" i="4"/>
  <c r="F46" i="4"/>
  <c r="J46" i="4"/>
  <c r="M46" i="4"/>
  <c r="Q46" i="4"/>
  <c r="T46" i="4"/>
  <c r="X46" i="4"/>
  <c r="AA46" i="4"/>
  <c r="C47" i="4"/>
  <c r="F47" i="4"/>
  <c r="AB47" i="4" s="1"/>
  <c r="J47" i="4"/>
  <c r="M47" i="4"/>
  <c r="Q47" i="4"/>
  <c r="T47" i="4"/>
  <c r="X47" i="4"/>
  <c r="AA47" i="4"/>
  <c r="C48" i="4"/>
  <c r="F48" i="4"/>
  <c r="J48" i="4"/>
  <c r="M48" i="4"/>
  <c r="Q48" i="4"/>
  <c r="T48" i="4"/>
  <c r="X48" i="4"/>
  <c r="AA48" i="4"/>
  <c r="C49" i="4"/>
  <c r="F49" i="4"/>
  <c r="J49" i="4"/>
  <c r="M49" i="4"/>
  <c r="Q49" i="4"/>
  <c r="T49" i="4"/>
  <c r="X49" i="4"/>
  <c r="AA49" i="4"/>
  <c r="C50" i="4"/>
  <c r="F50" i="4"/>
  <c r="J50" i="4"/>
  <c r="M50" i="4"/>
  <c r="Q50" i="4"/>
  <c r="T50" i="4"/>
  <c r="X50" i="4"/>
  <c r="AA50" i="4"/>
  <c r="C51" i="4"/>
  <c r="F51" i="4"/>
  <c r="J51" i="4"/>
  <c r="M51" i="4"/>
  <c r="Q51" i="4"/>
  <c r="T51" i="4"/>
  <c r="X51" i="4"/>
  <c r="AA51" i="4"/>
  <c r="C52" i="4"/>
  <c r="F52" i="4"/>
  <c r="J52" i="4"/>
  <c r="M52" i="4"/>
  <c r="Q52" i="4"/>
  <c r="T52" i="4"/>
  <c r="X52" i="4"/>
  <c r="AA52" i="4"/>
  <c r="C53" i="4"/>
  <c r="F53" i="4"/>
  <c r="J53" i="4"/>
  <c r="M53" i="4"/>
  <c r="Q53" i="4"/>
  <c r="T53" i="4"/>
  <c r="X53" i="4"/>
  <c r="AA53" i="4"/>
  <c r="AB66" i="4"/>
  <c r="AB68" i="4"/>
  <c r="AB69" i="4"/>
  <c r="AB70" i="4"/>
  <c r="AB72" i="4"/>
  <c r="AB73" i="4"/>
  <c r="AB74" i="4"/>
  <c r="AB75" i="4"/>
  <c r="AB76" i="4"/>
  <c r="AB77" i="4"/>
  <c r="AB78" i="4"/>
  <c r="AB79" i="4"/>
  <c r="AB80" i="4"/>
  <c r="AB81" i="4"/>
  <c r="B82" i="4"/>
  <c r="AS388" i="1" s="1"/>
  <c r="D82" i="4"/>
  <c r="F82" i="4"/>
  <c r="H82" i="4"/>
  <c r="J82" i="4"/>
  <c r="L82" i="4"/>
  <c r="N82" i="4"/>
  <c r="P82" i="4"/>
  <c r="R82" i="4"/>
  <c r="T82" i="4"/>
  <c r="V82" i="4"/>
  <c r="X82" i="4"/>
  <c r="Z82" i="4"/>
  <c r="AB89" i="4"/>
  <c r="AB90" i="4"/>
  <c r="AB92" i="4"/>
  <c r="AB93" i="4"/>
  <c r="AB94" i="4"/>
  <c r="AB95" i="4"/>
  <c r="AB96" i="4"/>
  <c r="AB97" i="4"/>
  <c r="AB98" i="4"/>
  <c r="AB99" i="4"/>
  <c r="AB100" i="4"/>
  <c r="AB101" i="4"/>
  <c r="AB102" i="4"/>
  <c r="B103" i="4"/>
  <c r="D103" i="4"/>
  <c r="F103" i="4"/>
  <c r="H103" i="4"/>
  <c r="J103" i="4"/>
  <c r="L103" i="4"/>
  <c r="N103" i="4"/>
  <c r="P103" i="4"/>
  <c r="R103" i="4"/>
  <c r="T103" i="4"/>
  <c r="V103" i="4"/>
  <c r="X103" i="4"/>
  <c r="Z103" i="4"/>
  <c r="AB110" i="4"/>
  <c r="AB111" i="4"/>
  <c r="AB112" i="4"/>
  <c r="AB114" i="4"/>
  <c r="AB115" i="4"/>
  <c r="AB116" i="4"/>
  <c r="AB117" i="4"/>
  <c r="AB118" i="4"/>
  <c r="AB119" i="4"/>
  <c r="AB120" i="4"/>
  <c r="AB121" i="4"/>
  <c r="AB122" i="4"/>
  <c r="AB123" i="4"/>
  <c r="B124" i="4"/>
  <c r="D124" i="4"/>
  <c r="F124" i="4"/>
  <c r="H124" i="4"/>
  <c r="J124" i="4"/>
  <c r="L124" i="4"/>
  <c r="N124" i="4"/>
  <c r="P124" i="4"/>
  <c r="R124" i="4"/>
  <c r="T124" i="4"/>
  <c r="V124" i="4"/>
  <c r="X124" i="4"/>
  <c r="Z124" i="4"/>
  <c r="AB131" i="4"/>
  <c r="AB132" i="4"/>
  <c r="AB133" i="4"/>
  <c r="AB135" i="4"/>
  <c r="AB136" i="4"/>
  <c r="AB137" i="4"/>
  <c r="AB138" i="4"/>
  <c r="AB139" i="4"/>
  <c r="AB140" i="4"/>
  <c r="AB141" i="4"/>
  <c r="AB142" i="4"/>
  <c r="AB143" i="4"/>
  <c r="AB144" i="4"/>
  <c r="B145" i="4"/>
  <c r="AS457" i="1" s="1"/>
  <c r="AW457" i="1" s="1"/>
  <c r="BA457" i="1" s="1"/>
  <c r="D145" i="4"/>
  <c r="F145" i="4"/>
  <c r="H145" i="4"/>
  <c r="J145" i="4"/>
  <c r="L145" i="4"/>
  <c r="N145" i="4"/>
  <c r="P145" i="4"/>
  <c r="R145" i="4"/>
  <c r="T145" i="4"/>
  <c r="V145" i="4"/>
  <c r="X145" i="4"/>
  <c r="Z145" i="4"/>
  <c r="G6" i="5"/>
  <c r="I6" i="5" s="1"/>
  <c r="AS472" i="1" s="1"/>
  <c r="P6" i="5"/>
  <c r="G7" i="5"/>
  <c r="X7" i="5" s="1"/>
  <c r="P7" i="5"/>
  <c r="G8" i="5"/>
  <c r="X8" i="5" s="1"/>
  <c r="P8" i="5"/>
  <c r="G9" i="5"/>
  <c r="I9" i="5" s="1"/>
  <c r="P9" i="5"/>
  <c r="G10" i="5"/>
  <c r="X10" i="5" s="1"/>
  <c r="P10" i="5"/>
  <c r="G11" i="5"/>
  <c r="I11" i="5" s="1"/>
  <c r="P11" i="5"/>
  <c r="G12" i="5"/>
  <c r="P12" i="5"/>
  <c r="G13" i="5"/>
  <c r="P13" i="5"/>
  <c r="G14" i="5"/>
  <c r="I14" i="5" s="1"/>
  <c r="P14" i="5"/>
  <c r="G15" i="5"/>
  <c r="I15" i="5" s="1"/>
  <c r="P15" i="5"/>
  <c r="G16" i="5"/>
  <c r="X16" i="5" s="1"/>
  <c r="P16" i="5"/>
  <c r="G17" i="5"/>
  <c r="I17" i="5" s="1"/>
  <c r="P17" i="5"/>
  <c r="G18" i="5"/>
  <c r="I18" i="5" s="1"/>
  <c r="P18" i="5"/>
  <c r="G19" i="5"/>
  <c r="X19" i="5" s="1"/>
  <c r="P19" i="5"/>
  <c r="P20" i="5"/>
  <c r="G21" i="5"/>
  <c r="P21" i="5"/>
  <c r="G22" i="5"/>
  <c r="P22" i="5"/>
  <c r="G23" i="5"/>
  <c r="X23" i="5" s="1"/>
  <c r="P23" i="5"/>
  <c r="G24" i="5"/>
  <c r="I24" i="5" s="1"/>
  <c r="P24" i="5"/>
  <c r="G25" i="5"/>
  <c r="X25" i="5" s="1"/>
  <c r="P25" i="5"/>
  <c r="G26" i="5"/>
  <c r="I26" i="5" s="1"/>
  <c r="P26" i="5"/>
  <c r="G27" i="5"/>
  <c r="I27" i="5" s="1"/>
  <c r="P27" i="5"/>
  <c r="G28" i="5"/>
  <c r="I28" i="5" s="1"/>
  <c r="P28" i="5"/>
  <c r="G29" i="5"/>
  <c r="P29" i="5"/>
  <c r="G30" i="5"/>
  <c r="P30" i="5"/>
  <c r="G31" i="5"/>
  <c r="I31" i="5" s="1"/>
  <c r="P31" i="5"/>
  <c r="G32" i="5"/>
  <c r="X32" i="5" s="1"/>
  <c r="P32" i="5"/>
  <c r="G33" i="5"/>
  <c r="X33" i="5" s="1"/>
  <c r="P33" i="5"/>
  <c r="G34" i="5"/>
  <c r="I34" i="5" s="1"/>
  <c r="P34" i="5"/>
  <c r="C35" i="5"/>
  <c r="P35" i="5"/>
  <c r="G36" i="5"/>
  <c r="P36" i="5"/>
  <c r="G37" i="5"/>
  <c r="X37" i="5" s="1"/>
  <c r="P37" i="5"/>
  <c r="G38" i="5"/>
  <c r="X38" i="5" s="1"/>
  <c r="P38" i="5"/>
  <c r="G39" i="5"/>
  <c r="X39" i="5" s="1"/>
  <c r="P39" i="5"/>
  <c r="G40" i="5"/>
  <c r="I40" i="5" s="1"/>
  <c r="P40" i="5"/>
  <c r="G41" i="5"/>
  <c r="X41" i="5" s="1"/>
  <c r="P41" i="5"/>
  <c r="G42" i="5"/>
  <c r="I42" i="5" s="1"/>
  <c r="P42" i="5"/>
  <c r="G43" i="5"/>
  <c r="P43" i="5"/>
  <c r="G44" i="5"/>
  <c r="P44" i="5"/>
  <c r="G45" i="5"/>
  <c r="I45" i="5" s="1"/>
  <c r="P45" i="5"/>
  <c r="G46" i="5"/>
  <c r="X46" i="5" s="1"/>
  <c r="P46" i="5"/>
  <c r="G47" i="5"/>
  <c r="X47" i="5" s="1"/>
  <c r="P47" i="5"/>
  <c r="G48" i="5"/>
  <c r="I48" i="5" s="1"/>
  <c r="P48" i="5"/>
  <c r="G49" i="5"/>
  <c r="X49" i="5" s="1"/>
  <c r="I49" i="5"/>
  <c r="P49" i="5"/>
  <c r="C50" i="5"/>
  <c r="P50" i="5"/>
  <c r="G51" i="5"/>
  <c r="I51" i="5" s="1"/>
  <c r="P51" i="5"/>
  <c r="G52" i="5"/>
  <c r="I52" i="5" s="1"/>
  <c r="P52" i="5"/>
  <c r="C53" i="5"/>
  <c r="P53" i="5"/>
  <c r="G54" i="5"/>
  <c r="I54" i="5" s="1"/>
  <c r="P54" i="5"/>
  <c r="G55" i="5"/>
  <c r="I55" i="5" s="1"/>
  <c r="P55" i="5"/>
  <c r="C56" i="5"/>
  <c r="P56" i="5"/>
  <c r="G57" i="5"/>
  <c r="X57" i="5" s="1"/>
  <c r="P57" i="5"/>
  <c r="G58" i="5"/>
  <c r="I58" i="5" s="1"/>
  <c r="P58" i="5"/>
  <c r="C59" i="5"/>
  <c r="P59" i="5"/>
  <c r="G60" i="5"/>
  <c r="I60" i="5" s="1"/>
  <c r="P60" i="5"/>
  <c r="G61" i="5"/>
  <c r="I61" i="5" s="1"/>
  <c r="P61" i="5"/>
  <c r="C62" i="5"/>
  <c r="P62" i="5"/>
  <c r="G63" i="5"/>
  <c r="X63" i="5" s="1"/>
  <c r="P63" i="5"/>
  <c r="G64" i="5"/>
  <c r="I64" i="5" s="1"/>
  <c r="P64" i="5"/>
  <c r="C65" i="5"/>
  <c r="P65" i="5"/>
  <c r="G66" i="5"/>
  <c r="X66" i="5" s="1"/>
  <c r="P66" i="5"/>
  <c r="G67" i="5"/>
  <c r="P67" i="5"/>
  <c r="C68" i="5"/>
  <c r="P68" i="5"/>
  <c r="G69" i="5"/>
  <c r="P69" i="5"/>
  <c r="G70" i="5"/>
  <c r="P70" i="5"/>
  <c r="C71" i="5"/>
  <c r="P71" i="5"/>
  <c r="G72" i="5"/>
  <c r="P72" i="5"/>
  <c r="G73" i="5"/>
  <c r="I73" i="5" s="1"/>
  <c r="P73" i="5"/>
  <c r="C74" i="5"/>
  <c r="P74" i="5"/>
  <c r="G75" i="5"/>
  <c r="X75" i="5" s="1"/>
  <c r="P75" i="5"/>
  <c r="G76" i="5"/>
  <c r="I76" i="5" s="1"/>
  <c r="P76" i="5"/>
  <c r="C77" i="5"/>
  <c r="P77" i="5"/>
  <c r="G78" i="5"/>
  <c r="I78" i="5" s="1"/>
  <c r="P78" i="5"/>
  <c r="G79" i="5"/>
  <c r="X79" i="5" s="1"/>
  <c r="P79" i="5"/>
  <c r="C80" i="5"/>
  <c r="P80" i="5"/>
  <c r="G81" i="5"/>
  <c r="X81" i="5" s="1"/>
  <c r="P81" i="5"/>
  <c r="G82" i="5"/>
  <c r="I82" i="5" s="1"/>
  <c r="P82" i="5"/>
  <c r="C83" i="5"/>
  <c r="P83" i="5"/>
  <c r="G84" i="5"/>
  <c r="I84" i="5" s="1"/>
  <c r="P84" i="5"/>
  <c r="G85" i="5"/>
  <c r="X85" i="5" s="1"/>
  <c r="P85" i="5"/>
  <c r="C86" i="5"/>
  <c r="P86" i="5"/>
  <c r="G87" i="5"/>
  <c r="I87" i="5" s="1"/>
  <c r="P87" i="5"/>
  <c r="G88" i="5"/>
  <c r="I88" i="5" s="1"/>
  <c r="P88" i="5"/>
  <c r="C89" i="5"/>
  <c r="P89" i="5"/>
  <c r="A10" i="6"/>
  <c r="E3" i="6" s="1"/>
  <c r="A96" i="6"/>
  <c r="I3" i="6" s="1"/>
  <c r="A155" i="6"/>
  <c r="K3" i="6" s="1"/>
  <c r="N8" i="6"/>
  <c r="N9" i="6"/>
  <c r="N10" i="6"/>
  <c r="N89" i="6"/>
  <c r="C90" i="6"/>
  <c r="C91" i="6"/>
  <c r="N92" i="6"/>
  <c r="N96" i="6"/>
  <c r="N102" i="6"/>
  <c r="N103" i="6"/>
  <c r="N119" i="6"/>
  <c r="N120" i="6"/>
  <c r="N154" i="6"/>
  <c r="N155" i="6"/>
  <c r="N156" i="6"/>
  <c r="N157" i="6"/>
  <c r="N160" i="6"/>
  <c r="N161" i="6"/>
  <c r="N163" i="6"/>
  <c r="N164" i="6"/>
  <c r="N165" i="6"/>
  <c r="N166" i="6"/>
  <c r="N169" i="6"/>
  <c r="N170" i="6"/>
  <c r="N171" i="6"/>
  <c r="N172" i="6"/>
  <c r="I7" i="7"/>
  <c r="K7" i="7" s="1"/>
  <c r="I121" i="6" s="1"/>
  <c r="N121" i="6" s="1"/>
  <c r="I55" i="6"/>
  <c r="I105" i="6"/>
  <c r="I8" i="7"/>
  <c r="I9" i="7"/>
  <c r="I106" i="6"/>
  <c r="I109" i="6" s="1"/>
  <c r="I10" i="7"/>
  <c r="I11" i="7"/>
  <c r="I12" i="7"/>
  <c r="I13" i="7"/>
  <c r="I14" i="7"/>
  <c r="I15" i="7"/>
  <c r="I16" i="7"/>
  <c r="I17" i="7"/>
  <c r="I18" i="7"/>
  <c r="I19" i="7"/>
  <c r="I20" i="7"/>
  <c r="I21" i="7"/>
  <c r="I22" i="7"/>
  <c r="I24" i="7"/>
  <c r="M24" i="7" s="1"/>
  <c r="K24" i="7"/>
  <c r="I25" i="7"/>
  <c r="M25" i="7" s="1"/>
  <c r="I26" i="7"/>
  <c r="M26" i="7" s="1"/>
  <c r="I32" i="7"/>
  <c r="I33" i="7"/>
  <c r="I34" i="7"/>
  <c r="I35" i="7"/>
  <c r="I36" i="7"/>
  <c r="I37" i="7"/>
  <c r="I38" i="7"/>
  <c r="I39" i="7"/>
  <c r="I40" i="7"/>
  <c r="I41" i="7"/>
  <c r="I42" i="7"/>
  <c r="I43" i="7"/>
  <c r="I44" i="7"/>
  <c r="I45" i="7"/>
  <c r="I46" i="7"/>
  <c r="I47" i="7"/>
  <c r="I48" i="7"/>
  <c r="I49" i="7"/>
  <c r="I50" i="7"/>
  <c r="K51" i="7"/>
  <c r="M51" i="7" s="1"/>
  <c r="I52" i="7"/>
  <c r="M52" i="7" s="1"/>
  <c r="I53" i="7"/>
  <c r="M53" i="7" s="1"/>
  <c r="I54" i="7"/>
  <c r="M54" i="7" s="1"/>
  <c r="M56" i="7"/>
  <c r="I64" i="7"/>
  <c r="I65" i="7"/>
  <c r="I66" i="7"/>
  <c r="I67" i="7"/>
  <c r="I68" i="7"/>
  <c r="G9" i="8"/>
  <c r="T11" i="8"/>
  <c r="T12" i="8" s="1"/>
  <c r="A12" i="8"/>
  <c r="F3" i="8" s="1"/>
  <c r="H23" i="8"/>
  <c r="T25" i="8"/>
  <c r="T26" i="8" s="1"/>
  <c r="G3" i="8"/>
  <c r="T42" i="8"/>
  <c r="T43" i="8"/>
  <c r="T44" i="8"/>
  <c r="T53" i="8"/>
  <c r="T54" i="8"/>
  <c r="T55" i="8"/>
  <c r="T56" i="8"/>
  <c r="A58" i="8"/>
  <c r="H3" i="8" s="1"/>
  <c r="T58" i="8"/>
  <c r="T59" i="8"/>
  <c r="T60" i="8"/>
  <c r="T61" i="8"/>
  <c r="T65" i="8"/>
  <c r="H4" i="8"/>
  <c r="T78" i="8"/>
  <c r="T79" i="8" s="1"/>
  <c r="A79" i="8"/>
  <c r="I3" i="8" s="1"/>
  <c r="T91" i="8"/>
  <c r="J98" i="8"/>
  <c r="L92" i="8" s="1"/>
  <c r="T92" i="8"/>
  <c r="T93" i="8"/>
  <c r="T94" i="8"/>
  <c r="T95" i="8"/>
  <c r="A101" i="8"/>
  <c r="J3" i="8" s="1"/>
  <c r="T123" i="8"/>
  <c r="T127" i="8" s="1"/>
  <c r="A133" i="8"/>
  <c r="T157" i="8"/>
  <c r="T158" i="8" s="1"/>
  <c r="A158" i="8"/>
  <c r="T162" i="8"/>
  <c r="T165" i="8" s="1"/>
  <c r="T167" i="8"/>
  <c r="T169" i="8" s="1"/>
  <c r="A168" i="8"/>
  <c r="L3" i="8" s="1"/>
  <c r="J177" i="8"/>
  <c r="T179" i="8"/>
  <c r="T180" i="8" s="1"/>
  <c r="J187" i="8"/>
  <c r="T189" i="8"/>
  <c r="T190" i="8" s="1"/>
  <c r="T191" i="8" s="1"/>
  <c r="T192" i="8"/>
  <c r="T200" i="8" s="1"/>
  <c r="J200" i="8"/>
  <c r="T198" i="8" s="1"/>
  <c r="A213" i="8"/>
  <c r="L4" i="8" s="1"/>
  <c r="T246" i="8"/>
  <c r="T238" i="8"/>
  <c r="T241" i="8" s="1"/>
  <c r="T233" i="8"/>
  <c r="T234" i="8" s="1"/>
  <c r="A239" i="8"/>
  <c r="M3" i="8" s="1"/>
  <c r="A244" i="8"/>
  <c r="M4" i="8" s="1"/>
  <c r="T270" i="8"/>
  <c r="T271" i="8" s="1"/>
  <c r="I288" i="8"/>
  <c r="I290" i="8" s="1"/>
  <c r="T307" i="8"/>
  <c r="A308" i="8"/>
  <c r="I316" i="8"/>
  <c r="I318" i="8" s="1"/>
  <c r="T315" i="8" s="1"/>
  <c r="T320" i="8"/>
  <c r="T321" i="8" s="1"/>
  <c r="I336" i="8"/>
  <c r="I338" i="8" s="1"/>
  <c r="T342" i="8"/>
  <c r="T343" i="8" s="1"/>
  <c r="T347" i="8"/>
  <c r="T353" i="8" s="1"/>
  <c r="A359" i="8"/>
  <c r="O3" i="8" s="1"/>
  <c r="T359" i="8"/>
  <c r="T360" i="8"/>
  <c r="T361" i="8"/>
  <c r="T362" i="8" s="1"/>
  <c r="A362" i="8"/>
  <c r="O4" i="8" s="1"/>
  <c r="T368" i="8"/>
  <c r="T371" i="8" s="1"/>
  <c r="A369" i="8"/>
  <c r="A374" i="8"/>
  <c r="A379" i="8"/>
  <c r="P3" i="8" s="1"/>
  <c r="T379" i="8"/>
  <c r="T380" i="8" s="1"/>
  <c r="T381" i="8"/>
  <c r="T382" i="8" s="1"/>
  <c r="T383" i="8"/>
  <c r="T384" i="8" s="1"/>
  <c r="T385" i="8"/>
  <c r="T386" i="8" s="1"/>
  <c r="T389" i="8"/>
  <c r="T390" i="8"/>
  <c r="T392" i="8"/>
  <c r="T393" i="8"/>
  <c r="T394" i="8"/>
  <c r="T395" i="8" s="1"/>
  <c r="T400" i="8"/>
  <c r="T401" i="8"/>
  <c r="T402" i="8"/>
  <c r="T403" i="8"/>
  <c r="T404" i="8"/>
  <c r="T405" i="8"/>
  <c r="T406" i="8"/>
  <c r="T407" i="8"/>
  <c r="T408" i="8"/>
  <c r="T409" i="8" s="1"/>
  <c r="T413" i="8"/>
  <c r="T414" i="8" s="1"/>
  <c r="T416" i="8"/>
  <c r="T418" i="8" s="1"/>
  <c r="A417" i="8"/>
  <c r="Q4" i="8" s="1"/>
  <c r="T425" i="8"/>
  <c r="T426" i="8"/>
  <c r="T428" i="8"/>
  <c r="T429" i="8"/>
  <c r="T436" i="8"/>
  <c r="T439" i="8" s="1"/>
  <c r="T445" i="8"/>
  <c r="T452" i="8" s="1"/>
  <c r="A446" i="8"/>
  <c r="R3" i="8" s="1"/>
  <c r="T457" i="8"/>
  <c r="T458" i="8"/>
  <c r="T459" i="8"/>
  <c r="T460" i="8"/>
  <c r="T461" i="8"/>
  <c r="T462" i="8"/>
  <c r="T463" i="8"/>
  <c r="T464" i="8"/>
  <c r="T465" i="8"/>
  <c r="T466" i="8"/>
  <c r="T469" i="8"/>
  <c r="T470" i="8"/>
  <c r="T471" i="8"/>
  <c r="T472" i="8"/>
  <c r="T473" i="8"/>
  <c r="T474" i="8"/>
  <c r="T475" i="8"/>
  <c r="T476" i="8"/>
  <c r="T477" i="8"/>
  <c r="T478" i="8"/>
  <c r="T480" i="8"/>
  <c r="T485" i="8" s="1"/>
  <c r="T491" i="8"/>
  <c r="T492" i="8" s="1"/>
  <c r="T500" i="8"/>
  <c r="T501" i="8" s="1"/>
  <c r="T511" i="8"/>
  <c r="T512" i="8" s="1"/>
  <c r="A519" i="8"/>
  <c r="R4" i="8" s="1"/>
  <c r="T519" i="8"/>
  <c r="T520" i="8"/>
  <c r="T521" i="8"/>
  <c r="T522" i="8"/>
  <c r="T523" i="8"/>
  <c r="T524" i="8"/>
  <c r="T526" i="8"/>
  <c r="T527" i="8"/>
  <c r="T528" i="8"/>
  <c r="T529" i="8"/>
  <c r="T530" i="8"/>
  <c r="T531" i="8"/>
  <c r="T532" i="8"/>
  <c r="T533" i="8"/>
  <c r="T542" i="8"/>
  <c r="T543" i="8"/>
  <c r="T544" i="8"/>
  <c r="T545" i="8"/>
  <c r="T547" i="8"/>
  <c r="T548" i="8"/>
  <c r="T549" i="8"/>
  <c r="T550" i="8"/>
  <c r="T551" i="8"/>
  <c r="T552" i="8"/>
  <c r="T553" i="8"/>
  <c r="T554" i="8"/>
  <c r="I7" i="9"/>
  <c r="L8" i="9"/>
  <c r="L10" i="9"/>
  <c r="I12" i="9"/>
  <c r="L14" i="9"/>
  <c r="L16" i="9"/>
  <c r="L18" i="9"/>
  <c r="S17" i="9"/>
  <c r="T17" i="9" s="1"/>
  <c r="W17" i="9" s="1"/>
  <c r="X18" i="9"/>
  <c r="L22" i="9"/>
  <c r="S21" i="9" s="1"/>
  <c r="T21" i="9" s="1"/>
  <c r="W21" i="9" s="1"/>
  <c r="L34" i="9"/>
  <c r="S33" i="9" s="1"/>
  <c r="T33" i="9" s="1"/>
  <c r="W33" i="9" s="1"/>
  <c r="L36" i="9"/>
  <c r="S35" i="9" s="1"/>
  <c r="T35" i="9" s="1"/>
  <c r="W35" i="9" s="1"/>
  <c r="L38" i="9"/>
  <c r="S37" i="9" s="1"/>
  <c r="T37" i="9" s="1"/>
  <c r="W37" i="9" s="1"/>
  <c r="L46" i="9"/>
  <c r="L48" i="9"/>
  <c r="L50" i="9"/>
  <c r="S49" i="9" s="1"/>
  <c r="T49" i="9" s="1"/>
  <c r="W49" i="9" s="1"/>
  <c r="L52" i="9"/>
  <c r="S51" i="9" s="1"/>
  <c r="T51" i="9" s="1"/>
  <c r="W51" i="9" s="1"/>
  <c r="L54" i="9"/>
  <c r="S53" i="9" s="1"/>
  <c r="T53" i="9" s="1"/>
  <c r="W53" i="9" s="1"/>
  <c r="L56" i="9"/>
  <c r="S55" i="9" s="1"/>
  <c r="T55" i="9" s="1"/>
  <c r="W55" i="9" s="1"/>
  <c r="L58" i="9"/>
  <c r="S57" i="9"/>
  <c r="T57" i="9" s="1"/>
  <c r="W57" i="9" s="1"/>
  <c r="L60" i="9"/>
  <c r="S59" i="9" s="1"/>
  <c r="T59" i="9" s="1"/>
  <c r="W59" i="9" s="1"/>
  <c r="L62" i="9"/>
  <c r="L64" i="9"/>
  <c r="L66" i="9"/>
  <c r="L68" i="9"/>
  <c r="S65" i="9"/>
  <c r="T65" i="9" s="1"/>
  <c r="W65" i="9" s="1"/>
  <c r="L70" i="9"/>
  <c r="L72" i="9"/>
  <c r="L74" i="9"/>
  <c r="L76" i="9"/>
  <c r="L78" i="9"/>
  <c r="L80" i="9"/>
  <c r="L81" i="9" s="1"/>
  <c r="L83" i="9"/>
  <c r="L85" i="9"/>
  <c r="L86" i="9" s="1"/>
  <c r="L88" i="9"/>
  <c r="L90" i="9"/>
  <c r="S89" i="9" s="1"/>
  <c r="T89" i="9" s="1"/>
  <c r="W89" i="9" s="1"/>
  <c r="L92" i="9"/>
  <c r="L93" i="9" s="1"/>
  <c r="L95" i="9"/>
  <c r="L97" i="9"/>
  <c r="L99" i="9"/>
  <c r="L101" i="9"/>
  <c r="L103" i="9"/>
  <c r="L105" i="9"/>
  <c r="L107" i="9"/>
  <c r="L109" i="9"/>
  <c r="S108" i="9" s="1"/>
  <c r="T108" i="9" s="1"/>
  <c r="W108" i="9" s="1"/>
  <c r="L111" i="9"/>
  <c r="S110" i="9" s="1"/>
  <c r="T110" i="9" s="1"/>
  <c r="W110" i="9" s="1"/>
  <c r="T112" i="9"/>
  <c r="W112" i="9" s="1"/>
  <c r="L115" i="9"/>
  <c r="S114" i="9" s="1"/>
  <c r="T114" i="9" s="1"/>
  <c r="W114" i="9" s="1"/>
  <c r="L121" i="9"/>
  <c r="L123" i="9"/>
  <c r="L125" i="9"/>
  <c r="L127" i="9"/>
  <c r="L129" i="9"/>
  <c r="AW616" i="1" l="1"/>
  <c r="AG125" i="3"/>
  <c r="AG60" i="3"/>
  <c r="N62" i="3"/>
  <c r="N65" i="3" s="1"/>
  <c r="T186" i="3"/>
  <c r="T188" i="3" s="1"/>
  <c r="AG135" i="3"/>
  <c r="Z138" i="3"/>
  <c r="Z140" i="3" s="1"/>
  <c r="AG48" i="3"/>
  <c r="AG110" i="3"/>
  <c r="AG77" i="3"/>
  <c r="N211" i="3"/>
  <c r="N213" i="3" s="1"/>
  <c r="Z186" i="3"/>
  <c r="Z188" i="3" s="1"/>
  <c r="AG127" i="3"/>
  <c r="AG102" i="3"/>
  <c r="AG81" i="3"/>
  <c r="AG51" i="3"/>
  <c r="H161" i="3"/>
  <c r="H163" i="3" s="1"/>
  <c r="N114" i="3"/>
  <c r="N117" i="3" s="1"/>
  <c r="H211" i="3"/>
  <c r="H213" i="3" s="1"/>
  <c r="AG83" i="3"/>
  <c r="AG80" i="3"/>
  <c r="AG54" i="3"/>
  <c r="H38" i="3"/>
  <c r="H41" i="3" s="1"/>
  <c r="T38" i="3"/>
  <c r="T41" i="3" s="1"/>
  <c r="AG133" i="3"/>
  <c r="AG131" i="3"/>
  <c r="AG130" i="3"/>
  <c r="B138" i="3"/>
  <c r="B140" i="3" s="1"/>
  <c r="AG121" i="3"/>
  <c r="AG108" i="3"/>
  <c r="AG106" i="3"/>
  <c r="AG105" i="3"/>
  <c r="AG75" i="3"/>
  <c r="AG73" i="3"/>
  <c r="AG72" i="3"/>
  <c r="AG56" i="3"/>
  <c r="AG46" i="3"/>
  <c r="AB12" i="4"/>
  <c r="AB51" i="4"/>
  <c r="AB49" i="4"/>
  <c r="AB39" i="4"/>
  <c r="Y55" i="4"/>
  <c r="Y57" i="4" s="1"/>
  <c r="Y59" i="4" s="1"/>
  <c r="AB22" i="4"/>
  <c r="I63" i="5"/>
  <c r="T101" i="1"/>
  <c r="AV101" i="1"/>
  <c r="AB101" i="1"/>
  <c r="AB145" i="4"/>
  <c r="R27" i="4"/>
  <c r="R29" i="4" s="1"/>
  <c r="R31" i="4" s="1"/>
  <c r="AB14" i="4"/>
  <c r="AB43" i="4"/>
  <c r="AW388" i="1"/>
  <c r="BA388" i="1" s="1"/>
  <c r="K53" i="7"/>
  <c r="K26" i="7"/>
  <c r="I79" i="5"/>
  <c r="I38" i="5"/>
  <c r="I10" i="5"/>
  <c r="X54" i="5"/>
  <c r="AG202" i="3"/>
  <c r="AG198" i="3"/>
  <c r="AG180" i="3"/>
  <c r="AG176" i="3"/>
  <c r="AG172" i="3"/>
  <c r="AG168" i="3"/>
  <c r="AG148" i="3"/>
  <c r="T161" i="3"/>
  <c r="T163" i="3" s="1"/>
  <c r="AG35" i="3"/>
  <c r="AG27" i="3"/>
  <c r="N88" i="3"/>
  <c r="N91" i="3" s="1"/>
  <c r="AG194" i="3"/>
  <c r="AG156" i="3"/>
  <c r="AG152" i="3"/>
  <c r="AG144" i="3"/>
  <c r="AG132" i="3"/>
  <c r="AG124" i="3"/>
  <c r="N138" i="3"/>
  <c r="N140" i="3" s="1"/>
  <c r="AG107" i="3"/>
  <c r="AG99" i="3"/>
  <c r="Z114" i="3"/>
  <c r="Z117" i="3" s="1"/>
  <c r="B114" i="3"/>
  <c r="B117" i="3" s="1"/>
  <c r="AG82" i="3"/>
  <c r="AG74" i="3"/>
  <c r="AG59" i="3"/>
  <c r="AG45" i="3"/>
  <c r="AG31" i="3"/>
  <c r="AG23" i="3"/>
  <c r="N38" i="3"/>
  <c r="N41" i="3" s="1"/>
  <c r="Z211" i="3"/>
  <c r="Z213" i="3" s="1"/>
  <c r="AG134" i="3"/>
  <c r="AG126" i="3"/>
  <c r="AG109" i="3"/>
  <c r="AG101" i="3"/>
  <c r="AG84" i="3"/>
  <c r="AG76" i="3"/>
  <c r="AG53" i="3"/>
  <c r="AG52" i="3"/>
  <c r="AG47" i="3"/>
  <c r="H186" i="3"/>
  <c r="H188" i="3" s="1"/>
  <c r="H88" i="3"/>
  <c r="H91" i="3" s="1"/>
  <c r="T211" i="3"/>
  <c r="T213" i="3" s="1"/>
  <c r="AG136" i="3"/>
  <c r="AG128" i="3"/>
  <c r="AG103" i="3"/>
  <c r="AG95" i="3"/>
  <c r="AG78" i="3"/>
  <c r="AG69" i="3"/>
  <c r="AG55" i="3"/>
  <c r="AG49" i="3"/>
  <c r="B62" i="3"/>
  <c r="B65" i="3" s="1"/>
  <c r="B88" i="3"/>
  <c r="B91" i="3" s="1"/>
  <c r="AS618" i="1" s="1"/>
  <c r="AW618" i="1" s="1"/>
  <c r="BA618" i="1" s="1"/>
  <c r="AG10" i="3"/>
  <c r="G141" i="1"/>
  <c r="BA136" i="1" s="1"/>
  <c r="T172" i="2"/>
  <c r="U172" i="2" s="1"/>
  <c r="AW416" i="1"/>
  <c r="BA416" i="1" s="1"/>
  <c r="V66" i="1"/>
  <c r="BA66" i="1" s="1"/>
  <c r="BA64" i="1"/>
  <c r="AB64" i="1"/>
  <c r="U18" i="2"/>
  <c r="V62" i="1"/>
  <c r="BA58" i="1" s="1"/>
  <c r="U10" i="2"/>
  <c r="U27" i="2"/>
  <c r="U26" i="2" s="1"/>
  <c r="Z62" i="3"/>
  <c r="Z65" i="3" s="1"/>
  <c r="I47" i="8"/>
  <c r="I37" i="8"/>
  <c r="P42" i="8"/>
  <c r="I85" i="5"/>
  <c r="E80" i="5"/>
  <c r="G80" i="5" s="1"/>
  <c r="X80" i="5" s="1"/>
  <c r="I66" i="5"/>
  <c r="I46" i="5"/>
  <c r="I37" i="5"/>
  <c r="X27" i="5"/>
  <c r="AW472" i="1"/>
  <c r="BA472" i="1" s="1"/>
  <c r="K29" i="8"/>
  <c r="K26" i="8"/>
  <c r="J27" i="8"/>
  <c r="I27" i="8"/>
  <c r="I30" i="8"/>
  <c r="K27" i="8"/>
  <c r="I29" i="8"/>
  <c r="K30" i="8"/>
  <c r="J30" i="8"/>
  <c r="J26" i="8"/>
  <c r="I26" i="8"/>
  <c r="K28" i="8"/>
  <c r="K18" i="8"/>
  <c r="J28" i="8"/>
  <c r="J29" i="8"/>
  <c r="P260" i="8"/>
  <c r="I435" i="8"/>
  <c r="H435" i="8" s="1"/>
  <c r="P434" i="8" s="1"/>
  <c r="K15" i="8"/>
  <c r="I15" i="8"/>
  <c r="I18" i="8"/>
  <c r="J19" i="8"/>
  <c r="K16" i="8"/>
  <c r="I16" i="8"/>
  <c r="I20" i="8"/>
  <c r="J15" i="8"/>
  <c r="I19" i="8"/>
  <c r="J18" i="8"/>
  <c r="K14" i="8"/>
  <c r="I14" i="8"/>
  <c r="K20" i="8"/>
  <c r="J16" i="8"/>
  <c r="J17" i="8"/>
  <c r="J14" i="8"/>
  <c r="J20" i="8"/>
  <c r="I17" i="8"/>
  <c r="K19" i="8"/>
  <c r="K17" i="8"/>
  <c r="K13" i="8"/>
  <c r="K12" i="8"/>
  <c r="T310" i="8"/>
  <c r="K301" i="8"/>
  <c r="J296" i="8"/>
  <c r="K295" i="8"/>
  <c r="J301" i="8"/>
  <c r="K300" i="8"/>
  <c r="J299" i="8"/>
  <c r="J298" i="8"/>
  <c r="K297" i="8"/>
  <c r="I296" i="8"/>
  <c r="J295" i="8"/>
  <c r="I301" i="8"/>
  <c r="J300" i="8"/>
  <c r="I299" i="8"/>
  <c r="I298" i="8"/>
  <c r="J297" i="8"/>
  <c r="I295" i="8"/>
  <c r="I300" i="8"/>
  <c r="I297" i="8"/>
  <c r="K296" i="8"/>
  <c r="E295" i="8"/>
  <c r="K251" i="8"/>
  <c r="E36" i="8"/>
  <c r="E145" i="8"/>
  <c r="E142" i="8"/>
  <c r="E153" i="8"/>
  <c r="L146" i="8"/>
  <c r="L145" i="8"/>
  <c r="I54" i="6"/>
  <c r="N54" i="6" s="1"/>
  <c r="I94" i="6"/>
  <c r="E149" i="6" s="1"/>
  <c r="X76" i="5"/>
  <c r="I75" i="5"/>
  <c r="E77" i="5" s="1"/>
  <c r="G77" i="5" s="1"/>
  <c r="X60" i="5"/>
  <c r="I57" i="5"/>
  <c r="E59" i="5" s="1"/>
  <c r="G59" i="5" s="1"/>
  <c r="I41" i="5"/>
  <c r="X14" i="5"/>
  <c r="X73" i="5"/>
  <c r="X61" i="5"/>
  <c r="X31" i="5"/>
  <c r="X28" i="5"/>
  <c r="X18" i="5"/>
  <c r="X15" i="5"/>
  <c r="X6" i="5"/>
  <c r="I81" i="5"/>
  <c r="E83" i="5" s="1"/>
  <c r="G83" i="5" s="1"/>
  <c r="X83" i="5" s="1"/>
  <c r="X78" i="5"/>
  <c r="I32" i="5"/>
  <c r="I23" i="5"/>
  <c r="I19" i="5"/>
  <c r="I7" i="5"/>
  <c r="X45" i="5"/>
  <c r="X55" i="5"/>
  <c r="X51" i="5"/>
  <c r="X87" i="5"/>
  <c r="X64" i="5"/>
  <c r="X42" i="5"/>
  <c r="X24" i="5"/>
  <c r="X11" i="5"/>
  <c r="X88" i="5"/>
  <c r="X82" i="5"/>
  <c r="X52" i="5"/>
  <c r="X84" i="5"/>
  <c r="X58" i="5"/>
  <c r="E56" i="5"/>
  <c r="S104" i="9"/>
  <c r="T104" i="9" s="1"/>
  <c r="W104" i="9" s="1"/>
  <c r="S5" i="9"/>
  <c r="S100" i="9"/>
  <c r="T100" i="9" s="1"/>
  <c r="W100" i="9" s="1"/>
  <c r="S61" i="9"/>
  <c r="T61" i="9" s="1"/>
  <c r="W61" i="9" s="1"/>
  <c r="S120" i="9"/>
  <c r="T120" i="9" s="1"/>
  <c r="W120" i="9" s="1"/>
  <c r="S91" i="9"/>
  <c r="T91" i="9" s="1"/>
  <c r="W91" i="9" s="1"/>
  <c r="S73" i="9"/>
  <c r="T73" i="9" s="1"/>
  <c r="W73" i="9" s="1"/>
  <c r="S11" i="9"/>
  <c r="S124" i="9"/>
  <c r="T124" i="9" s="1"/>
  <c r="W124" i="9" s="1"/>
  <c r="S96" i="9"/>
  <c r="T96" i="9" s="1"/>
  <c r="W96" i="9" s="1"/>
  <c r="S84" i="9"/>
  <c r="T84" i="9" s="1"/>
  <c r="W84" i="9" s="1"/>
  <c r="S69" i="9"/>
  <c r="T69" i="9" s="1"/>
  <c r="W69" i="9" s="1"/>
  <c r="S45" i="9"/>
  <c r="T45" i="9" s="1"/>
  <c r="W45" i="9" s="1"/>
  <c r="S77" i="9"/>
  <c r="T77" i="9" s="1"/>
  <c r="W77" i="9" s="1"/>
  <c r="AK172" i="1"/>
  <c r="AO172" i="1" s="1"/>
  <c r="K141" i="1"/>
  <c r="K206" i="8"/>
  <c r="J205" i="8"/>
  <c r="I204" i="8"/>
  <c r="E203" i="8"/>
  <c r="K205" i="8"/>
  <c r="J204" i="8"/>
  <c r="K207" i="8"/>
  <c r="J206" i="8"/>
  <c r="I205" i="8"/>
  <c r="K203" i="8"/>
  <c r="I207" i="8"/>
  <c r="I203" i="8"/>
  <c r="J207" i="8"/>
  <c r="I206" i="8"/>
  <c r="K204" i="8"/>
  <c r="J203" i="8"/>
  <c r="K269" i="8"/>
  <c r="K263" i="8"/>
  <c r="J269" i="8"/>
  <c r="J265" i="8"/>
  <c r="J261" i="8"/>
  <c r="I266" i="8"/>
  <c r="I262" i="8"/>
  <c r="K264" i="8"/>
  <c r="K260" i="8"/>
  <c r="J266" i="8"/>
  <c r="J262" i="8"/>
  <c r="I267" i="8"/>
  <c r="I263" i="8"/>
  <c r="E260" i="8"/>
  <c r="K268" i="8"/>
  <c r="K262" i="8"/>
  <c r="J268" i="8"/>
  <c r="J264" i="8"/>
  <c r="J260" i="8"/>
  <c r="I265" i="8"/>
  <c r="I261" i="8"/>
  <c r="K265" i="8"/>
  <c r="K261" i="8"/>
  <c r="J267" i="8"/>
  <c r="J263" i="8"/>
  <c r="I268" i="8"/>
  <c r="I264" i="8"/>
  <c r="I260" i="8"/>
  <c r="J257" i="8"/>
  <c r="I256" i="8"/>
  <c r="J254" i="8"/>
  <c r="I253" i="8"/>
  <c r="J251" i="8"/>
  <c r="K249" i="8"/>
  <c r="J250" i="8"/>
  <c r="I269" i="8"/>
  <c r="I254" i="8"/>
  <c r="I250" i="8"/>
  <c r="K258" i="8"/>
  <c r="I258" i="8"/>
  <c r="J255" i="8"/>
  <c r="K253" i="8"/>
  <c r="K252" i="8"/>
  <c r="I252" i="8"/>
  <c r="K250" i="8"/>
  <c r="J249" i="8"/>
  <c r="K257" i="8"/>
  <c r="I257" i="8"/>
  <c r="I255" i="8"/>
  <c r="J253" i="8"/>
  <c r="I251" i="8"/>
  <c r="I249" i="8"/>
  <c r="J258" i="8"/>
  <c r="J256" i="8"/>
  <c r="K254" i="8"/>
  <c r="J252" i="8"/>
  <c r="E249" i="8"/>
  <c r="H431" i="8"/>
  <c r="P249" i="8"/>
  <c r="P374" i="8"/>
  <c r="I377" i="8"/>
  <c r="K377" i="8"/>
  <c r="J376" i="8"/>
  <c r="J377" i="8"/>
  <c r="K376" i="8"/>
  <c r="I376" i="8"/>
  <c r="K151" i="8"/>
  <c r="J151" i="8"/>
  <c r="I151" i="8"/>
  <c r="E148" i="8"/>
  <c r="K149" i="8"/>
  <c r="J148" i="8"/>
  <c r="K150" i="8"/>
  <c r="J150" i="8"/>
  <c r="I150" i="8"/>
  <c r="J149" i="8"/>
  <c r="I149" i="8"/>
  <c r="K148" i="8"/>
  <c r="I148" i="8"/>
  <c r="BA651" i="1"/>
  <c r="J155" i="8"/>
  <c r="J154" i="8"/>
  <c r="I153" i="8"/>
  <c r="J145" i="8"/>
  <c r="J143" i="8"/>
  <c r="I142" i="8"/>
  <c r="J139" i="8"/>
  <c r="K137" i="8"/>
  <c r="I137" i="8"/>
  <c r="J156" i="8"/>
  <c r="K154" i="8"/>
  <c r="J153" i="8"/>
  <c r="K145" i="8"/>
  <c r="K143" i="8"/>
  <c r="J142" i="8"/>
  <c r="J140" i="8"/>
  <c r="J136" i="8"/>
  <c r="K156" i="8"/>
  <c r="I156" i="8"/>
  <c r="I154" i="8"/>
  <c r="K146" i="8"/>
  <c r="I146" i="8"/>
  <c r="I143" i="8"/>
  <c r="K140" i="8"/>
  <c r="I140" i="8"/>
  <c r="K136" i="8"/>
  <c r="I136" i="8"/>
  <c r="K155" i="8"/>
  <c r="I155" i="8"/>
  <c r="K153" i="8"/>
  <c r="J146" i="8"/>
  <c r="I145" i="8"/>
  <c r="K142" i="8"/>
  <c r="K139" i="8"/>
  <c r="I139" i="8"/>
  <c r="J137" i="8"/>
  <c r="E136" i="8"/>
  <c r="E139" i="8"/>
  <c r="J134" i="8"/>
  <c r="I133" i="8"/>
  <c r="I134" i="8"/>
  <c r="E133" i="8"/>
  <c r="K133" i="8"/>
  <c r="J133" i="8"/>
  <c r="K134" i="8"/>
  <c r="J122" i="8"/>
  <c r="K119" i="8"/>
  <c r="I119" i="8"/>
  <c r="J116" i="8"/>
  <c r="J121" i="8"/>
  <c r="K118" i="8"/>
  <c r="I118" i="8"/>
  <c r="J115" i="8"/>
  <c r="K122" i="8"/>
  <c r="I122" i="8"/>
  <c r="J119" i="8"/>
  <c r="K116" i="8"/>
  <c r="I116" i="8"/>
  <c r="K121" i="8"/>
  <c r="I121" i="8"/>
  <c r="J118" i="8"/>
  <c r="K115" i="8"/>
  <c r="I115" i="8"/>
  <c r="E121" i="8"/>
  <c r="E118" i="8"/>
  <c r="E115" i="8"/>
  <c r="J112" i="8"/>
  <c r="K110" i="8"/>
  <c r="I110" i="8"/>
  <c r="E112" i="8"/>
  <c r="K113" i="8"/>
  <c r="J111" i="8"/>
  <c r="K111" i="8"/>
  <c r="I113" i="8"/>
  <c r="I111" i="8"/>
  <c r="K112" i="8"/>
  <c r="I112" i="8"/>
  <c r="J110" i="8"/>
  <c r="J113" i="8"/>
  <c r="E110" i="8"/>
  <c r="K108" i="8"/>
  <c r="I108" i="8"/>
  <c r="K107" i="8"/>
  <c r="I107" i="8"/>
  <c r="J108" i="8"/>
  <c r="J107" i="8"/>
  <c r="I550" i="8"/>
  <c r="I504" i="8"/>
  <c r="I380" i="8"/>
  <c r="K104" i="8"/>
  <c r="I104" i="8"/>
  <c r="J101" i="8"/>
  <c r="I105" i="8"/>
  <c r="J105" i="8"/>
  <c r="I102" i="8"/>
  <c r="E107" i="8"/>
  <c r="J104" i="8"/>
  <c r="K102" i="8"/>
  <c r="I101" i="8"/>
  <c r="K105" i="8"/>
  <c r="K101" i="8"/>
  <c r="J102" i="8"/>
  <c r="E104" i="8"/>
  <c r="E101" i="8"/>
  <c r="K246" i="8"/>
  <c r="J246" i="8"/>
  <c r="I246" i="8"/>
  <c r="K247" i="8"/>
  <c r="J247" i="8"/>
  <c r="I247" i="8"/>
  <c r="K40" i="8"/>
  <c r="I40" i="8"/>
  <c r="K39" i="8"/>
  <c r="I39" i="8"/>
  <c r="J40" i="8"/>
  <c r="E39" i="8"/>
  <c r="J39" i="8"/>
  <c r="H130" i="8"/>
  <c r="P39" i="8"/>
  <c r="T228" i="8"/>
  <c r="T66" i="8"/>
  <c r="T68" i="8"/>
  <c r="T67" i="8"/>
  <c r="E50" i="8"/>
  <c r="K67" i="8"/>
  <c r="I68" i="8"/>
  <c r="I66" i="8"/>
  <c r="J68" i="8"/>
  <c r="J66" i="8"/>
  <c r="I67" i="8"/>
  <c r="K68" i="8"/>
  <c r="K66" i="8"/>
  <c r="J67" i="8"/>
  <c r="J412" i="8"/>
  <c r="T280" i="8"/>
  <c r="T276" i="8"/>
  <c r="T311" i="8"/>
  <c r="T283" i="8"/>
  <c r="J517" i="8"/>
  <c r="J367" i="8"/>
  <c r="T308" i="8"/>
  <c r="J164" i="8"/>
  <c r="T278" i="8"/>
  <c r="T20" i="8"/>
  <c r="T226" i="8"/>
  <c r="T351" i="8"/>
  <c r="T282" i="8"/>
  <c r="T272" i="8"/>
  <c r="T284" i="8"/>
  <c r="T279" i="8"/>
  <c r="T85" i="8"/>
  <c r="T197" i="8"/>
  <c r="T181" i="8"/>
  <c r="T81" i="8"/>
  <c r="T13" i="8"/>
  <c r="T454" i="8"/>
  <c r="T239" i="8"/>
  <c r="T101" i="8"/>
  <c r="T82" i="8"/>
  <c r="T240" i="8"/>
  <c r="T450" i="8"/>
  <c r="T515" i="8"/>
  <c r="T80" i="8"/>
  <c r="T134" i="8"/>
  <c r="T517" i="8"/>
  <c r="T514" i="8"/>
  <c r="T510" i="8"/>
  <c r="T484" i="8"/>
  <c r="T455" i="8"/>
  <c r="T397" i="8"/>
  <c r="T365" i="8"/>
  <c r="T130" i="8"/>
  <c r="T513" i="8"/>
  <c r="T490" i="8"/>
  <c r="T483" i="8"/>
  <c r="T417" i="8"/>
  <c r="T363" i="8"/>
  <c r="T133" i="8"/>
  <c r="T128" i="8"/>
  <c r="T487" i="8"/>
  <c r="T509" i="8"/>
  <c r="T516" i="8"/>
  <c r="T489" i="8"/>
  <c r="T481" i="8"/>
  <c r="T451" i="8"/>
  <c r="T410" i="8"/>
  <c r="T235" i="8"/>
  <c r="T125" i="8"/>
  <c r="T102" i="8"/>
  <c r="T28" i="8"/>
  <c r="T326" i="8"/>
  <c r="T313" i="8"/>
  <c r="T309" i="8"/>
  <c r="T247" i="8"/>
  <c r="T183" i="8"/>
  <c r="T171" i="8"/>
  <c r="T168" i="8"/>
  <c r="T440" i="8"/>
  <c r="T330" i="8"/>
  <c r="T170" i="8"/>
  <c r="T442" i="8"/>
  <c r="T438" i="8"/>
  <c r="T332" i="8"/>
  <c r="T328" i="8"/>
  <c r="T237" i="8"/>
  <c r="T488" i="8"/>
  <c r="T482" i="8"/>
  <c r="T441" i="8"/>
  <c r="T437" i="8"/>
  <c r="T415" i="8"/>
  <c r="T354" i="8"/>
  <c r="T345" i="8"/>
  <c r="T331" i="8"/>
  <c r="T327" i="8"/>
  <c r="T322" i="8"/>
  <c r="T312" i="8"/>
  <c r="T286" i="8"/>
  <c r="T281" i="8"/>
  <c r="T277" i="8"/>
  <c r="T236" i="8"/>
  <c r="T196" i="8"/>
  <c r="T182" i="8"/>
  <c r="T174" i="8"/>
  <c r="T83" i="8"/>
  <c r="T15" i="8"/>
  <c r="T229" i="8"/>
  <c r="T444" i="8"/>
  <c r="T173" i="8"/>
  <c r="T70" i="8"/>
  <c r="T443" i="8"/>
  <c r="T349" i="8"/>
  <c r="T334" i="8"/>
  <c r="T329" i="8"/>
  <c r="T314" i="8"/>
  <c r="T245" i="8"/>
  <c r="T184" i="8"/>
  <c r="T172" i="8"/>
  <c r="T69" i="8"/>
  <c r="T18" i="8"/>
  <c r="J100" i="6"/>
  <c r="J134" i="6"/>
  <c r="J109" i="6"/>
  <c r="J126" i="6"/>
  <c r="J17" i="6"/>
  <c r="J121" i="6"/>
  <c r="J128" i="6"/>
  <c r="J123" i="6"/>
  <c r="J98" i="6"/>
  <c r="N100" i="6"/>
  <c r="J124" i="6"/>
  <c r="N128" i="6"/>
  <c r="J129" i="6"/>
  <c r="J125" i="6"/>
  <c r="J99" i="6"/>
  <c r="N134" i="6"/>
  <c r="N126" i="6"/>
  <c r="N17" i="6"/>
  <c r="J135" i="6"/>
  <c r="J127" i="6"/>
  <c r="J122" i="6"/>
  <c r="J101" i="6"/>
  <c r="J97" i="6"/>
  <c r="N124" i="6"/>
  <c r="N123" i="6"/>
  <c r="AQ685" i="1"/>
  <c r="AR674" i="1"/>
  <c r="AR675" i="1"/>
  <c r="AB652" i="1"/>
  <c r="AM652" i="1" s="1"/>
  <c r="AR85" i="1"/>
  <c r="AB654" i="1"/>
  <c r="AM654" i="1" s="1"/>
  <c r="AV172" i="1"/>
  <c r="AW474" i="1"/>
  <c r="BA474" i="1" s="1"/>
  <c r="AW494" i="1"/>
  <c r="BA494" i="1" s="1"/>
  <c r="AW196" i="1"/>
  <c r="BA196" i="1" s="1"/>
  <c r="I538" i="8"/>
  <c r="J531" i="8"/>
  <c r="K495" i="8"/>
  <c r="J440" i="8"/>
  <c r="K405" i="8"/>
  <c r="I396" i="8"/>
  <c r="I384" i="8"/>
  <c r="J548" i="8"/>
  <c r="J508" i="8"/>
  <c r="J453" i="8"/>
  <c r="J56" i="8"/>
  <c r="I513" i="8"/>
  <c r="K510" i="8"/>
  <c r="I444" i="8"/>
  <c r="K403" i="8"/>
  <c r="J382" i="8"/>
  <c r="I370" i="8"/>
  <c r="J345" i="8"/>
  <c r="J332" i="8"/>
  <c r="K545" i="8"/>
  <c r="AK173" i="1"/>
  <c r="AO173" i="1" s="1"/>
  <c r="AV173" i="1" s="1"/>
  <c r="AW260" i="1"/>
  <c r="BA260" i="1" s="1"/>
  <c r="AW491" i="1"/>
  <c r="BA491" i="1" s="1"/>
  <c r="AW555" i="1"/>
  <c r="BA555" i="1" s="1"/>
  <c r="AW570" i="1"/>
  <c r="BA570" i="1" s="1"/>
  <c r="AW624" i="1"/>
  <c r="BA624" i="1" s="1"/>
  <c r="BA172" i="1"/>
  <c r="AK174" i="1"/>
  <c r="AO174" i="1" s="1"/>
  <c r="AV174" i="1" s="1"/>
  <c r="AW229" i="1"/>
  <c r="BA229" i="1" s="1"/>
  <c r="AW287" i="1"/>
  <c r="BA287" i="1" s="1"/>
  <c r="AW547" i="1"/>
  <c r="BA547" i="1" s="1"/>
  <c r="AW226" i="1"/>
  <c r="BA226" i="1" s="1"/>
  <c r="AW639" i="1"/>
  <c r="BA639" i="1" s="1"/>
  <c r="I552" i="8"/>
  <c r="K543" i="8"/>
  <c r="K533" i="8"/>
  <c r="I515" i="8"/>
  <c r="K499" i="8"/>
  <c r="J484" i="8"/>
  <c r="I442" i="8"/>
  <c r="I324" i="8"/>
  <c r="K314" i="8"/>
  <c r="J194" i="8"/>
  <c r="J182" i="8"/>
  <c r="I554" i="8"/>
  <c r="I548" i="8"/>
  <c r="K536" i="8"/>
  <c r="J510" i="8"/>
  <c r="J499" i="8"/>
  <c r="K486" i="8"/>
  <c r="J432" i="8"/>
  <c r="J407" i="8"/>
  <c r="J398" i="8"/>
  <c r="J524" i="8"/>
  <c r="J520" i="8"/>
  <c r="J506" i="8"/>
  <c r="K497" i="8"/>
  <c r="J490" i="8"/>
  <c r="J486" i="8"/>
  <c r="I455" i="8"/>
  <c r="I449" i="8"/>
  <c r="K429" i="8"/>
  <c r="J418" i="8"/>
  <c r="J410" i="8"/>
  <c r="K384" i="8"/>
  <c r="K372" i="8"/>
  <c r="I365" i="8"/>
  <c r="J352" i="8"/>
  <c r="K274" i="8"/>
  <c r="K93" i="8"/>
  <c r="J550" i="8"/>
  <c r="K548" i="8"/>
  <c r="K538" i="8"/>
  <c r="J529" i="8"/>
  <c r="I527" i="8"/>
  <c r="I524" i="8"/>
  <c r="I522" i="8"/>
  <c r="I520" i="8"/>
  <c r="K517" i="8"/>
  <c r="K515" i="8"/>
  <c r="J513" i="8"/>
  <c r="K508" i="8"/>
  <c r="I506" i="8"/>
  <c r="I497" i="8"/>
  <c r="I490" i="8"/>
  <c r="J488" i="8"/>
  <c r="I451" i="8"/>
  <c r="K447" i="8"/>
  <c r="J444" i="8"/>
  <c r="J442" i="8"/>
  <c r="K440" i="8"/>
  <c r="J438" i="8"/>
  <c r="I429" i="8"/>
  <c r="I426" i="8"/>
  <c r="J421" i="8"/>
  <c r="J396" i="8"/>
  <c r="I387" i="8"/>
  <c r="J384" i="8"/>
  <c r="K382" i="8"/>
  <c r="K380" i="8"/>
  <c r="J370" i="8"/>
  <c r="K367" i="8"/>
  <c r="J327" i="8"/>
  <c r="J312" i="8"/>
  <c r="J278" i="8"/>
  <c r="K275" i="8"/>
  <c r="K181" i="8"/>
  <c r="J545" i="8"/>
  <c r="I543" i="8"/>
  <c r="K502" i="8"/>
  <c r="K490" i="8"/>
  <c r="J423" i="8"/>
  <c r="I403" i="8"/>
  <c r="I197" i="8"/>
  <c r="K124" i="8"/>
  <c r="I521" i="8"/>
  <c r="I81" i="8"/>
  <c r="J84" i="8"/>
  <c r="H84" i="8" s="1"/>
  <c r="J159" i="8"/>
  <c r="K164" i="8"/>
  <c r="K174" i="8"/>
  <c r="K191" i="8"/>
  <c r="J282" i="8"/>
  <c r="I309" i="8"/>
  <c r="I310" i="8"/>
  <c r="K324" i="8"/>
  <c r="K325" i="8"/>
  <c r="J330" i="8"/>
  <c r="I344" i="8"/>
  <c r="I350" i="8"/>
  <c r="J353" i="8"/>
  <c r="I363" i="8"/>
  <c r="J365" i="8"/>
  <c r="K370" i="8"/>
  <c r="J375" i="8"/>
  <c r="I398" i="8"/>
  <c r="I410" i="8"/>
  <c r="K412" i="8"/>
  <c r="K432" i="8"/>
  <c r="K444" i="8"/>
  <c r="I447" i="8"/>
  <c r="I453" i="8"/>
  <c r="J455" i="8"/>
  <c r="J482" i="8"/>
  <c r="K484" i="8"/>
  <c r="J495" i="8"/>
  <c r="I499" i="8"/>
  <c r="I502" i="8"/>
  <c r="J504" i="8"/>
  <c r="I508" i="8"/>
  <c r="I510" i="8"/>
  <c r="K513" i="8"/>
  <c r="J515" i="8"/>
  <c r="I517" i="8"/>
  <c r="K524" i="8"/>
  <c r="J527" i="8"/>
  <c r="I529" i="8"/>
  <c r="I531" i="8"/>
  <c r="I533" i="8"/>
  <c r="I536" i="8"/>
  <c r="J538" i="8"/>
  <c r="J543" i="8"/>
  <c r="I545" i="8"/>
  <c r="K550" i="8"/>
  <c r="J552" i="8"/>
  <c r="J554" i="8"/>
  <c r="J80" i="8"/>
  <c r="J125" i="8"/>
  <c r="J161" i="8"/>
  <c r="I172" i="8"/>
  <c r="J195" i="8"/>
  <c r="J275" i="8"/>
  <c r="J280" i="8"/>
  <c r="J309" i="8"/>
  <c r="J322" i="8"/>
  <c r="J328" i="8"/>
  <c r="J333" i="8"/>
  <c r="K344" i="8"/>
  <c r="I349" i="8"/>
  <c r="J350" i="8"/>
  <c r="J354" i="8"/>
  <c r="J363" i="8"/>
  <c r="J372" i="8"/>
  <c r="K375" i="8"/>
  <c r="J533" i="8"/>
  <c r="K506" i="8"/>
  <c r="J493" i="8"/>
  <c r="J449" i="8"/>
  <c r="K418" i="8"/>
  <c r="J405" i="8"/>
  <c r="J349" i="8"/>
  <c r="J325" i="8"/>
  <c r="I43" i="8"/>
  <c r="J536" i="8"/>
  <c r="K527" i="8"/>
  <c r="J522" i="8"/>
  <c r="J502" i="8"/>
  <c r="I493" i="8"/>
  <c r="K488" i="8"/>
  <c r="J451" i="8"/>
  <c r="I432" i="8"/>
  <c r="J426" i="8"/>
  <c r="I423" i="8"/>
  <c r="J387" i="8"/>
  <c r="I171" i="8"/>
  <c r="AW195" i="1"/>
  <c r="BA195" i="1" s="1"/>
  <c r="AB653" i="1"/>
  <c r="AM653" i="1" s="1"/>
  <c r="AW207" i="1"/>
  <c r="BA207" i="1" s="1"/>
  <c r="I437" i="8"/>
  <c r="AW263" i="1"/>
  <c r="BA263" i="1" s="1"/>
  <c r="AW502" i="1"/>
  <c r="BA502" i="1" s="1"/>
  <c r="AW520" i="1"/>
  <c r="BA520" i="1" s="1"/>
  <c r="AW631" i="1"/>
  <c r="BA631" i="1" s="1"/>
  <c r="AW225" i="1"/>
  <c r="BA225" i="1" s="1"/>
  <c r="AW241" i="1"/>
  <c r="BA241" i="1" s="1"/>
  <c r="AW256" i="1"/>
  <c r="BA256" i="1" s="1"/>
  <c r="AW259" i="1"/>
  <c r="BA259" i="1" s="1"/>
  <c r="AW272" i="1"/>
  <c r="BA272" i="1" s="1"/>
  <c r="AW283" i="1"/>
  <c r="BA283" i="1" s="1"/>
  <c r="AW285" i="1"/>
  <c r="BA285" i="1" s="1"/>
  <c r="AW296" i="1"/>
  <c r="BA296" i="1" s="1"/>
  <c r="AW299" i="1"/>
  <c r="BA299" i="1" s="1"/>
  <c r="AW320" i="1"/>
  <c r="BA320" i="1" s="1"/>
  <c r="AW359" i="1"/>
  <c r="BA359" i="1" s="1"/>
  <c r="AW483" i="1"/>
  <c r="BA483" i="1" s="1"/>
  <c r="AW578" i="1"/>
  <c r="BA578" i="1" s="1"/>
  <c r="AW606" i="1"/>
  <c r="BA606" i="1" s="1"/>
  <c r="AW614" i="1"/>
  <c r="BA614" i="1" s="1"/>
  <c r="AW212" i="1"/>
  <c r="BA212" i="1" s="1"/>
  <c r="AW237" i="1"/>
  <c r="BA237" i="1" s="1"/>
  <c r="AW240" i="1"/>
  <c r="BA240" i="1" s="1"/>
  <c r="AW252" i="1"/>
  <c r="BA252" i="1" s="1"/>
  <c r="AW255" i="1"/>
  <c r="BA255" i="1" s="1"/>
  <c r="AW268" i="1"/>
  <c r="BA268" i="1" s="1"/>
  <c r="AW271" i="1"/>
  <c r="BA271" i="1" s="1"/>
  <c r="AW282" i="1"/>
  <c r="BA282" i="1" s="1"/>
  <c r="AW292" i="1"/>
  <c r="BA292" i="1" s="1"/>
  <c r="AW295" i="1"/>
  <c r="BA295" i="1" s="1"/>
  <c r="AW470" i="1"/>
  <c r="BA470" i="1" s="1"/>
  <c r="AW479" i="1"/>
  <c r="BA479" i="1" s="1"/>
  <c r="AW482" i="1"/>
  <c r="BA482" i="1" s="1"/>
  <c r="AW486" i="1"/>
  <c r="BA486" i="1" s="1"/>
  <c r="AW498" i="1"/>
  <c r="BA498" i="1" s="1"/>
  <c r="AW506" i="1"/>
  <c r="BA506" i="1" s="1"/>
  <c r="AW516" i="1"/>
  <c r="BA516" i="1" s="1"/>
  <c r="AW620" i="1"/>
  <c r="BA620" i="1" s="1"/>
  <c r="AW628" i="1"/>
  <c r="BA628" i="1" s="1"/>
  <c r="AW208" i="1"/>
  <c r="BA208" i="1" s="1"/>
  <c r="AW211" i="1"/>
  <c r="BA211" i="1" s="1"/>
  <c r="AW230" i="1"/>
  <c r="BA230" i="1" s="1"/>
  <c r="AW235" i="1"/>
  <c r="BA235" i="1" s="1"/>
  <c r="AW251" i="1"/>
  <c r="BA251" i="1" s="1"/>
  <c r="AW264" i="1"/>
  <c r="BA264" i="1" s="1"/>
  <c r="AW267" i="1"/>
  <c r="BA267" i="1" s="1"/>
  <c r="AW288" i="1"/>
  <c r="BA288" i="1" s="1"/>
  <c r="AW291" i="1"/>
  <c r="BA291" i="1" s="1"/>
  <c r="AW469" i="1"/>
  <c r="BA469" i="1" s="1"/>
  <c r="AW475" i="1"/>
  <c r="BA475" i="1" s="1"/>
  <c r="AW478" i="1"/>
  <c r="BA478" i="1" s="1"/>
  <c r="AW485" i="1"/>
  <c r="BA485" i="1" s="1"/>
  <c r="AW551" i="1"/>
  <c r="BA551" i="1" s="1"/>
  <c r="AW559" i="1"/>
  <c r="BA559" i="1" s="1"/>
  <c r="AW566" i="1"/>
  <c r="BA566" i="1" s="1"/>
  <c r="AW574" i="1"/>
  <c r="BA574" i="1" s="1"/>
  <c r="AW610" i="1"/>
  <c r="BA610" i="1" s="1"/>
  <c r="I407" i="8"/>
  <c r="K547" i="8"/>
  <c r="K489" i="8"/>
  <c r="E417" i="8"/>
  <c r="J366" i="8"/>
  <c r="K54" i="8"/>
  <c r="J43" i="8"/>
  <c r="I13" i="8"/>
  <c r="J130" i="8"/>
  <c r="I535" i="8"/>
  <c r="J452" i="8"/>
  <c r="I53" i="8"/>
  <c r="K160" i="8"/>
  <c r="J180" i="8"/>
  <c r="J276" i="8"/>
  <c r="E308" i="8"/>
  <c r="J351" i="8"/>
  <c r="I369" i="8"/>
  <c r="J383" i="8"/>
  <c r="I397" i="8"/>
  <c r="E425" i="8"/>
  <c r="I443" i="8"/>
  <c r="J450" i="8"/>
  <c r="I481" i="8"/>
  <c r="K487" i="8"/>
  <c r="I496" i="8"/>
  <c r="I503" i="8"/>
  <c r="E512" i="8"/>
  <c r="I519" i="8"/>
  <c r="J526" i="8"/>
  <c r="K532" i="8"/>
  <c r="E542" i="8"/>
  <c r="I547" i="8"/>
  <c r="J553" i="8"/>
  <c r="K130" i="8"/>
  <c r="K334" i="8"/>
  <c r="K406" i="8"/>
  <c r="I54" i="8"/>
  <c r="J70" i="8"/>
  <c r="I80" i="8"/>
  <c r="K81" i="8"/>
  <c r="J83" i="8"/>
  <c r="K92" i="8"/>
  <c r="I93" i="8"/>
  <c r="K129" i="8"/>
  <c r="I161" i="8"/>
  <c r="I164" i="8"/>
  <c r="J166" i="8"/>
  <c r="K172" i="8"/>
  <c r="J174" i="8"/>
  <c r="I181" i="8"/>
  <c r="K184" i="8"/>
  <c r="I191" i="8"/>
  <c r="K214" i="8"/>
  <c r="I245" i="8"/>
  <c r="I272" i="8"/>
  <c r="J274" i="8"/>
  <c r="I275" i="8"/>
  <c r="I277" i="8"/>
  <c r="I278" i="8"/>
  <c r="I280" i="8"/>
  <c r="I282" i="8"/>
  <c r="I284" i="8"/>
  <c r="J286" i="8"/>
  <c r="K310" i="8"/>
  <c r="I183" i="8"/>
  <c r="J329" i="8"/>
  <c r="K379" i="8"/>
  <c r="J420" i="8"/>
  <c r="J441" i="8"/>
  <c r="J448" i="8"/>
  <c r="E457" i="8"/>
  <c r="I487" i="8"/>
  <c r="I494" i="8"/>
  <c r="I501" i="8"/>
  <c r="J509" i="8"/>
  <c r="J516" i="8"/>
  <c r="E526" i="8"/>
  <c r="I532" i="8"/>
  <c r="J537" i="8"/>
  <c r="K544" i="8"/>
  <c r="I551" i="8"/>
  <c r="I127" i="8"/>
  <c r="I286" i="8"/>
  <c r="K354" i="8"/>
  <c r="J13" i="8"/>
  <c r="K43" i="8"/>
  <c r="K44" i="8"/>
  <c r="K56" i="8"/>
  <c r="I70" i="8"/>
  <c r="J81" i="8"/>
  <c r="I83" i="8"/>
  <c r="J85" i="8"/>
  <c r="J92" i="8"/>
  <c r="K125" i="8"/>
  <c r="J129" i="8"/>
  <c r="K159" i="8"/>
  <c r="I166" i="8"/>
  <c r="K171" i="8"/>
  <c r="J172" i="8"/>
  <c r="I174" i="8"/>
  <c r="K182" i="8"/>
  <c r="J184" i="8"/>
  <c r="K194" i="8"/>
  <c r="K195" i="8"/>
  <c r="K197" i="8"/>
  <c r="J214" i="8"/>
  <c r="I274" i="8"/>
  <c r="J285" i="8"/>
  <c r="K309" i="8"/>
  <c r="J310" i="8"/>
  <c r="I312" i="8"/>
  <c r="I314" i="8"/>
  <c r="J170" i="8"/>
  <c r="J362" i="8"/>
  <c r="J404" i="8"/>
  <c r="K446" i="8"/>
  <c r="I485" i="8"/>
  <c r="K498" i="8"/>
  <c r="J514" i="8"/>
  <c r="I530" i="8"/>
  <c r="I544" i="8"/>
  <c r="I85" i="8"/>
  <c r="I346" i="8"/>
  <c r="I131" i="8"/>
  <c r="E244" i="8"/>
  <c r="I311" i="8"/>
  <c r="E392" i="8"/>
  <c r="O392" i="8" s="1"/>
  <c r="R392" i="8" s="1"/>
  <c r="J428" i="8"/>
  <c r="J439" i="8"/>
  <c r="I454" i="8"/>
  <c r="J492" i="8"/>
  <c r="I507" i="8"/>
  <c r="J523" i="8"/>
  <c r="K535" i="8"/>
  <c r="J549" i="8"/>
  <c r="K285" i="8"/>
  <c r="I44" i="8"/>
  <c r="J54" i="8"/>
  <c r="I56" i="8"/>
  <c r="I92" i="8"/>
  <c r="J93" i="8"/>
  <c r="I95" i="8"/>
  <c r="J127" i="8"/>
  <c r="I159" i="8"/>
  <c r="J169" i="8"/>
  <c r="J171" i="8"/>
  <c r="I195" i="8"/>
  <c r="J197" i="8"/>
  <c r="J272" i="8"/>
  <c r="J277" i="8"/>
  <c r="J284" i="8"/>
  <c r="J314" i="8"/>
  <c r="I322" i="8"/>
  <c r="J324" i="8"/>
  <c r="I325" i="8"/>
  <c r="I327" i="8"/>
  <c r="I328" i="8"/>
  <c r="I330" i="8"/>
  <c r="I332" i="8"/>
  <c r="J334" i="8"/>
  <c r="J344" i="8"/>
  <c r="J346" i="8"/>
  <c r="I352" i="8"/>
  <c r="I367" i="8"/>
  <c r="I372" i="8"/>
  <c r="I375" i="8"/>
  <c r="J380" i="8"/>
  <c r="I382" i="8"/>
  <c r="K387" i="8"/>
  <c r="K396" i="8"/>
  <c r="J403" i="8"/>
  <c r="I405" i="8"/>
  <c r="J406" i="8"/>
  <c r="I412" i="8"/>
  <c r="I418" i="8"/>
  <c r="I421" i="8"/>
  <c r="K423" i="8"/>
  <c r="K426" i="8"/>
  <c r="J429" i="8"/>
  <c r="I438" i="8"/>
  <c r="I440" i="8"/>
  <c r="J447" i="8"/>
  <c r="K449" i="8"/>
  <c r="K451" i="8"/>
  <c r="K453" i="8"/>
  <c r="K455" i="8"/>
  <c r="I482" i="8"/>
  <c r="I484" i="8"/>
  <c r="I486" i="8"/>
  <c r="I488" i="8"/>
  <c r="K493" i="8"/>
  <c r="J497" i="8"/>
  <c r="J82" i="8"/>
  <c r="I165" i="8"/>
  <c r="I283" i="8"/>
  <c r="I321" i="8"/>
  <c r="J371" i="8"/>
  <c r="E446" i="8"/>
  <c r="I483" i="8"/>
  <c r="I498" i="8"/>
  <c r="K512" i="8"/>
  <c r="I528" i="8"/>
  <c r="J542" i="8"/>
  <c r="K84" i="8"/>
  <c r="K345" i="8"/>
  <c r="J245" i="8"/>
  <c r="I214" i="8"/>
  <c r="I194" i="8"/>
  <c r="J191" i="8"/>
  <c r="I184" i="8"/>
  <c r="I182" i="8"/>
  <c r="J181" i="8"/>
  <c r="I169" i="8"/>
  <c r="K166" i="8"/>
  <c r="K161" i="8"/>
  <c r="J95" i="8"/>
  <c r="K80" i="8"/>
  <c r="K70" i="8"/>
  <c r="J44" i="8"/>
  <c r="I505" i="8"/>
  <c r="J193" i="8"/>
  <c r="J69" i="8"/>
  <c r="H333" i="8"/>
  <c r="P23" i="8"/>
  <c r="I88" i="8"/>
  <c r="J88" i="8" s="1"/>
  <c r="L80" i="8" s="1"/>
  <c r="L81" i="8" s="1"/>
  <c r="AW607" i="1"/>
  <c r="BA607" i="1" s="1"/>
  <c r="AN675" i="1"/>
  <c r="AN674" i="1"/>
  <c r="AP52" i="1"/>
  <c r="AR52" i="1" s="1"/>
  <c r="AW545" i="1"/>
  <c r="BA545" i="1" s="1"/>
  <c r="AW548" i="1"/>
  <c r="BA548" i="1" s="1"/>
  <c r="AW298" i="1"/>
  <c r="BA298" i="1" s="1"/>
  <c r="AW324" i="1"/>
  <c r="BA324" i="1" s="1"/>
  <c r="AW608" i="1"/>
  <c r="BA608" i="1" s="1"/>
  <c r="AW636" i="1"/>
  <c r="BA636" i="1" s="1"/>
  <c r="AB67" i="1"/>
  <c r="AW227" i="1"/>
  <c r="BA227" i="1" s="1"/>
  <c r="AW329" i="1"/>
  <c r="BA329" i="1" s="1"/>
  <c r="AW586" i="1"/>
  <c r="BA586" i="1" s="1"/>
  <c r="AB65" i="1"/>
  <c r="BA27" i="1"/>
  <c r="AW204" i="1"/>
  <c r="BA204" i="1" s="1"/>
  <c r="AW228" i="1"/>
  <c r="BA228" i="1" s="1"/>
  <c r="AW238" i="1"/>
  <c r="BA238" i="1" s="1"/>
  <c r="AW302" i="1"/>
  <c r="BA302" i="1" s="1"/>
  <c r="AW315" i="1"/>
  <c r="BA315" i="1" s="1"/>
  <c r="AW318" i="1"/>
  <c r="BA318" i="1" s="1"/>
  <c r="AW476" i="1"/>
  <c r="BA476" i="1" s="1"/>
  <c r="AW270" i="1"/>
  <c r="BA270" i="1" s="1"/>
  <c r="AW550" i="1"/>
  <c r="BA550" i="1" s="1"/>
  <c r="BA24" i="1"/>
  <c r="AW210" i="1"/>
  <c r="BA210" i="1" s="1"/>
  <c r="AW232" i="1"/>
  <c r="BA232" i="1" s="1"/>
  <c r="AW266" i="1"/>
  <c r="BA266" i="1" s="1"/>
  <c r="AW496" i="1"/>
  <c r="BA496" i="1" s="1"/>
  <c r="AW504" i="1"/>
  <c r="BA504" i="1" s="1"/>
  <c r="AW524" i="1"/>
  <c r="BA524" i="1" s="1"/>
  <c r="AW553" i="1"/>
  <c r="BA553" i="1" s="1"/>
  <c r="AW561" i="1"/>
  <c r="BA561" i="1" s="1"/>
  <c r="AW622" i="1"/>
  <c r="BA622" i="1" s="1"/>
  <c r="AW629" i="1"/>
  <c r="BA629" i="1" s="1"/>
  <c r="AB68" i="1"/>
  <c r="AW312" i="1"/>
  <c r="BA312" i="1" s="1"/>
  <c r="AW327" i="1"/>
  <c r="BA327" i="1" s="1"/>
  <c r="AW334" i="1"/>
  <c r="BA334" i="1" s="1"/>
  <c r="AW339" i="1"/>
  <c r="BA339" i="1" s="1"/>
  <c r="AW342" i="1"/>
  <c r="BA342" i="1" s="1"/>
  <c r="AW348" i="1"/>
  <c r="BA348" i="1" s="1"/>
  <c r="AW358" i="1"/>
  <c r="BA358" i="1" s="1"/>
  <c r="AW468" i="1"/>
  <c r="BA468" i="1" s="1"/>
  <c r="AW518" i="1"/>
  <c r="BA518" i="1" s="1"/>
  <c r="AW552" i="1"/>
  <c r="BA552" i="1" s="1"/>
  <c r="AW554" i="1"/>
  <c r="BA554" i="1" s="1"/>
  <c r="AW557" i="1"/>
  <c r="BA557" i="1" s="1"/>
  <c r="AW567" i="1"/>
  <c r="BA567" i="1" s="1"/>
  <c r="AW569" i="1"/>
  <c r="BA569" i="1" s="1"/>
  <c r="AW572" i="1"/>
  <c r="BA572" i="1" s="1"/>
  <c r="AW575" i="1"/>
  <c r="BA575" i="1" s="1"/>
  <c r="AW214" i="1"/>
  <c r="BA214" i="1" s="1"/>
  <c r="AS244" i="1"/>
  <c r="AW239" i="1"/>
  <c r="BA239" i="1" s="1"/>
  <c r="G56" i="5"/>
  <c r="I56" i="5" s="1"/>
  <c r="K407" i="8"/>
  <c r="K353" i="8"/>
  <c r="I334" i="8"/>
  <c r="K286" i="8"/>
  <c r="K131" i="8"/>
  <c r="I125" i="8"/>
  <c r="I553" i="8"/>
  <c r="K549" i="8"/>
  <c r="J547" i="8"/>
  <c r="J544" i="8"/>
  <c r="I542" i="8"/>
  <c r="I537" i="8"/>
  <c r="E535" i="8"/>
  <c r="J530" i="8"/>
  <c r="K526" i="8"/>
  <c r="K523" i="8"/>
  <c r="J519" i="8"/>
  <c r="I516" i="8"/>
  <c r="I512" i="8"/>
  <c r="I509" i="8"/>
  <c r="K505" i="8"/>
  <c r="J501" i="8"/>
  <c r="J498" i="8"/>
  <c r="K494" i="8"/>
  <c r="E492" i="8"/>
  <c r="J487" i="8"/>
  <c r="K483" i="8"/>
  <c r="E469" i="8"/>
  <c r="K452" i="8"/>
  <c r="I450" i="8"/>
  <c r="I446" i="8"/>
  <c r="I439" i="8"/>
  <c r="E431" i="8"/>
  <c r="J422" i="8"/>
  <c r="J411" i="8"/>
  <c r="K381" i="8"/>
  <c r="I374" i="8"/>
  <c r="I353" i="8"/>
  <c r="J331" i="8"/>
  <c r="K313" i="8"/>
  <c r="I279" i="8"/>
  <c r="J196" i="8"/>
  <c r="I173" i="8"/>
  <c r="I163" i="8"/>
  <c r="E79" i="8"/>
  <c r="P124" i="8"/>
  <c r="P369" i="8"/>
  <c r="AW223" i="1"/>
  <c r="BA223" i="1" s="1"/>
  <c r="AW242" i="1"/>
  <c r="BA242" i="1" s="1"/>
  <c r="E66" i="8"/>
  <c r="I91" i="8"/>
  <c r="I124" i="8"/>
  <c r="K158" i="8"/>
  <c r="E168" i="8"/>
  <c r="K173" i="8"/>
  <c r="J190" i="8"/>
  <c r="E234" i="8"/>
  <c r="I271" i="8"/>
  <c r="I281" i="8"/>
  <c r="I313" i="8"/>
  <c r="J326" i="8"/>
  <c r="J343" i="8"/>
  <c r="E362" i="8"/>
  <c r="E379" i="8"/>
  <c r="I386" i="8"/>
  <c r="I395" i="8"/>
  <c r="E409" i="8"/>
  <c r="E420" i="8"/>
  <c r="J425" i="8"/>
  <c r="J431" i="8"/>
  <c r="J437" i="8"/>
  <c r="I441" i="8"/>
  <c r="J443" i="8"/>
  <c r="J446" i="8"/>
  <c r="K448" i="8"/>
  <c r="I452" i="8"/>
  <c r="J454" i="8"/>
  <c r="E481" i="8"/>
  <c r="J483" i="8"/>
  <c r="K485" i="8"/>
  <c r="I489" i="8"/>
  <c r="I492" i="8"/>
  <c r="J494" i="8"/>
  <c r="K496" i="8"/>
  <c r="K501" i="8"/>
  <c r="J505" i="8"/>
  <c r="K507" i="8"/>
  <c r="K509" i="8"/>
  <c r="J512" i="8"/>
  <c r="K514" i="8"/>
  <c r="E519" i="8"/>
  <c r="J521" i="8"/>
  <c r="H522" i="8" s="1"/>
  <c r="BA53" i="1"/>
  <c r="I354" i="8"/>
  <c r="K346" i="8"/>
  <c r="K333" i="8"/>
  <c r="J131" i="8"/>
  <c r="I129" i="8"/>
  <c r="K85" i="8"/>
  <c r="J551" i="8"/>
  <c r="I549" i="8"/>
  <c r="E547" i="8"/>
  <c r="K542" i="8"/>
  <c r="K537" i="8"/>
  <c r="J535" i="8"/>
  <c r="J532" i="8"/>
  <c r="J528" i="8"/>
  <c r="H529" i="8" s="1"/>
  <c r="I526" i="8"/>
  <c r="I523" i="8"/>
  <c r="K516" i="8"/>
  <c r="I514" i="8"/>
  <c r="J507" i="8"/>
  <c r="J503" i="8"/>
  <c r="H504" i="8" s="1"/>
  <c r="E501" i="8"/>
  <c r="J496" i="8"/>
  <c r="K492" i="8"/>
  <c r="J489" i="8"/>
  <c r="J485" i="8"/>
  <c r="J481" i="8"/>
  <c r="K454" i="8"/>
  <c r="K450" i="8"/>
  <c r="I448" i="8"/>
  <c r="K443" i="8"/>
  <c r="K439" i="8"/>
  <c r="E437" i="8"/>
  <c r="E428" i="8"/>
  <c r="J417" i="8"/>
  <c r="K402" i="8"/>
  <c r="K369" i="8"/>
  <c r="J364" i="8"/>
  <c r="E348" i="8"/>
  <c r="I323" i="8"/>
  <c r="J308" i="8"/>
  <c r="H285" i="8"/>
  <c r="K273" i="8"/>
  <c r="J213" i="8"/>
  <c r="K183" i="8"/>
  <c r="J168" i="8"/>
  <c r="I128" i="8"/>
  <c r="P79" i="8"/>
  <c r="AW194" i="1"/>
  <c r="BA194" i="1" s="1"/>
  <c r="AW319" i="1"/>
  <c r="BA319" i="1" s="1"/>
  <c r="AW326" i="1"/>
  <c r="BA326" i="1" s="1"/>
  <c r="AW333" i="1"/>
  <c r="BA333" i="1" s="1"/>
  <c r="AW336" i="1"/>
  <c r="BA336" i="1" s="1"/>
  <c r="AW341" i="1"/>
  <c r="BA341" i="1" s="1"/>
  <c r="AW344" i="1"/>
  <c r="BA344" i="1" s="1"/>
  <c r="AW350" i="1"/>
  <c r="BA350" i="1" s="1"/>
  <c r="AW353" i="1"/>
  <c r="BA353" i="1" s="1"/>
  <c r="AW517" i="1"/>
  <c r="BA517" i="1" s="1"/>
  <c r="AW519" i="1"/>
  <c r="BA519" i="1" s="1"/>
  <c r="AW565" i="1"/>
  <c r="BA565" i="1" s="1"/>
  <c r="AW585" i="1"/>
  <c r="BA585" i="1" s="1"/>
  <c r="AW224" i="1"/>
  <c r="BA224" i="1" s="1"/>
  <c r="AW231" i="1"/>
  <c r="BA231" i="1" s="1"/>
  <c r="AW280" i="1"/>
  <c r="BA280" i="1" s="1"/>
  <c r="AW303" i="1"/>
  <c r="BA303" i="1" s="1"/>
  <c r="AW313" i="1"/>
  <c r="BA313" i="1" s="1"/>
  <c r="AW316" i="1"/>
  <c r="BA316" i="1" s="1"/>
  <c r="AW323" i="1"/>
  <c r="BA323" i="1" s="1"/>
  <c r="AW338" i="1"/>
  <c r="BA338" i="1" s="1"/>
  <c r="AW347" i="1"/>
  <c r="BA347" i="1" s="1"/>
  <c r="AW355" i="1"/>
  <c r="BA355" i="1" s="1"/>
  <c r="AW480" i="1"/>
  <c r="BA480" i="1" s="1"/>
  <c r="AW493" i="1"/>
  <c r="BA493" i="1" s="1"/>
  <c r="AW503" i="1"/>
  <c r="BA503" i="1" s="1"/>
  <c r="AW505" i="1"/>
  <c r="BA505" i="1" s="1"/>
  <c r="AW568" i="1"/>
  <c r="BA568" i="1" s="1"/>
  <c r="AW576" i="1"/>
  <c r="BA576" i="1" s="1"/>
  <c r="AW584" i="1"/>
  <c r="BA584" i="1" s="1"/>
  <c r="AW621" i="1"/>
  <c r="BA621" i="1" s="1"/>
  <c r="AW623" i="1"/>
  <c r="BA623" i="1" s="1"/>
  <c r="AW626" i="1"/>
  <c r="BA626" i="1" s="1"/>
  <c r="AW284" i="1"/>
  <c r="BA284" i="1" s="1"/>
  <c r="AW289" i="1"/>
  <c r="BA289" i="1" s="1"/>
  <c r="AW293" i="1"/>
  <c r="BA293" i="1" s="1"/>
  <c r="AW297" i="1"/>
  <c r="BA297" i="1" s="1"/>
  <c r="AW301" i="1"/>
  <c r="BA301" i="1" s="1"/>
  <c r="AW314" i="1"/>
  <c r="BA314" i="1" s="1"/>
  <c r="AW325" i="1"/>
  <c r="BA325" i="1" s="1"/>
  <c r="AW330" i="1"/>
  <c r="BA330" i="1" s="1"/>
  <c r="AW332" i="1"/>
  <c r="BA332" i="1" s="1"/>
  <c r="AW337" i="1"/>
  <c r="BA337" i="1" s="1"/>
  <c r="AW340" i="1"/>
  <c r="BA340" i="1" s="1"/>
  <c r="AW345" i="1"/>
  <c r="BA345" i="1" s="1"/>
  <c r="AW349" i="1"/>
  <c r="BA349" i="1" s="1"/>
  <c r="AW354" i="1"/>
  <c r="BA354" i="1" s="1"/>
  <c r="AW471" i="1"/>
  <c r="BA471" i="1" s="1"/>
  <c r="AW473" i="1"/>
  <c r="BA473" i="1" s="1"/>
  <c r="AW477" i="1"/>
  <c r="BA477" i="1" s="1"/>
  <c r="AW481" i="1"/>
  <c r="BA481" i="1" s="1"/>
  <c r="AW500" i="1"/>
  <c r="BA500" i="1" s="1"/>
  <c r="AW507" i="1"/>
  <c r="BA507" i="1" s="1"/>
  <c r="AW514" i="1"/>
  <c r="BA514" i="1" s="1"/>
  <c r="AW523" i="1"/>
  <c r="BA523" i="1" s="1"/>
  <c r="AW525" i="1"/>
  <c r="BA525" i="1" s="1"/>
  <c r="AW556" i="1"/>
  <c r="BA556" i="1" s="1"/>
  <c r="AW558" i="1"/>
  <c r="BA558" i="1" s="1"/>
  <c r="AW564" i="1"/>
  <c r="BA564" i="1" s="1"/>
  <c r="AW571" i="1"/>
  <c r="BA571" i="1" s="1"/>
  <c r="AW573" i="1"/>
  <c r="BA573" i="1" s="1"/>
  <c r="AW580" i="1"/>
  <c r="BA580" i="1" s="1"/>
  <c r="AW605" i="1"/>
  <c r="BA605" i="1" s="1"/>
  <c r="AW612" i="1"/>
  <c r="BA612" i="1" s="1"/>
  <c r="AW617" i="1"/>
  <c r="BA617" i="1" s="1"/>
  <c r="AW619" i="1"/>
  <c r="BA619" i="1" s="1"/>
  <c r="AW632" i="1"/>
  <c r="BA632" i="1" s="1"/>
  <c r="AW640" i="1"/>
  <c r="BA640" i="1" s="1"/>
  <c r="AS215" i="1"/>
  <c r="AJ215" i="1" s="1"/>
  <c r="AW254" i="1"/>
  <c r="BA254" i="1" s="1"/>
  <c r="AW258" i="1"/>
  <c r="BA258" i="1" s="1"/>
  <c r="AW262" i="1"/>
  <c r="BA262" i="1" s="1"/>
  <c r="AW351" i="1"/>
  <c r="BA351" i="1" s="1"/>
  <c r="AW630" i="1"/>
  <c r="BA630" i="1" s="1"/>
  <c r="AW635" i="1"/>
  <c r="BA635" i="1" s="1"/>
  <c r="AW638" i="1"/>
  <c r="BA638" i="1" s="1"/>
  <c r="AB59" i="1"/>
  <c r="AW193" i="1"/>
  <c r="BA193" i="1" s="1"/>
  <c r="AW202" i="1"/>
  <c r="BA202" i="1" s="1"/>
  <c r="AW209" i="1"/>
  <c r="BA209" i="1" s="1"/>
  <c r="AW213" i="1"/>
  <c r="BA213" i="1" s="1"/>
  <c r="AW281" i="1"/>
  <c r="BA281" i="1" s="1"/>
  <c r="AW286" i="1"/>
  <c r="BA286" i="1" s="1"/>
  <c r="AW290" i="1"/>
  <c r="BA290" i="1" s="1"/>
  <c r="AW294" i="1"/>
  <c r="BA294" i="1" s="1"/>
  <c r="AW492" i="1"/>
  <c r="BA492" i="1" s="1"/>
  <c r="AW499" i="1"/>
  <c r="BA499" i="1" s="1"/>
  <c r="AW501" i="1"/>
  <c r="BA501" i="1" s="1"/>
  <c r="AW513" i="1"/>
  <c r="BA513" i="1" s="1"/>
  <c r="AW515" i="1"/>
  <c r="BA515" i="1" s="1"/>
  <c r="AW563" i="1"/>
  <c r="BA563" i="1" s="1"/>
  <c r="AW579" i="1"/>
  <c r="BA579" i="1" s="1"/>
  <c r="AW604" i="1"/>
  <c r="BA604" i="1" s="1"/>
  <c r="AW611" i="1"/>
  <c r="BA611" i="1" s="1"/>
  <c r="AW613" i="1"/>
  <c r="BA613" i="1" s="1"/>
  <c r="AW625" i="1"/>
  <c r="BA625" i="1" s="1"/>
  <c r="AW627" i="1"/>
  <c r="BA627" i="1" s="1"/>
  <c r="AW633" i="1"/>
  <c r="BA633" i="1" s="1"/>
  <c r="AW243" i="1"/>
  <c r="BA243" i="1" s="1"/>
  <c r="AW253" i="1"/>
  <c r="BA253" i="1" s="1"/>
  <c r="AW257" i="1"/>
  <c r="BA257" i="1" s="1"/>
  <c r="AW261" i="1"/>
  <c r="BA261" i="1" s="1"/>
  <c r="AW265" i="1"/>
  <c r="BA265" i="1" s="1"/>
  <c r="AW269" i="1"/>
  <c r="BA269" i="1" s="1"/>
  <c r="AW317" i="1"/>
  <c r="BA317" i="1" s="1"/>
  <c r="AW321" i="1"/>
  <c r="BA321" i="1" s="1"/>
  <c r="AW328" i="1"/>
  <c r="BA328" i="1" s="1"/>
  <c r="AW335" i="1"/>
  <c r="BA335" i="1" s="1"/>
  <c r="AW343" i="1"/>
  <c r="BA343" i="1" s="1"/>
  <c r="AW352" i="1"/>
  <c r="BA352" i="1" s="1"/>
  <c r="AW484" i="1"/>
  <c r="BA484" i="1" s="1"/>
  <c r="AW497" i="1"/>
  <c r="BA497" i="1" s="1"/>
  <c r="AW544" i="1"/>
  <c r="BA544" i="1" s="1"/>
  <c r="AW546" i="1"/>
  <c r="BA546" i="1" s="1"/>
  <c r="AW560" i="1"/>
  <c r="BA560" i="1" s="1"/>
  <c r="AW562" i="1"/>
  <c r="BA562" i="1" s="1"/>
  <c r="AW577" i="1"/>
  <c r="BA577" i="1" s="1"/>
  <c r="AW609" i="1"/>
  <c r="BA609" i="1" s="1"/>
  <c r="T370" i="8"/>
  <c r="T369" i="8"/>
  <c r="T244" i="8"/>
  <c r="T199" i="8"/>
  <c r="T193" i="8"/>
  <c r="T164" i="8"/>
  <c r="T163" i="8"/>
  <c r="T131" i="8"/>
  <c r="T126" i="8"/>
  <c r="T124" i="8"/>
  <c r="T17" i="8"/>
  <c r="T16" i="8"/>
  <c r="T14" i="8"/>
  <c r="K25" i="7"/>
  <c r="AS458" i="1"/>
  <c r="AW458" i="1" s="1"/>
  <c r="BA458" i="1" s="1"/>
  <c r="AB124" i="4"/>
  <c r="AB106" i="4" s="1"/>
  <c r="AB45" i="4"/>
  <c r="AB24" i="4"/>
  <c r="Y27" i="4"/>
  <c r="Y29" i="4" s="1"/>
  <c r="Y31" i="4" s="1"/>
  <c r="K27" i="4"/>
  <c r="K29" i="4" s="1"/>
  <c r="K31" i="4" s="1"/>
  <c r="T508" i="8"/>
  <c r="T507" i="8"/>
  <c r="T499" i="8"/>
  <c r="T498" i="8"/>
  <c r="T449" i="8"/>
  <c r="T448" i="8"/>
  <c r="T398" i="8"/>
  <c r="T396" i="8"/>
  <c r="T352" i="8"/>
  <c r="T350" i="8"/>
  <c r="T348" i="8"/>
  <c r="E89" i="5"/>
  <c r="E86" i="5"/>
  <c r="G86" i="5" s="1"/>
  <c r="X69" i="5"/>
  <c r="I69" i="5"/>
  <c r="G65" i="5"/>
  <c r="E65" i="5"/>
  <c r="E62" i="5"/>
  <c r="G62" i="5" s="1"/>
  <c r="I43" i="5"/>
  <c r="X43" i="5"/>
  <c r="I36" i="5"/>
  <c r="X36" i="5"/>
  <c r="I29" i="5"/>
  <c r="X29" i="5"/>
  <c r="I22" i="5"/>
  <c r="X22" i="5"/>
  <c r="I13" i="5"/>
  <c r="X13" i="5"/>
  <c r="AB46" i="4"/>
  <c r="AB25" i="4"/>
  <c r="AB9" i="4"/>
  <c r="T506" i="8"/>
  <c r="T505" i="8"/>
  <c r="T503" i="8"/>
  <c r="T497" i="8"/>
  <c r="T496" i="8"/>
  <c r="T494" i="8"/>
  <c r="T447" i="8"/>
  <c r="T446" i="8"/>
  <c r="T242" i="8"/>
  <c r="T201" i="8"/>
  <c r="T195" i="8"/>
  <c r="T194" i="8"/>
  <c r="T161" i="8"/>
  <c r="T160" i="8"/>
  <c r="T129" i="8"/>
  <c r="G89" i="5"/>
  <c r="I72" i="5"/>
  <c r="X72" i="5"/>
  <c r="I67" i="5"/>
  <c r="X67" i="5"/>
  <c r="E53" i="5"/>
  <c r="G53" i="5" s="1"/>
  <c r="AB53" i="4"/>
  <c r="AB37" i="4"/>
  <c r="K55" i="4"/>
  <c r="K57" i="4" s="1"/>
  <c r="K59" i="4" s="1"/>
  <c r="AB16" i="4"/>
  <c r="D27" i="4"/>
  <c r="D29" i="4" s="1"/>
  <c r="D31" i="4" s="1"/>
  <c r="T504" i="8"/>
  <c r="T502" i="8"/>
  <c r="T495" i="8"/>
  <c r="T493" i="8"/>
  <c r="T486" i="8"/>
  <c r="T453" i="8"/>
  <c r="T412" i="8"/>
  <c r="T411" i="8"/>
  <c r="T387" i="8"/>
  <c r="T372" i="8"/>
  <c r="T367" i="8"/>
  <c r="T366" i="8"/>
  <c r="T364" i="8"/>
  <c r="T346" i="8"/>
  <c r="T344" i="8"/>
  <c r="T333" i="8"/>
  <c r="T325" i="8"/>
  <c r="T324" i="8"/>
  <c r="T323" i="8"/>
  <c r="T285" i="8"/>
  <c r="T275" i="8"/>
  <c r="T274" i="8"/>
  <c r="T273" i="8"/>
  <c r="T166" i="8"/>
  <c r="T159" i="8"/>
  <c r="T84" i="8"/>
  <c r="T30" i="8"/>
  <c r="T29" i="8"/>
  <c r="T27" i="8"/>
  <c r="T19" i="8"/>
  <c r="K54" i="7"/>
  <c r="K52" i="7"/>
  <c r="I70" i="5"/>
  <c r="X70" i="5"/>
  <c r="I44" i="5"/>
  <c r="X44" i="5"/>
  <c r="I30" i="5"/>
  <c r="X30" i="5"/>
  <c r="I21" i="5"/>
  <c r="X21" i="5"/>
  <c r="I12" i="5"/>
  <c r="X12" i="5"/>
  <c r="AB103" i="4"/>
  <c r="AB85" i="4" s="1"/>
  <c r="AB38" i="4"/>
  <c r="AB17" i="4"/>
  <c r="AG206" i="3"/>
  <c r="AG181" i="3"/>
  <c r="AG177" i="3"/>
  <c r="AG173" i="3"/>
  <c r="AG169" i="3"/>
  <c r="AG157" i="3"/>
  <c r="AG153" i="3"/>
  <c r="AG149" i="3"/>
  <c r="Z161" i="3"/>
  <c r="Z163" i="3" s="1"/>
  <c r="AG163" i="3" s="1"/>
  <c r="AG145" i="3"/>
  <c r="B161" i="3"/>
  <c r="B163" i="3" s="1"/>
  <c r="AG122" i="3"/>
  <c r="T138" i="3"/>
  <c r="T140" i="3" s="1"/>
  <c r="H62" i="3"/>
  <c r="H65" i="3" s="1"/>
  <c r="AG36" i="3"/>
  <c r="AG32" i="3"/>
  <c r="AG28" i="3"/>
  <c r="AG24" i="3"/>
  <c r="AR148" i="1"/>
  <c r="BA147" i="1" s="1"/>
  <c r="AG17" i="3"/>
  <c r="AG15" i="3" s="1"/>
  <c r="V52" i="1"/>
  <c r="BA52" i="1" s="1"/>
  <c r="U14" i="2"/>
  <c r="U15" i="2"/>
  <c r="J90" i="6"/>
  <c r="I47" i="5"/>
  <c r="I39" i="5"/>
  <c r="I33" i="5"/>
  <c r="I25" i="5"/>
  <c r="I16" i="5"/>
  <c r="I8" i="5"/>
  <c r="AB82" i="4"/>
  <c r="AB65" i="4" s="1"/>
  <c r="AB52" i="4"/>
  <c r="AB44" i="4"/>
  <c r="AB36" i="4"/>
  <c r="AB23" i="4"/>
  <c r="AB15" i="4"/>
  <c r="AG205" i="3"/>
  <c r="AG201" i="3"/>
  <c r="AG197" i="3"/>
  <c r="AG193" i="3"/>
  <c r="H114" i="3"/>
  <c r="H117" i="3" s="1"/>
  <c r="AG117" i="3" s="1"/>
  <c r="T62" i="3"/>
  <c r="T65" i="3" s="1"/>
  <c r="AS467" i="1"/>
  <c r="AW467" i="1" s="1"/>
  <c r="T134" i="2"/>
  <c r="U134" i="2" s="1"/>
  <c r="AB50" i="4"/>
  <c r="AB42" i="4"/>
  <c r="R55" i="4"/>
  <c r="R57" i="4" s="1"/>
  <c r="R59" i="4" s="1"/>
  <c r="D55" i="4"/>
  <c r="D57" i="4" s="1"/>
  <c r="D59" i="4" s="1"/>
  <c r="AB21" i="4"/>
  <c r="AB13" i="4"/>
  <c r="AB8" i="4"/>
  <c r="B211" i="3"/>
  <c r="B213" i="3" s="1"/>
  <c r="AG213" i="3" s="1"/>
  <c r="AG204" i="3"/>
  <c r="AG200" i="3"/>
  <c r="AG196" i="3"/>
  <c r="AG192" i="3"/>
  <c r="B186" i="3"/>
  <c r="B188" i="3" s="1"/>
  <c r="AS322" i="1" s="1"/>
  <c r="AW322" i="1" s="1"/>
  <c r="BA322" i="1" s="1"/>
  <c r="AG179" i="3"/>
  <c r="AG175" i="3"/>
  <c r="AG171" i="3"/>
  <c r="AG167" i="3"/>
  <c r="AG159" i="3"/>
  <c r="AG155" i="3"/>
  <c r="AG151" i="3"/>
  <c r="AG147" i="3"/>
  <c r="AG140" i="3"/>
  <c r="AG118" i="3" s="1"/>
  <c r="T114" i="3"/>
  <c r="T117" i="3" s="1"/>
  <c r="AG70" i="3"/>
  <c r="T88" i="3"/>
  <c r="T91" i="3" s="1"/>
  <c r="AG34" i="3"/>
  <c r="AG30" i="3"/>
  <c r="AG26" i="3"/>
  <c r="Z38" i="3"/>
  <c r="Z41" i="3" s="1"/>
  <c r="AG22" i="3"/>
  <c r="B38" i="3"/>
  <c r="B41" i="3" s="1"/>
  <c r="U16" i="2"/>
  <c r="J91" i="6"/>
  <c r="X48" i="5"/>
  <c r="X40" i="5"/>
  <c r="X34" i="5"/>
  <c r="X26" i="5"/>
  <c r="X17" i="5"/>
  <c r="X9" i="5"/>
  <c r="AB48" i="4"/>
  <c r="AB40" i="4"/>
  <c r="AB19" i="4"/>
  <c r="AB11" i="4"/>
  <c r="AG207" i="3"/>
  <c r="AG203" i="3"/>
  <c r="AG199" i="3"/>
  <c r="AG195" i="3"/>
  <c r="AG182" i="3"/>
  <c r="AG178" i="3"/>
  <c r="AG174" i="3"/>
  <c r="AG170" i="3"/>
  <c r="N186" i="3"/>
  <c r="N188" i="3" s="1"/>
  <c r="AG158" i="3"/>
  <c r="AG154" i="3"/>
  <c r="AG150" i="3"/>
  <c r="AG146" i="3"/>
  <c r="AG33" i="3"/>
  <c r="AG29" i="3"/>
  <c r="AG25" i="3"/>
  <c r="AG21" i="3"/>
  <c r="U6" i="2"/>
  <c r="T52" i="2"/>
  <c r="U52" i="2" s="1"/>
  <c r="T110" i="2"/>
  <c r="U110" i="2" s="1"/>
  <c r="E26" i="8"/>
  <c r="K42" i="8"/>
  <c r="K53" i="8"/>
  <c r="E58" i="8"/>
  <c r="K69" i="8"/>
  <c r="K79" i="8"/>
  <c r="I84" i="8"/>
  <c r="J91" i="8"/>
  <c r="J94" i="8"/>
  <c r="E124" i="8"/>
  <c r="I126" i="8"/>
  <c r="K128" i="8"/>
  <c r="I158" i="8"/>
  <c r="J160" i="8"/>
  <c r="J163" i="8"/>
  <c r="K165" i="8"/>
  <c r="E180" i="8"/>
  <c r="E190" i="8"/>
  <c r="E193" i="8"/>
  <c r="I193" i="8"/>
  <c r="E213" i="8"/>
  <c r="E226" i="8"/>
  <c r="I244" i="8"/>
  <c r="E271" i="8"/>
  <c r="I273" i="8"/>
  <c r="I276" i="8"/>
  <c r="J279" i="8"/>
  <c r="I285" i="8"/>
  <c r="K308" i="8"/>
  <c r="J321" i="8"/>
  <c r="K323" i="8"/>
  <c r="I331" i="8"/>
  <c r="I333" i="8"/>
  <c r="I343" i="8"/>
  <c r="J348" i="8"/>
  <c r="E359" i="8"/>
  <c r="I366" i="8"/>
  <c r="E369" i="8"/>
  <c r="K374" i="8"/>
  <c r="I379" i="8"/>
  <c r="J381" i="8"/>
  <c r="K383" i="8"/>
  <c r="K386" i="8"/>
  <c r="K395" i="8"/>
  <c r="I402" i="8"/>
  <c r="I404" i="8"/>
  <c r="J409" i="8"/>
  <c r="K411" i="8"/>
  <c r="I12" i="8"/>
  <c r="J53" i="8"/>
  <c r="I82" i="8"/>
  <c r="E91" i="8"/>
  <c r="I94" i="8"/>
  <c r="J126" i="8"/>
  <c r="I130" i="8"/>
  <c r="J158" i="8"/>
  <c r="E163" i="8"/>
  <c r="J165" i="8"/>
  <c r="I170" i="8"/>
  <c r="J173" i="8"/>
  <c r="I180" i="8"/>
  <c r="K190" i="8"/>
  <c r="I196" i="8"/>
  <c r="K193" i="8"/>
  <c r="K213" i="8"/>
  <c r="J244" i="8"/>
  <c r="J273" i="8"/>
  <c r="J281" i="8"/>
  <c r="I308" i="8"/>
  <c r="J311" i="8"/>
  <c r="E321" i="8"/>
  <c r="J323" i="8"/>
  <c r="I329" i="8"/>
  <c r="E343" i="8"/>
  <c r="I345" i="8"/>
  <c r="I351" i="8"/>
  <c r="I364" i="8"/>
  <c r="K366" i="8"/>
  <c r="I371" i="8"/>
  <c r="J374" i="8"/>
  <c r="J379" i="8"/>
  <c r="I383" i="8"/>
  <c r="J386" i="8"/>
  <c r="E389" i="8"/>
  <c r="O389" i="8" s="1"/>
  <c r="R389" i="8" s="1"/>
  <c r="J395" i="8"/>
  <c r="J402" i="8"/>
  <c r="K404" i="8"/>
  <c r="I409" i="8"/>
  <c r="E414" i="8"/>
  <c r="O414" i="8" s="1"/>
  <c r="R414" i="8" s="1"/>
  <c r="I417" i="8"/>
  <c r="I420" i="8"/>
  <c r="K422" i="8"/>
  <c r="K425" i="8"/>
  <c r="K428" i="8"/>
  <c r="K431" i="8"/>
  <c r="J12" i="8"/>
  <c r="E42" i="8"/>
  <c r="I55" i="8"/>
  <c r="I42" i="8"/>
  <c r="E53" i="8"/>
  <c r="J55" i="8"/>
  <c r="I58" i="8"/>
  <c r="I69" i="8"/>
  <c r="I79" i="8"/>
  <c r="K91" i="8"/>
  <c r="J124" i="8"/>
  <c r="J128" i="8"/>
  <c r="I160" i="8"/>
  <c r="K163" i="8"/>
  <c r="I168" i="8"/>
  <c r="K170" i="8"/>
  <c r="J183" i="8"/>
  <c r="K180" i="8"/>
  <c r="I190" i="8"/>
  <c r="K196" i="8"/>
  <c r="I213" i="8"/>
  <c r="E239" i="8"/>
  <c r="J271" i="8"/>
  <c r="J283" i="8"/>
  <c r="J313" i="8"/>
  <c r="I326" i="8"/>
  <c r="K343" i="8"/>
  <c r="I348" i="8"/>
  <c r="I362" i="8"/>
  <c r="J369" i="8"/>
  <c r="K371" i="8"/>
  <c r="E374" i="8"/>
  <c r="I381" i="8"/>
  <c r="E386" i="8"/>
  <c r="E395" i="8"/>
  <c r="J397" i="8"/>
  <c r="I406" i="8"/>
  <c r="I411" i="8"/>
  <c r="K417" i="8"/>
  <c r="I422" i="8"/>
  <c r="I425" i="8"/>
  <c r="I428" i="8"/>
  <c r="I431" i="8"/>
  <c r="T227" i="8"/>
  <c r="T31" i="8"/>
  <c r="T34" i="8" s="1"/>
  <c r="J79" i="8"/>
  <c r="E76" i="8"/>
  <c r="J42" i="8"/>
  <c r="BA174" i="1"/>
  <c r="AK166" i="1"/>
  <c r="AO166" i="1" s="1"/>
  <c r="AV166" i="1" s="1"/>
  <c r="AK165" i="1"/>
  <c r="AO165" i="1" s="1"/>
  <c r="AV165" i="1" s="1"/>
  <c r="AK164" i="1"/>
  <c r="AO164" i="1" s="1"/>
  <c r="AV164" i="1" s="1"/>
  <c r="AK163" i="1"/>
  <c r="AO163" i="1" s="1"/>
  <c r="AV163" i="1" s="1"/>
  <c r="AK162" i="1"/>
  <c r="AO162" i="1" s="1"/>
  <c r="AV162" i="1" s="1"/>
  <c r="AK161" i="1"/>
  <c r="AO161" i="1" s="1"/>
  <c r="AV161" i="1" s="1"/>
  <c r="K55" i="8"/>
  <c r="H345" i="8"/>
  <c r="H406" i="8"/>
  <c r="H19" i="8"/>
  <c r="P12" i="8"/>
  <c r="H353" i="8"/>
  <c r="AR137" i="1"/>
  <c r="AS304" i="1"/>
  <c r="AJ304" i="1" s="1"/>
  <c r="AS273" i="1"/>
  <c r="AJ273" i="1" s="1"/>
  <c r="AW192" i="1"/>
  <c r="AW222" i="1"/>
  <c r="AW495" i="1"/>
  <c r="BA495" i="1" s="1"/>
  <c r="AF100" i="1"/>
  <c r="AF101" i="1" s="1"/>
  <c r="V20" i="1"/>
  <c r="V107" i="1"/>
  <c r="AB125" i="4"/>
  <c r="AB128" i="4"/>
  <c r="AB127" i="4"/>
  <c r="AB104" i="4"/>
  <c r="AB107" i="4"/>
  <c r="AB83" i="4"/>
  <c r="AB86" i="4"/>
  <c r="AS453" i="1"/>
  <c r="AW453" i="1" s="1"/>
  <c r="BA453" i="1" s="1"/>
  <c r="AS383" i="1"/>
  <c r="AW383" i="1" s="1"/>
  <c r="BA383" i="1" s="1"/>
  <c r="AB64" i="4"/>
  <c r="AS456" i="1"/>
  <c r="AW456" i="1" s="1"/>
  <c r="BA456" i="1" s="1"/>
  <c r="AS451" i="1"/>
  <c r="AW451" i="1" s="1"/>
  <c r="BA451" i="1" s="1"/>
  <c r="AS407" i="1"/>
  <c r="C62" i="4"/>
  <c r="AS364" i="1"/>
  <c r="AW364" i="1" s="1"/>
  <c r="BA364" i="1" s="1"/>
  <c r="AS362" i="1"/>
  <c r="AW362" i="1" s="1"/>
  <c r="BA362" i="1" s="1"/>
  <c r="AS331" i="1"/>
  <c r="AW331" i="1" s="1"/>
  <c r="BA331" i="1" s="1"/>
  <c r="AG189" i="3"/>
  <c r="AG209" i="3"/>
  <c r="AG210" i="3"/>
  <c r="AS649" i="1"/>
  <c r="AW649" i="1" s="1"/>
  <c r="BA649" i="1" s="1"/>
  <c r="AS644" i="1"/>
  <c r="AW644" i="1" s="1"/>
  <c r="BA644" i="1" s="1"/>
  <c r="AF91" i="3"/>
  <c r="AS634" i="1"/>
  <c r="AW634" i="1" s="1"/>
  <c r="BA634" i="1" s="1"/>
  <c r="AS615" i="1"/>
  <c r="AW615" i="1" s="1"/>
  <c r="BA615" i="1" s="1"/>
  <c r="AS645" i="1"/>
  <c r="AW645" i="1" s="1"/>
  <c r="BA645" i="1" s="1"/>
  <c r="AS641" i="1"/>
  <c r="AW641" i="1" s="1"/>
  <c r="BA641" i="1" s="1"/>
  <c r="BA127" i="1"/>
  <c r="U24" i="2"/>
  <c r="AG42" i="3"/>
  <c r="AG63" i="3"/>
  <c r="AG18" i="3"/>
  <c r="AG39" i="3"/>
  <c r="V25" i="1"/>
  <c r="K360" i="8"/>
  <c r="K359" i="8"/>
  <c r="J360" i="8"/>
  <c r="J359" i="8"/>
  <c r="I360" i="8"/>
  <c r="I359" i="8"/>
  <c r="BA616" i="1"/>
  <c r="R91" i="5"/>
  <c r="K68" i="7"/>
  <c r="M68" i="7"/>
  <c r="K67" i="7"/>
  <c r="M67" i="7"/>
  <c r="K66" i="7"/>
  <c r="M66" i="7"/>
  <c r="J162" i="6"/>
  <c r="K65" i="7"/>
  <c r="M65"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4" i="7"/>
  <c r="L34" i="7"/>
  <c r="M33" i="7"/>
  <c r="L33" i="7"/>
  <c r="M32" i="7"/>
  <c r="L32" i="7"/>
  <c r="M22" i="7"/>
  <c r="L22" i="7"/>
  <c r="M21" i="7"/>
  <c r="L21" i="7"/>
  <c r="M20" i="7"/>
  <c r="L20" i="7"/>
  <c r="M19" i="7"/>
  <c r="L19" i="7"/>
  <c r="M18" i="7"/>
  <c r="L18" i="7"/>
  <c r="M17" i="7"/>
  <c r="L17" i="7"/>
  <c r="M16" i="7"/>
  <c r="L16" i="7"/>
  <c r="M15" i="7"/>
  <c r="L15" i="7"/>
  <c r="M14" i="7"/>
  <c r="L14" i="7"/>
  <c r="M13" i="7"/>
  <c r="L13" i="7"/>
  <c r="M12" i="7"/>
  <c r="L12" i="7"/>
  <c r="M11" i="7"/>
  <c r="L11" i="7"/>
  <c r="M10" i="7"/>
  <c r="L10" i="7"/>
  <c r="M9" i="7"/>
  <c r="L9" i="7"/>
  <c r="K9" i="7"/>
  <c r="M8" i="7"/>
  <c r="L8" i="7"/>
  <c r="K8" i="7"/>
  <c r="J54" i="6"/>
  <c r="K64" i="7"/>
  <c r="M64" i="7"/>
  <c r="I168" i="6"/>
  <c r="J168" i="6" s="1"/>
  <c r="I159" i="6"/>
  <c r="L7" i="7"/>
  <c r="M7" i="7"/>
  <c r="M35" i="7"/>
  <c r="L35" i="7"/>
  <c r="V112" i="1"/>
  <c r="AK160" i="1"/>
  <c r="AO160" i="1" s="1"/>
  <c r="AV160" i="1" s="1"/>
  <c r="Z102" i="1"/>
  <c r="X102" i="1"/>
  <c r="U11" i="9"/>
  <c r="J11" i="9" s="1"/>
  <c r="T11" i="9" s="1"/>
  <c r="W11" i="9" s="1"/>
  <c r="U5" i="9"/>
  <c r="J5" i="9" s="1"/>
  <c r="E479" i="8"/>
  <c r="E467" i="8"/>
  <c r="K478" i="8"/>
  <c r="K477" i="8"/>
  <c r="J478" i="8"/>
  <c r="J477" i="8"/>
  <c r="I478" i="8"/>
  <c r="I477" i="8"/>
  <c r="K476" i="8"/>
  <c r="K475" i="8"/>
  <c r="J476" i="8"/>
  <c r="J475" i="8"/>
  <c r="I476" i="8"/>
  <c r="I475" i="8"/>
  <c r="J474" i="8"/>
  <c r="J473" i="8"/>
  <c r="I474" i="8"/>
  <c r="I473" i="8"/>
  <c r="J472" i="8"/>
  <c r="J471" i="8"/>
  <c r="I472" i="8"/>
  <c r="I471" i="8"/>
  <c r="J470" i="8"/>
  <c r="J469" i="8"/>
  <c r="I470" i="8"/>
  <c r="I469" i="8"/>
  <c r="K466" i="8"/>
  <c r="K465" i="8"/>
  <c r="J466" i="8"/>
  <c r="J465" i="8"/>
  <c r="I466" i="8"/>
  <c r="I465" i="8"/>
  <c r="K464" i="8"/>
  <c r="K463" i="8"/>
  <c r="J464" i="8"/>
  <c r="J463" i="8"/>
  <c r="I464" i="8"/>
  <c r="I463" i="8"/>
  <c r="K462" i="8"/>
  <c r="K461" i="8"/>
  <c r="J462" i="8"/>
  <c r="J461" i="8"/>
  <c r="I462" i="8"/>
  <c r="I461" i="8"/>
  <c r="K460" i="8"/>
  <c r="K459" i="8"/>
  <c r="J460" i="8"/>
  <c r="J459" i="8"/>
  <c r="I460" i="8"/>
  <c r="I459" i="8"/>
  <c r="J458" i="8"/>
  <c r="J457" i="8"/>
  <c r="I458" i="8"/>
  <c r="I457" i="8"/>
  <c r="H538" i="8"/>
  <c r="T287" i="8"/>
  <c r="T289" i="8" s="1"/>
  <c r="L172" i="8"/>
  <c r="L171" i="8"/>
  <c r="T175" i="8"/>
  <c r="T335" i="8"/>
  <c r="T337" i="8" s="1"/>
  <c r="K237" i="8"/>
  <c r="K236" i="8"/>
  <c r="J237" i="8"/>
  <c r="J236" i="8"/>
  <c r="I237" i="8"/>
  <c r="I236" i="8"/>
  <c r="L194" i="8"/>
  <c r="L195" i="8" s="1"/>
  <c r="L181" i="8"/>
  <c r="L182" i="8" s="1"/>
  <c r="T185" i="8"/>
  <c r="T232" i="8"/>
  <c r="T231" i="8"/>
  <c r="L27" i="8"/>
  <c r="L28" i="8" s="1"/>
  <c r="T21" i="8"/>
  <c r="E12" i="8"/>
  <c r="K232" i="8"/>
  <c r="K231" i="8"/>
  <c r="J232" i="8"/>
  <c r="J231" i="8"/>
  <c r="I232" i="8"/>
  <c r="I231" i="8"/>
  <c r="E231" i="8"/>
  <c r="I495" i="8"/>
  <c r="E434" i="8"/>
  <c r="E400" i="8"/>
  <c r="K401" i="8"/>
  <c r="K400" i="8"/>
  <c r="J401" i="8"/>
  <c r="J400" i="8"/>
  <c r="I401" i="8"/>
  <c r="I400" i="8"/>
  <c r="N109" i="6"/>
  <c r="T378" i="8"/>
  <c r="L354" i="8"/>
  <c r="L353" i="8"/>
  <c r="L346" i="8"/>
  <c r="L345" i="8"/>
  <c r="L334" i="8"/>
  <c r="L333" i="8"/>
  <c r="L286" i="8"/>
  <c r="L285" i="8"/>
  <c r="K242" i="8"/>
  <c r="K241" i="8"/>
  <c r="J242" i="8"/>
  <c r="J241" i="8"/>
  <c r="I242" i="8"/>
  <c r="I241" i="8"/>
  <c r="K240" i="8"/>
  <c r="K239" i="8"/>
  <c r="J240" i="8"/>
  <c r="J239" i="8"/>
  <c r="I240" i="8"/>
  <c r="I239" i="8"/>
  <c r="K235" i="8"/>
  <c r="K234" i="8"/>
  <c r="J235" i="8"/>
  <c r="J234" i="8"/>
  <c r="I235" i="8"/>
  <c r="I234" i="8"/>
  <c r="K229" i="8"/>
  <c r="K228" i="8"/>
  <c r="J229" i="8"/>
  <c r="J228" i="8"/>
  <c r="I229" i="8"/>
  <c r="I228" i="8"/>
  <c r="E158" i="8"/>
  <c r="K227" i="8"/>
  <c r="K226" i="8"/>
  <c r="J227" i="8"/>
  <c r="J226" i="8"/>
  <c r="I227" i="8"/>
  <c r="I226" i="8"/>
  <c r="J216" i="8"/>
  <c r="J215" i="8"/>
  <c r="I216" i="8"/>
  <c r="I215" i="8"/>
  <c r="K218" i="8"/>
  <c r="J218" i="8"/>
  <c r="I218" i="8"/>
  <c r="K217" i="8"/>
  <c r="J217" i="8"/>
  <c r="I217" i="8"/>
  <c r="L85" i="8"/>
  <c r="L84" i="8"/>
  <c r="I64" i="8"/>
  <c r="I63" i="8"/>
  <c r="K61" i="8"/>
  <c r="K60" i="8"/>
  <c r="J61" i="8"/>
  <c r="J60" i="8"/>
  <c r="I61" i="8"/>
  <c r="I60" i="8"/>
  <c r="K59" i="8"/>
  <c r="K58" i="8"/>
  <c r="J59" i="8"/>
  <c r="J58" i="8"/>
  <c r="I59" i="8"/>
  <c r="E63" i="8"/>
  <c r="K64" i="8"/>
  <c r="K63" i="8"/>
  <c r="J64" i="8"/>
  <c r="J63" i="8"/>
  <c r="I11" i="6"/>
  <c r="N55" i="6"/>
  <c r="J55" i="6"/>
  <c r="N162" i="6"/>
  <c r="AL30" i="1"/>
  <c r="AL25" i="1" s="1"/>
  <c r="AR25" i="1" s="1"/>
  <c r="V26" i="1"/>
  <c r="J158" i="6"/>
  <c r="N158" i="6"/>
  <c r="AB126" i="4"/>
  <c r="AB105" i="4"/>
  <c r="AB84" i="4"/>
  <c r="AG212" i="3"/>
  <c r="AG211" i="3"/>
  <c r="AG208" i="3"/>
  <c r="AG191" i="3"/>
  <c r="AG190" i="3"/>
  <c r="AG139" i="3"/>
  <c r="AG138" i="3"/>
  <c r="AG137" i="3"/>
  <c r="AG119" i="3"/>
  <c r="AG64" i="3"/>
  <c r="AG62" i="3"/>
  <c r="AG61" i="3"/>
  <c r="AG44" i="3"/>
  <c r="AG43" i="3"/>
  <c r="AG40" i="3"/>
  <c r="AG38" i="3"/>
  <c r="AG37" i="3"/>
  <c r="AG20" i="3"/>
  <c r="AG19" i="3"/>
  <c r="AG16" i="3"/>
  <c r="AG5" i="3"/>
  <c r="AG4" i="3" s="1"/>
  <c r="AG120" i="3" l="1"/>
  <c r="AG91" i="3"/>
  <c r="AG89" i="3" s="1"/>
  <c r="X101" i="1"/>
  <c r="AJ85" i="1" s="1"/>
  <c r="AN85" i="1" s="1"/>
  <c r="AV85" i="1" s="1"/>
  <c r="AB59" i="4"/>
  <c r="AB31" i="4"/>
  <c r="AB66" i="1"/>
  <c r="AG112" i="3"/>
  <c r="AG115" i="3"/>
  <c r="AG113" i="3"/>
  <c r="AG92" i="3"/>
  <c r="AG116" i="3"/>
  <c r="AG94" i="3"/>
  <c r="AG111" i="3"/>
  <c r="AG114" i="3"/>
  <c r="AG93" i="3"/>
  <c r="AF188" i="3"/>
  <c r="AG188" i="3" s="1"/>
  <c r="AG164" i="3" s="1"/>
  <c r="AS643" i="1"/>
  <c r="AW643" i="1" s="1"/>
  <c r="BA643" i="1" s="1"/>
  <c r="AG90" i="3"/>
  <c r="AG66" i="3"/>
  <c r="AG85" i="3"/>
  <c r="AG67" i="3"/>
  <c r="AG88" i="3"/>
  <c r="I80" i="5"/>
  <c r="AB62" i="1"/>
  <c r="BA62" i="1"/>
  <c r="U36" i="2"/>
  <c r="L149" i="8"/>
  <c r="AV675" i="1"/>
  <c r="H250" i="8"/>
  <c r="H421" i="8"/>
  <c r="L93" i="8"/>
  <c r="H297" i="8"/>
  <c r="AV674" i="1"/>
  <c r="Q23" i="8"/>
  <c r="L17" i="8" s="1"/>
  <c r="H299" i="8"/>
  <c r="H301" i="8"/>
  <c r="T317" i="8"/>
  <c r="H140" i="8"/>
  <c r="N139" i="8" s="1"/>
  <c r="O139" i="8" s="1"/>
  <c r="R139" i="8" s="1"/>
  <c r="H143" i="8"/>
  <c r="N142" i="8" s="1"/>
  <c r="O142" i="8" s="1"/>
  <c r="R142" i="8" s="1"/>
  <c r="L250" i="8"/>
  <c r="N94" i="6"/>
  <c r="H263" i="8"/>
  <c r="H252" i="8"/>
  <c r="H207" i="8"/>
  <c r="BA171" i="1"/>
  <c r="BA176" i="1" s="1"/>
  <c r="H204" i="8"/>
  <c r="H205" i="8"/>
  <c r="H258" i="8"/>
  <c r="H256" i="8"/>
  <c r="H245" i="8"/>
  <c r="H267" i="8"/>
  <c r="H265" i="8"/>
  <c r="H261" i="8"/>
  <c r="H269" i="8"/>
  <c r="H254" i="8"/>
  <c r="H154" i="8"/>
  <c r="H149" i="8"/>
  <c r="H151" i="8"/>
  <c r="H156" i="8"/>
  <c r="H146" i="8"/>
  <c r="N145" i="8" s="1"/>
  <c r="O145" i="8" s="1"/>
  <c r="R145" i="8" s="1"/>
  <c r="H432" i="8"/>
  <c r="N431" i="8" s="1"/>
  <c r="X56" i="5"/>
  <c r="H122" i="8"/>
  <c r="N121" i="8" s="1"/>
  <c r="O121" i="8" s="1"/>
  <c r="R121" i="8" s="1"/>
  <c r="H134" i="8"/>
  <c r="N133" i="8" s="1"/>
  <c r="H137" i="8"/>
  <c r="N136" i="8" s="1"/>
  <c r="O136" i="8" s="1"/>
  <c r="R136" i="8" s="1"/>
  <c r="H113" i="8"/>
  <c r="H119" i="8"/>
  <c r="N118" i="8" s="1"/>
  <c r="O118" i="8" s="1"/>
  <c r="R118" i="8" s="1"/>
  <c r="H111" i="8"/>
  <c r="H116" i="8"/>
  <c r="N115" i="8" s="1"/>
  <c r="O115" i="8" s="1"/>
  <c r="R115" i="8" s="1"/>
  <c r="H108" i="8"/>
  <c r="N107" i="8" s="1"/>
  <c r="O107" i="8" s="1"/>
  <c r="R107" i="8" s="1"/>
  <c r="H105" i="8"/>
  <c r="N104" i="8" s="1"/>
  <c r="O104" i="8" s="1"/>
  <c r="R104" i="8" s="1"/>
  <c r="L247" i="8"/>
  <c r="H247" i="8" s="1"/>
  <c r="H40" i="8"/>
  <c r="N39" i="8" s="1"/>
  <c r="O39" i="8" s="1"/>
  <c r="R39" i="8" s="1"/>
  <c r="T38" i="8" s="1"/>
  <c r="H67" i="8"/>
  <c r="H68" i="8"/>
  <c r="T32" i="8"/>
  <c r="T33" i="8"/>
  <c r="H83" i="8"/>
  <c r="H169" i="8"/>
  <c r="H410" i="8"/>
  <c r="H322" i="8"/>
  <c r="H365" i="8"/>
  <c r="H161" i="8"/>
  <c r="H272" i="8"/>
  <c r="H312" i="8"/>
  <c r="H346" i="8"/>
  <c r="H131" i="8"/>
  <c r="H426" i="8"/>
  <c r="N425" i="8" s="1"/>
  <c r="O425" i="8" s="1"/>
  <c r="R425" i="8" s="1"/>
  <c r="H380" i="8"/>
  <c r="N379" i="8" s="1"/>
  <c r="O379" i="8" s="1"/>
  <c r="R379" i="8" s="1"/>
  <c r="H533" i="8"/>
  <c r="N526" i="8" s="1"/>
  <c r="O526" i="8" s="1"/>
  <c r="R526" i="8" s="1"/>
  <c r="H384" i="8"/>
  <c r="N383" i="8" s="1"/>
  <c r="O383" i="8" s="1"/>
  <c r="R383" i="8" s="1"/>
  <c r="H159" i="8"/>
  <c r="H127" i="8"/>
  <c r="N168" i="6"/>
  <c r="H354" i="8"/>
  <c r="I83" i="5"/>
  <c r="H536" i="8"/>
  <c r="N535" i="8" s="1"/>
  <c r="O535" i="8" s="1"/>
  <c r="R535" i="8" s="1"/>
  <c r="H412" i="8"/>
  <c r="H552" i="8"/>
  <c r="H398" i="8"/>
  <c r="H330" i="8"/>
  <c r="H214" i="8"/>
  <c r="H332" i="8"/>
  <c r="H442" i="8"/>
  <c r="H499" i="8"/>
  <c r="N492" i="8" s="1"/>
  <c r="O492" i="8" s="1"/>
  <c r="R492" i="8" s="1"/>
  <c r="H20" i="8"/>
  <c r="H28" i="8"/>
  <c r="H80" i="8"/>
  <c r="H184" i="8"/>
  <c r="H125" i="8"/>
  <c r="H396" i="8"/>
  <c r="H438" i="8"/>
  <c r="H407" i="8"/>
  <c r="H370" i="8"/>
  <c r="H197" i="8"/>
  <c r="H13" i="8"/>
  <c r="H554" i="8"/>
  <c r="H375" i="8"/>
  <c r="H280" i="8"/>
  <c r="H166" i="8"/>
  <c r="H164" i="8"/>
  <c r="H129" i="8"/>
  <c r="H382" i="8"/>
  <c r="N381" i="8" s="1"/>
  <c r="O381" i="8" s="1"/>
  <c r="R381" i="8" s="1"/>
  <c r="H423" i="8"/>
  <c r="H429" i="8"/>
  <c r="N428" i="8" s="1"/>
  <c r="O428" i="8" s="1"/>
  <c r="R428" i="8" s="1"/>
  <c r="H54" i="8"/>
  <c r="H524" i="8"/>
  <c r="N519" i="8" s="1"/>
  <c r="O519" i="8" s="1"/>
  <c r="R519" i="8" s="1"/>
  <c r="H550" i="8"/>
  <c r="H363" i="8"/>
  <c r="H314" i="8"/>
  <c r="H352" i="8"/>
  <c r="H282" i="8"/>
  <c r="H174" i="8"/>
  <c r="H508" i="8"/>
  <c r="H488" i="8"/>
  <c r="H284" i="8"/>
  <c r="H453" i="8"/>
  <c r="H102" i="8"/>
  <c r="N101" i="8" s="1"/>
  <c r="H372" i="8"/>
  <c r="H95" i="8"/>
  <c r="H344" i="8"/>
  <c r="H30" i="8"/>
  <c r="AB25" i="1"/>
  <c r="AB52" i="1"/>
  <c r="AF52" i="1" s="1"/>
  <c r="AV52" i="1" s="1"/>
  <c r="AS537" i="1"/>
  <c r="AJ537" i="1" s="1"/>
  <c r="BA51" i="1"/>
  <c r="BA57" i="1" s="1"/>
  <c r="H64" i="8"/>
  <c r="N63" i="8" s="1"/>
  <c r="O63" i="8" s="1"/>
  <c r="R63" i="8" s="1"/>
  <c r="H466" i="8"/>
  <c r="H478" i="8"/>
  <c r="AW304" i="1"/>
  <c r="BA279" i="1" s="1"/>
  <c r="H218" i="8"/>
  <c r="H237" i="8"/>
  <c r="H401" i="8"/>
  <c r="H81" i="8"/>
  <c r="H455" i="8"/>
  <c r="AV148" i="1"/>
  <c r="O134" i="1"/>
  <c r="V133" i="1" s="1"/>
  <c r="T129" i="1" s="1"/>
  <c r="AJ128" i="1" s="1"/>
  <c r="AN128" i="1" s="1"/>
  <c r="AV128" i="1" s="1"/>
  <c r="BA19" i="1"/>
  <c r="BA34" i="1" s="1"/>
  <c r="AW273" i="1"/>
  <c r="BA250" i="1" s="1"/>
  <c r="AS370" i="1"/>
  <c r="R112" i="1"/>
  <c r="L59" i="8"/>
  <c r="H59" i="8" s="1"/>
  <c r="H235" i="8"/>
  <c r="H242" i="8"/>
  <c r="I59" i="5"/>
  <c r="X59" i="5"/>
  <c r="H440" i="8"/>
  <c r="H510" i="8"/>
  <c r="H490" i="8"/>
  <c r="H543" i="8"/>
  <c r="N542" i="8" s="1"/>
  <c r="O542" i="8" s="1"/>
  <c r="R542" i="8" s="1"/>
  <c r="H56" i="8"/>
  <c r="H377" i="8"/>
  <c r="H387" i="8"/>
  <c r="N386" i="8" s="1"/>
  <c r="O386" i="8" s="1"/>
  <c r="R386" i="8" s="1"/>
  <c r="H517" i="8"/>
  <c r="N512" i="8" s="1"/>
  <c r="O512" i="8" s="1"/>
  <c r="R512" i="8" s="1"/>
  <c r="O434" i="8"/>
  <c r="R434" i="8" s="1"/>
  <c r="T433" i="8" s="1"/>
  <c r="H61" i="8"/>
  <c r="H232" i="8"/>
  <c r="N231" i="8" s="1"/>
  <c r="O231" i="8" s="1"/>
  <c r="R231" i="8" s="1"/>
  <c r="H360" i="8"/>
  <c r="N359" i="8" s="1"/>
  <c r="O359" i="8" s="1"/>
  <c r="R359" i="8" s="1"/>
  <c r="BA133" i="1"/>
  <c r="BA134" i="1" s="1"/>
  <c r="H191" i="8"/>
  <c r="N190" i="8" s="1"/>
  <c r="O190" i="8" s="1"/>
  <c r="R190" i="8" s="1"/>
  <c r="O141" i="1"/>
  <c r="V142" i="1" s="1"/>
  <c r="T138" i="1" s="1"/>
  <c r="AJ137" i="1" s="1"/>
  <c r="AN137" i="1" s="1"/>
  <c r="AV137" i="1" s="1"/>
  <c r="X77" i="5"/>
  <c r="I77" i="5"/>
  <c r="H229" i="8"/>
  <c r="BA25" i="1"/>
  <c r="H216" i="8"/>
  <c r="H227" i="8"/>
  <c r="AS659" i="1"/>
  <c r="AJ659" i="1" s="1"/>
  <c r="AW370" i="1"/>
  <c r="BA310" i="1" s="1"/>
  <c r="BA192" i="1"/>
  <c r="AW215" i="1"/>
  <c r="BA191" i="1" s="1"/>
  <c r="H418" i="8"/>
  <c r="N417" i="8" s="1"/>
  <c r="O417" i="8" s="1"/>
  <c r="R417" i="8" s="1"/>
  <c r="H172" i="8"/>
  <c r="H171" i="8"/>
  <c r="H403" i="8"/>
  <c r="H278" i="8"/>
  <c r="H277" i="8"/>
  <c r="H195" i="8"/>
  <c r="H194" i="8"/>
  <c r="H92" i="8"/>
  <c r="H93" i="8"/>
  <c r="E20" i="5"/>
  <c r="G20" i="5" s="1"/>
  <c r="K55" i="7"/>
  <c r="E74" i="5"/>
  <c r="G74" i="5" s="1"/>
  <c r="E50" i="5"/>
  <c r="G50" i="5" s="1"/>
  <c r="E71" i="5"/>
  <c r="G71" i="5" s="1"/>
  <c r="I86" i="5"/>
  <c r="X86" i="5"/>
  <c r="L23" i="7"/>
  <c r="AG68" i="3"/>
  <c r="H240" i="8"/>
  <c r="H464" i="8"/>
  <c r="H476" i="8"/>
  <c r="H70" i="8"/>
  <c r="H367" i="8"/>
  <c r="AJ244" i="1"/>
  <c r="X65" i="5"/>
  <c r="I65" i="5"/>
  <c r="H328" i="8"/>
  <c r="H327" i="8"/>
  <c r="H182" i="8"/>
  <c r="H181" i="8"/>
  <c r="X53" i="5"/>
  <c r="I53" i="5"/>
  <c r="X89" i="5"/>
  <c r="I89" i="5"/>
  <c r="BA222" i="1"/>
  <c r="AW244" i="1"/>
  <c r="BA221" i="1" s="1"/>
  <c r="H405" i="8"/>
  <c r="H15" i="8"/>
  <c r="E35" i="5"/>
  <c r="G35" i="5" s="1"/>
  <c r="I62" i="5"/>
  <c r="X62" i="5"/>
  <c r="E68" i="5"/>
  <c r="G68" i="5" s="1"/>
  <c r="AB20" i="1"/>
  <c r="AF20" i="1" s="1"/>
  <c r="AV20" i="1" s="1"/>
  <c r="BA20" i="1"/>
  <c r="AG87" i="3"/>
  <c r="AG86" i="3"/>
  <c r="AS460" i="1"/>
  <c r="L112" i="1" s="1"/>
  <c r="AW407" i="1"/>
  <c r="T5" i="9"/>
  <c r="W5" i="9" s="1"/>
  <c r="W130" i="9" s="1"/>
  <c r="R29" i="1"/>
  <c r="AB29" i="1" s="1"/>
  <c r="I12" i="6"/>
  <c r="C58" i="7" s="1"/>
  <c r="K59" i="7"/>
  <c r="I47" i="6"/>
  <c r="K23" i="7"/>
  <c r="I167" i="6"/>
  <c r="K69" i="7"/>
  <c r="L51" i="7"/>
  <c r="I104" i="6"/>
  <c r="I108" i="6" s="1"/>
  <c r="H85" i="8"/>
  <c r="BA467" i="1"/>
  <c r="AW537" i="1"/>
  <c r="BA466" i="1" s="1"/>
  <c r="H27" i="8"/>
  <c r="T178" i="8"/>
  <c r="T177" i="8"/>
  <c r="T176" i="8"/>
  <c r="T290" i="8"/>
  <c r="T288" i="8"/>
  <c r="T293" i="8"/>
  <c r="T341" i="8"/>
  <c r="T338" i="8"/>
  <c r="T336" i="8"/>
  <c r="T319" i="8"/>
  <c r="T318" i="8"/>
  <c r="T316" i="8"/>
  <c r="T188" i="8"/>
  <c r="T187" i="8"/>
  <c r="T186" i="8"/>
  <c r="T24" i="8"/>
  <c r="T23" i="8"/>
  <c r="T22" i="8"/>
  <c r="H286" i="8"/>
  <c r="H334" i="8"/>
  <c r="BA73" i="1"/>
  <c r="BA72" i="1"/>
  <c r="BA71" i="1"/>
  <c r="BA70" i="1"/>
  <c r="N11" i="6"/>
  <c r="J11" i="6"/>
  <c r="AV179" i="1"/>
  <c r="BA179" i="1" s="1"/>
  <c r="BA158" i="1" s="1"/>
  <c r="BA159" i="1"/>
  <c r="BA144" i="1"/>
  <c r="AV145" i="1"/>
  <c r="AB26" i="1"/>
  <c r="BA26" i="1"/>
  <c r="J159" i="6"/>
  <c r="N159" i="6"/>
  <c r="BA135" i="1"/>
  <c r="BA132" i="1"/>
  <c r="BA131" i="1"/>
  <c r="BA130" i="1"/>
  <c r="BA129" i="1"/>
  <c r="BA128" i="1"/>
  <c r="BA143" i="1"/>
  <c r="BA142" i="1"/>
  <c r="BA141" i="1"/>
  <c r="BA140" i="1"/>
  <c r="BA139" i="1"/>
  <c r="BA138" i="1"/>
  <c r="BA137" i="1"/>
  <c r="BA153" i="1"/>
  <c r="BA152" i="1"/>
  <c r="BA151" i="1"/>
  <c r="BA150" i="1"/>
  <c r="BA149" i="1"/>
  <c r="BA148" i="1"/>
  <c r="AG141" i="3"/>
  <c r="AG142" i="3"/>
  <c r="AG143" i="3"/>
  <c r="AG160" i="3"/>
  <c r="AG161" i="3"/>
  <c r="AG162" i="3"/>
  <c r="BA177" i="1" l="1"/>
  <c r="AF59" i="1"/>
  <c r="AR59" i="1" s="1"/>
  <c r="AV59" i="1" s="1"/>
  <c r="AB5" i="4"/>
  <c r="AB29" i="4"/>
  <c r="AB7" i="4"/>
  <c r="AB28" i="4"/>
  <c r="AB6" i="4"/>
  <c r="AB27" i="4"/>
  <c r="AB30" i="4"/>
  <c r="AB26" i="4"/>
  <c r="AB33" i="4"/>
  <c r="AB58" i="4"/>
  <c r="AB54" i="4"/>
  <c r="AB57" i="4"/>
  <c r="AB56" i="4"/>
  <c r="AB34" i="4"/>
  <c r="AB55" i="4"/>
  <c r="AB35" i="4"/>
  <c r="AG186" i="3"/>
  <c r="AG165" i="3"/>
  <c r="AG187" i="3"/>
  <c r="AG166" i="3"/>
  <c r="AG185" i="3"/>
  <c r="AJ370" i="1"/>
  <c r="AG184" i="3"/>
  <c r="AG183" i="3"/>
  <c r="AW659" i="1"/>
  <c r="BA603" i="1" s="1"/>
  <c r="BA178" i="1"/>
  <c r="BA175" i="1"/>
  <c r="H17" i="8"/>
  <c r="L18" i="8"/>
  <c r="H18" i="8" s="1"/>
  <c r="N12" i="8" s="1"/>
  <c r="O12" i="8" s="1"/>
  <c r="R12" i="8" s="1"/>
  <c r="K60" i="7"/>
  <c r="T40" i="8"/>
  <c r="T39" i="8"/>
  <c r="J142" i="6"/>
  <c r="F142" i="6" s="1"/>
  <c r="N249" i="8"/>
  <c r="O249" i="8" s="1"/>
  <c r="R249" i="8" s="1"/>
  <c r="N203" i="8"/>
  <c r="O203" i="8" s="1"/>
  <c r="R203" i="8" s="1"/>
  <c r="N260" i="8"/>
  <c r="O260" i="8" s="1"/>
  <c r="R260" i="8" s="1"/>
  <c r="N153" i="8"/>
  <c r="O153" i="8" s="1"/>
  <c r="R153" i="8" s="1"/>
  <c r="N148" i="8"/>
  <c r="O148" i="8" s="1"/>
  <c r="R148" i="8" s="1"/>
  <c r="N374" i="8"/>
  <c r="O374" i="8" s="1"/>
  <c r="R374" i="8" s="1"/>
  <c r="N110" i="8"/>
  <c r="O110" i="8" s="1"/>
  <c r="R110" i="8" s="1"/>
  <c r="N409" i="8"/>
  <c r="O409" i="8" s="1"/>
  <c r="R409" i="8" s="1"/>
  <c r="N244" i="8"/>
  <c r="O244" i="8" s="1"/>
  <c r="R244" i="8" s="1"/>
  <c r="O76" i="8"/>
  <c r="R76" i="8" s="1"/>
  <c r="N457" i="8"/>
  <c r="O457" i="8" s="1"/>
  <c r="R457" i="8" s="1"/>
  <c r="N343" i="8"/>
  <c r="O343" i="8" s="1"/>
  <c r="N158" i="8"/>
  <c r="O158" i="8" s="1"/>
  <c r="R158" i="8" s="1"/>
  <c r="N168" i="8"/>
  <c r="O168" i="8" s="1"/>
  <c r="R168" i="8" s="1"/>
  <c r="O133" i="8"/>
  <c r="R133" i="8" s="1"/>
  <c r="N395" i="8"/>
  <c r="O395" i="8" s="1"/>
  <c r="R395" i="8" s="1"/>
  <c r="N26" i="8"/>
  <c r="O26" i="8" s="1"/>
  <c r="R26" i="8" s="1"/>
  <c r="O101" i="8"/>
  <c r="R101" i="8" s="1"/>
  <c r="N58" i="8"/>
  <c r="O58" i="8" s="1"/>
  <c r="R58" i="8" s="1"/>
  <c r="N547" i="8"/>
  <c r="O547" i="8" s="1"/>
  <c r="R547" i="8" s="1"/>
  <c r="O431" i="8"/>
  <c r="I137" i="6"/>
  <c r="C60" i="7" s="1"/>
  <c r="N239" i="8"/>
  <c r="O239" i="8" s="1"/>
  <c r="R239" i="8" s="1"/>
  <c r="O50" i="8"/>
  <c r="R50" i="8" s="1"/>
  <c r="N79" i="8"/>
  <c r="O79" i="8" s="1"/>
  <c r="R79" i="8" s="1"/>
  <c r="N437" i="8"/>
  <c r="O437" i="8" s="1"/>
  <c r="R437" i="8" s="1"/>
  <c r="N180" i="8"/>
  <c r="O180" i="8" s="1"/>
  <c r="R180" i="8" s="1"/>
  <c r="N66" i="8"/>
  <c r="O66" i="8" s="1"/>
  <c r="N369" i="8"/>
  <c r="O369" i="8" s="1"/>
  <c r="R369" i="8" s="1"/>
  <c r="N501" i="8"/>
  <c r="O501" i="8" s="1"/>
  <c r="R501" i="8" s="1"/>
  <c r="N91" i="8"/>
  <c r="O91" i="8" s="1"/>
  <c r="R91" i="8" s="1"/>
  <c r="N124" i="8"/>
  <c r="O124" i="8" s="1"/>
  <c r="R124" i="8" s="1"/>
  <c r="N213" i="8"/>
  <c r="O213" i="8" s="1"/>
  <c r="R213" i="8" s="1"/>
  <c r="N446" i="8"/>
  <c r="O446" i="8" s="1"/>
  <c r="R446" i="8" s="1"/>
  <c r="N469" i="8"/>
  <c r="O469" i="8" s="1"/>
  <c r="R469" i="8" s="1"/>
  <c r="O36" i="8"/>
  <c r="R36" i="8" s="1"/>
  <c r="N481" i="8"/>
  <c r="O481" i="8" s="1"/>
  <c r="R481" i="8" s="1"/>
  <c r="N362" i="8"/>
  <c r="O362" i="8" s="1"/>
  <c r="R362" i="8" s="1"/>
  <c r="N193" i="8"/>
  <c r="O193" i="8" s="1"/>
  <c r="R193" i="8" s="1"/>
  <c r="N163" i="8"/>
  <c r="O163" i="8" s="1"/>
  <c r="R163" i="8" s="1"/>
  <c r="N53" i="8"/>
  <c r="O53" i="8" s="1"/>
  <c r="R53" i="8" s="1"/>
  <c r="BA30" i="1"/>
  <c r="BA54" i="1"/>
  <c r="BA56" i="1"/>
  <c r="BA55" i="1"/>
  <c r="N234" i="8"/>
  <c r="O234" i="8" s="1"/>
  <c r="R234" i="8" s="1"/>
  <c r="BA50" i="1"/>
  <c r="BA31" i="1"/>
  <c r="BA35" i="1"/>
  <c r="BA28" i="1"/>
  <c r="BA32" i="1"/>
  <c r="BA36" i="1"/>
  <c r="BA29" i="1"/>
  <c r="BA33" i="1"/>
  <c r="AV154" i="1"/>
  <c r="BA154" i="1" s="1"/>
  <c r="BA126" i="1" s="1"/>
  <c r="H112" i="1"/>
  <c r="AT112" i="1" s="1"/>
  <c r="N400" i="8"/>
  <c r="O400" i="8" s="1"/>
  <c r="AB28" i="1"/>
  <c r="AF25" i="1" s="1"/>
  <c r="I35" i="5"/>
  <c r="X35" i="5"/>
  <c r="I71" i="5"/>
  <c r="X71" i="5"/>
  <c r="I74" i="5"/>
  <c r="X74" i="5"/>
  <c r="I20" i="5"/>
  <c r="X20" i="5"/>
  <c r="N226" i="8"/>
  <c r="O226" i="8" s="1"/>
  <c r="R226" i="8" s="1"/>
  <c r="X68" i="5"/>
  <c r="I68" i="5"/>
  <c r="I50" i="5"/>
  <c r="X50" i="5"/>
  <c r="M55" i="7"/>
  <c r="M30" i="7"/>
  <c r="M28" i="7"/>
  <c r="M29" i="7"/>
  <c r="M31" i="7"/>
  <c r="BA407" i="1"/>
  <c r="AW460" i="1"/>
  <c r="BA376" i="1" s="1"/>
  <c r="AJ460" i="1"/>
  <c r="C57" i="7"/>
  <c r="A57" i="7" s="1"/>
  <c r="N12" i="6"/>
  <c r="J12" i="6"/>
  <c r="M23" i="7"/>
  <c r="K27" i="7"/>
  <c r="M27" i="7" s="1"/>
  <c r="K58" i="7"/>
  <c r="N47" i="6"/>
  <c r="J47" i="6"/>
  <c r="C75" i="7"/>
  <c r="M62" i="7"/>
  <c r="M69" i="7"/>
  <c r="M63" i="7"/>
  <c r="J167" i="6"/>
  <c r="J173" i="6" s="1"/>
  <c r="N167" i="6"/>
  <c r="C76" i="7"/>
  <c r="J108" i="6"/>
  <c r="N108" i="6"/>
  <c r="BA146" i="1"/>
  <c r="BA145" i="1"/>
  <c r="BA170" i="1"/>
  <c r="BA169" i="1"/>
  <c r="BA168" i="1"/>
  <c r="BA167" i="1"/>
  <c r="L91" i="5" l="1"/>
  <c r="K318" i="8" s="1"/>
  <c r="P308" i="8" s="1"/>
  <c r="AS549" i="1"/>
  <c r="U91" i="5"/>
  <c r="T35" i="8"/>
  <c r="T36" i="8" s="1"/>
  <c r="N150" i="6"/>
  <c r="N151" i="6"/>
  <c r="N91" i="5"/>
  <c r="P400" i="8" s="1"/>
  <c r="R400" i="8" s="1"/>
  <c r="K91" i="5"/>
  <c r="O91" i="5"/>
  <c r="P431" i="8" s="1"/>
  <c r="T430" i="8" s="1"/>
  <c r="J91" i="5"/>
  <c r="I73" i="8" s="1"/>
  <c r="K57" i="7"/>
  <c r="C59" i="7" s="1"/>
  <c r="A59" i="7" s="1"/>
  <c r="J143" i="6"/>
  <c r="F143" i="6" s="1"/>
  <c r="J148" i="6" s="1"/>
  <c r="M141" i="6" s="1"/>
  <c r="N140" i="6" s="1"/>
  <c r="M5" i="7"/>
  <c r="T76" i="8"/>
  <c r="T77" i="8"/>
  <c r="T50" i="8"/>
  <c r="T51" i="8"/>
  <c r="AV25" i="1"/>
  <c r="AV79" i="1" s="1"/>
  <c r="BA79" i="1" s="1"/>
  <c r="BA18" i="1" s="1"/>
  <c r="M6" i="7"/>
  <c r="M4" i="7"/>
  <c r="I91" i="5"/>
  <c r="N173" i="6"/>
  <c r="N153" i="6"/>
  <c r="N152" i="6"/>
  <c r="AV666" i="1"/>
  <c r="M666" i="1" s="1"/>
  <c r="N137" i="6"/>
  <c r="M71" i="7"/>
  <c r="M70" i="7"/>
  <c r="M74" i="7"/>
  <c r="M75" i="7"/>
  <c r="M76" i="7"/>
  <c r="A75" i="7"/>
  <c r="N420" i="8"/>
  <c r="O420" i="8" s="1"/>
  <c r="R420" i="8" s="1"/>
  <c r="T37" i="8" l="1"/>
  <c r="M318" i="8"/>
  <c r="L309" i="8" s="1"/>
  <c r="AS597" i="1"/>
  <c r="AJ597" i="1" s="1"/>
  <c r="AW549" i="1"/>
  <c r="T435" i="8"/>
  <c r="T434" i="8"/>
  <c r="N141" i="6"/>
  <c r="N139" i="6" s="1"/>
  <c r="N138" i="6"/>
  <c r="J73" i="8"/>
  <c r="L67" i="8" s="1"/>
  <c r="L68" i="8" s="1"/>
  <c r="P66" i="8"/>
  <c r="R66" i="8" s="1"/>
  <c r="R431" i="8"/>
  <c r="T431" i="8"/>
  <c r="T432" i="8"/>
  <c r="K305" i="8"/>
  <c r="I292" i="8"/>
  <c r="N292" i="8" s="1"/>
  <c r="K277" i="8" s="1"/>
  <c r="I356" i="8"/>
  <c r="P343" i="8"/>
  <c r="R343" i="8" s="1"/>
  <c r="K290" i="8"/>
  <c r="I340" i="8"/>
  <c r="N340" i="8" s="1"/>
  <c r="K327" i="8" s="1"/>
  <c r="K338" i="8"/>
  <c r="J136" i="6"/>
  <c r="AV664" i="1" s="1"/>
  <c r="M664" i="1" s="1"/>
  <c r="N143" i="6"/>
  <c r="N142" i="6"/>
  <c r="N149" i="6"/>
  <c r="N148" i="6"/>
  <c r="N146" i="6"/>
  <c r="N145" i="6"/>
  <c r="N147" i="6"/>
  <c r="N144" i="6"/>
  <c r="J47" i="8"/>
  <c r="L43" i="8" s="1"/>
  <c r="T420" i="8"/>
  <c r="T421" i="8"/>
  <c r="T422" i="8"/>
  <c r="T423" i="8"/>
  <c r="L310" i="8" l="1"/>
  <c r="H310" i="8" s="1"/>
  <c r="N308" i="8" s="1"/>
  <c r="O308" i="8" s="1"/>
  <c r="R308" i="8" s="1"/>
  <c r="H309" i="8"/>
  <c r="BA549" i="1"/>
  <c r="AW597" i="1"/>
  <c r="BA543" i="1" s="1"/>
  <c r="P348" i="8"/>
  <c r="N356" i="8"/>
  <c r="K349" i="8" s="1"/>
  <c r="P321" i="8"/>
  <c r="M338" i="8"/>
  <c r="L324" i="8" s="1"/>
  <c r="P271" i="8"/>
  <c r="M290" i="8"/>
  <c r="L274" i="8" s="1"/>
  <c r="P295" i="8"/>
  <c r="M305" i="8"/>
  <c r="L296" i="8" s="1"/>
  <c r="L44" i="8"/>
  <c r="H44" i="8" s="1"/>
  <c r="N42" i="8" s="1"/>
  <c r="O42" i="8" s="1"/>
  <c r="R42" i="8" s="1"/>
  <c r="H43" i="8"/>
  <c r="K350" i="8" l="1"/>
  <c r="H350" i="8" s="1"/>
  <c r="N348" i="8" s="1"/>
  <c r="O348" i="8" s="1"/>
  <c r="R348" i="8" s="1"/>
  <c r="H349" i="8"/>
  <c r="L325" i="8"/>
  <c r="H325" i="8" s="1"/>
  <c r="N321" i="8" s="1"/>
  <c r="O321" i="8" s="1"/>
  <c r="R321" i="8" s="1"/>
  <c r="H324" i="8"/>
  <c r="L297" i="8"/>
  <c r="N295" i="8" s="1"/>
  <c r="O295" i="8" s="1"/>
  <c r="R295" i="8" s="1"/>
  <c r="H296" i="8"/>
  <c r="L275" i="8"/>
  <c r="H275" i="8" s="1"/>
  <c r="N271" i="8" s="1"/>
  <c r="O271" i="8" s="1"/>
  <c r="R271" i="8" s="1"/>
  <c r="H274" i="8"/>
  <c r="Q555" i="8" l="1"/>
  <c r="AV668" i="1" s="1"/>
  <c r="M668" i="1" l="1"/>
  <c r="AS683" i="1"/>
  <c r="AS684" i="1" s="1"/>
  <c r="BA663" i="1"/>
  <c r="D1" i="1" s="1"/>
  <c r="AS685" i="1" l="1"/>
  <c r="AS686" i="1" l="1"/>
  <c r="AL691" i="1"/>
  <c r="AL693" i="1" s="1"/>
  <c r="AL695" i="1" s="1"/>
  <c r="AV691" i="1"/>
  <c r="AQ691" i="1" l="1"/>
  <c r="AQ693" i="1" s="1"/>
  <c r="AQ695" i="1" s="1"/>
  <c r="AV695" i="1" s="1"/>
  <c r="AV693" i="1" l="1"/>
  <c r="L230" i="10"/>
  <c r="L231" i="10"/>
</calcChain>
</file>

<file path=xl/comments1.xml><?xml version="1.0" encoding="utf-8"?>
<comments xmlns="http://schemas.openxmlformats.org/spreadsheetml/2006/main">
  <authors>
    <author>鳥取県庁</author>
    <author>tottori</author>
    <author>鳥取県</author>
  </authors>
  <commentList>
    <comment ref="R7" authorId="0" shapeId="0">
      <text>
        <r>
          <rPr>
            <sz val="9"/>
            <color indexed="81"/>
            <rFont val="ＭＳ Ｐゴシック"/>
            <family val="3"/>
            <charset val="128"/>
          </rPr>
          <t>承継取得の場合、「建築年月日」を選択してください。</t>
        </r>
      </text>
    </comment>
    <comment ref="C15" authorId="0" shapeId="0">
      <text>
        <r>
          <rPr>
            <b/>
            <sz val="9"/>
            <color indexed="10"/>
            <rFont val="ＭＳ Ｐゴシック"/>
            <family val="3"/>
            <charset val="128"/>
          </rPr>
          <t>◆評価システムの印刷方法について◆</t>
        </r>
        <r>
          <rPr>
            <sz val="9"/>
            <color indexed="81"/>
            <rFont val="ＭＳ Ｐゴシック"/>
            <family val="3"/>
            <charset val="128"/>
          </rPr>
          <t xml:space="preserve">
　全てのシートは、右端の列にあるフィルタで「TRUE」を選択後に印刷してください。
　ただし、「調書シート」のみ以下の手順で印刷を行うと、バランスよく出力できます。
　［手順１］　「セルＤ２」にある数字を覚える。
　［手順２］　表の一番左上の四角（「セルＡ１の左上」）をクリックし表全体を範囲指定する。
　［手順３］　どこでもいいので「行と行の間の線」をクリックし、行の高さを手順１の数字(ﾋﾟｸｾﾙ)に合わせる。
　［手順４］　「ＢＡ列」のフィルタで「TRUE」を選択しフィルタリングする。
　［手順５］　印刷。</t>
        </r>
      </text>
    </comment>
    <comment ref="Q20" authorId="1" shapeId="0">
      <text>
        <r>
          <rPr>
            <sz val="9"/>
            <color indexed="81"/>
            <rFont val="ＭＳ Ｐゴシック"/>
            <family val="3"/>
            <charset val="128"/>
          </rPr>
          <t xml:space="preserve">ﾃﾞｯｷﾌﾟﾚｰﾄ、ﾌﾗｯﾄﾃﾞｯｷの評点数は、屋根・床構造の㎡当たり評点数÷㎡あたり質量（H30基準改正通知別紙３Q&amp;Aの非木造問８より）
</t>
        </r>
      </text>
    </comment>
    <comment ref="Q25" authorId="1" shapeId="0">
      <text>
        <r>
          <rPr>
            <sz val="9"/>
            <color indexed="81"/>
            <rFont val="ＭＳ Ｐゴシック"/>
            <family val="3"/>
            <charset val="128"/>
          </rPr>
          <t>「塗装なし」は、SRC造での使用を想定。
S造は、鉄骨むき出しでは錆びるので通常塗装又はめっきがされている。</t>
        </r>
      </text>
    </comment>
    <comment ref="Q26" authorId="0" shapeId="0">
      <text>
        <r>
          <rPr>
            <sz val="9"/>
            <color indexed="81"/>
            <rFont val="ＭＳ Ｐゴシック"/>
            <family val="3"/>
            <charset val="128"/>
          </rPr>
          <t>※ S造　標準</t>
        </r>
      </text>
    </comment>
    <comment ref="I31" authorId="0" shapeId="0">
      <text>
        <r>
          <rPr>
            <sz val="9"/>
            <color indexed="81"/>
            <rFont val="ＭＳ Ｐゴシック"/>
            <family val="3"/>
            <charset val="128"/>
          </rPr>
          <t>外部＋内部仕上のうち、「胴縁がある仕上の面積」を入力してください。</t>
        </r>
      </text>
    </comment>
    <comment ref="P31" authorId="0" shapeId="0">
      <text>
        <r>
          <rPr>
            <sz val="9"/>
            <color indexed="81"/>
            <rFont val="ＭＳ Ｐゴシック"/>
            <family val="3"/>
            <charset val="128"/>
          </rPr>
          <t>外部＋内部仕上の標準量</t>
        </r>
      </text>
    </comment>
    <comment ref="AO31" authorId="0" shapeId="0">
      <text>
        <r>
          <rPr>
            <sz val="9"/>
            <color indexed="81"/>
            <rFont val="ＭＳ Ｐゴシック"/>
            <family val="3"/>
            <charset val="128"/>
          </rPr>
          <t>Ｓ 標準</t>
        </r>
      </text>
    </comment>
    <comment ref="I32" authorId="0" shapeId="0">
      <text>
        <r>
          <rPr>
            <sz val="9"/>
            <color indexed="81"/>
            <rFont val="ＭＳ Ｐゴシック"/>
            <family val="3"/>
            <charset val="128"/>
          </rPr>
          <t>屋根仕上のうち、「母屋がある仕上の面積」を入力してください。</t>
        </r>
      </text>
    </comment>
    <comment ref="P32" authorId="0" shapeId="0">
      <text>
        <r>
          <rPr>
            <sz val="9"/>
            <color indexed="81"/>
            <rFont val="ＭＳ Ｐゴシック"/>
            <family val="3"/>
            <charset val="128"/>
          </rPr>
          <t>屋根仕上(勾配屋根）の標準量</t>
        </r>
      </text>
    </comment>
    <comment ref="AO32" authorId="0" shapeId="0">
      <text>
        <r>
          <rPr>
            <sz val="9"/>
            <color indexed="81"/>
            <rFont val="ＭＳ Ｐゴシック"/>
            <family val="3"/>
            <charset val="128"/>
          </rPr>
          <t>プレハブ倉庫やユニットハウスのような簡易なもの、四角四面で内壁の施工がないもの等</t>
        </r>
      </text>
    </comment>
    <comment ref="D52" authorId="0" shapeId="0">
      <text>
        <r>
          <rPr>
            <sz val="9"/>
            <color indexed="81"/>
            <rFont val="ＭＳ Ｐゴシック"/>
            <family val="3"/>
            <charset val="128"/>
          </rPr>
          <t>　解説により、軽量鉄骨は普通厚さ1.2～3.2mm程度のものが使用され、
　一般的に4mmが限度とされている。よって4mmを超える場合は重量鉄骨で評価する。
　（経年減点補正率基準表も、鉄骨の厚さ4mmを境に区分が分かれている）</t>
        </r>
      </text>
    </comment>
    <comment ref="Q52" authorId="0" shapeId="0">
      <text>
        <r>
          <rPr>
            <sz val="9"/>
            <color indexed="81"/>
            <rFont val="ＭＳ Ｐゴシック"/>
            <family val="3"/>
            <charset val="128"/>
          </rPr>
          <t>※ 標準</t>
        </r>
      </text>
    </comment>
    <comment ref="AO55" authorId="0" shapeId="0">
      <text>
        <r>
          <rPr>
            <sz val="9"/>
            <color indexed="81"/>
            <rFont val="ＭＳ Ｐゴシック"/>
            <family val="3"/>
            <charset val="128"/>
          </rPr>
          <t>Ｓ 標準</t>
        </r>
      </text>
    </comment>
    <comment ref="AO56" authorId="0" shapeId="0">
      <text>
        <r>
          <rPr>
            <sz val="9"/>
            <color indexed="81"/>
            <rFont val="ＭＳ Ｐゴシック"/>
            <family val="3"/>
            <charset val="128"/>
          </rPr>
          <t>プレハブ倉庫やユニットハウスのような簡易なもの、四角四面で内壁の施工がないもの等</t>
        </r>
      </text>
    </comment>
    <comment ref="Q66" authorId="0" shapeId="0">
      <text>
        <r>
          <rPr>
            <sz val="8"/>
            <color indexed="81"/>
            <rFont val="ＭＳ Ｐゴシック"/>
            <family val="3"/>
            <charset val="128"/>
          </rPr>
          <t>H27新規項目・H24までのデッキ上コンクリートに相当</t>
        </r>
      </text>
    </comment>
    <comment ref="Q69" authorId="1" shapeId="0">
      <text>
        <r>
          <rPr>
            <sz val="8"/>
            <color indexed="81"/>
            <rFont val="ＭＳ Ｐゴシック"/>
            <family val="3"/>
            <charset val="128"/>
          </rPr>
          <t>H27新規項目
・φ6mm想定</t>
        </r>
      </text>
    </comment>
    <comment ref="AK71" authorId="0" shapeId="0">
      <text>
        <r>
          <rPr>
            <sz val="9"/>
            <color indexed="81"/>
            <rFont val="ＭＳ Ｐゴシック"/>
            <family val="3"/>
            <charset val="128"/>
          </rPr>
          <t>ＣＢ 標準</t>
        </r>
      </text>
    </comment>
    <comment ref="AK72" authorId="0" shapeId="0">
      <text>
        <r>
          <rPr>
            <sz val="9"/>
            <color indexed="81"/>
            <rFont val="ＭＳ Ｐゴシック"/>
            <family val="3"/>
            <charset val="128"/>
          </rPr>
          <t>ＲＣ 標準</t>
        </r>
      </text>
    </comment>
    <comment ref="AA74" authorId="1" shapeId="0">
      <text>
        <r>
          <rPr>
            <sz val="9"/>
            <color indexed="81"/>
            <rFont val="ＭＳ Ｐゴシック"/>
            <family val="3"/>
            <charset val="128"/>
          </rPr>
          <t>CB壁体の見付面積</t>
        </r>
      </text>
    </comment>
    <comment ref="Q75" authorId="1" shapeId="0">
      <text>
        <r>
          <rPr>
            <sz val="8"/>
            <color indexed="81"/>
            <rFont val="ＭＳ Ｐゴシック"/>
            <family val="3"/>
            <charset val="128"/>
          </rPr>
          <t>CB積の上に、RC造の臥梁があるものを想定。
計算単位は、CB部分の面積見付面積</t>
        </r>
      </text>
    </comment>
    <comment ref="S92" authorId="0" shapeId="0">
      <text>
        <r>
          <rPr>
            <sz val="9"/>
            <color indexed="81"/>
            <rFont val="ＭＳ Ｐゴシック"/>
            <family val="3"/>
            <charset val="128"/>
          </rPr>
          <t>※ 標準</t>
        </r>
      </text>
    </comment>
    <comment ref="AB94" authorId="1" shapeId="0">
      <text>
        <r>
          <rPr>
            <sz val="8"/>
            <color indexed="81"/>
            <rFont val="ＭＳ Ｐゴシック"/>
            <family val="3"/>
            <charset val="128"/>
          </rPr>
          <t>H24基準で「不能」となっていましたが、基準上計算できそうなので、とりあえず評点数を入れてます</t>
        </r>
      </text>
    </comment>
    <comment ref="AJ94" authorId="1" shapeId="0">
      <text>
        <r>
          <rPr>
            <sz val="8"/>
            <color indexed="81"/>
            <rFont val="ＭＳ Ｐゴシック"/>
            <family val="3"/>
            <charset val="128"/>
          </rPr>
          <t>RCの劇場は基準上は設定がありますが、補正の取り方が他と異なるため、調書で対応していません。適宜手作業で調書を修正して使用してください。</t>
        </r>
      </text>
    </comment>
    <comment ref="S96" authorId="0" shapeId="0">
      <text>
        <r>
          <rPr>
            <sz val="9"/>
            <color indexed="81"/>
            <rFont val="ＭＳ Ｐゴシック"/>
            <family val="3"/>
            <charset val="128"/>
          </rPr>
          <t>※ 標準</t>
        </r>
      </text>
    </comment>
    <comment ref="X96" authorId="1" shapeId="0">
      <text>
        <r>
          <rPr>
            <sz val="8"/>
            <color indexed="81"/>
            <rFont val="ＭＳ Ｐゴシック"/>
            <family val="3"/>
            <charset val="128"/>
          </rPr>
          <t>軽量鉄骨の住宅・アパートは、評点項目・評点数が異なるため別の様式を使用すること</t>
        </r>
      </text>
    </comment>
    <comment ref="AB96" authorId="1" shapeId="0">
      <text>
        <r>
          <rPr>
            <sz val="8"/>
            <color indexed="81"/>
            <rFont val="ＭＳ Ｐゴシック"/>
            <family val="3"/>
            <charset val="128"/>
          </rPr>
          <t>軽量鉄骨の基準は、
・住宅・アパート用
・工場・倉庫・市場用
・事務所・店舗・百貨店「等」用
の3種類です。</t>
        </r>
      </text>
    </comment>
    <comment ref="AJ96" authorId="1" shapeId="0">
      <text>
        <r>
          <rPr>
            <sz val="8"/>
            <color indexed="81"/>
            <rFont val="ＭＳ Ｐゴシック"/>
            <family val="3"/>
            <charset val="128"/>
          </rPr>
          <t>軽量鉄骨の基準は、
・住宅・アパート用
・工場・倉庫・市場用
・事務所・店舗・百貨店「等」用
の3種類です。</t>
        </r>
      </text>
    </comment>
    <comment ref="X97" authorId="1" shapeId="0">
      <text>
        <r>
          <rPr>
            <sz val="8"/>
            <color indexed="81"/>
            <rFont val="ＭＳ Ｐゴシック"/>
            <family val="3"/>
            <charset val="128"/>
          </rPr>
          <t>軽量鉄骨の住宅・アパートは、評点項目・評点数が異なるため別の様式を使用すること</t>
        </r>
      </text>
    </comment>
    <comment ref="AB97" authorId="1" shapeId="0">
      <text>
        <r>
          <rPr>
            <sz val="8"/>
            <color indexed="81"/>
            <rFont val="ＭＳ Ｐゴシック"/>
            <family val="3"/>
            <charset val="128"/>
          </rPr>
          <t>軽量鉄骨の基準は、
・住宅・アパート用
・工場・倉庫・市場用
・事務所・店舗・百貨店「等」用
の3種類です。</t>
        </r>
      </text>
    </comment>
    <comment ref="AJ97" authorId="1" shapeId="0">
      <text>
        <r>
          <rPr>
            <sz val="8"/>
            <color indexed="81"/>
            <rFont val="ＭＳ Ｐゴシック"/>
            <family val="3"/>
            <charset val="128"/>
          </rPr>
          <t>軽量鉄骨の基準は、
・住宅・アパート用
・工場・倉庫・市場用
・事務所・店舗・百貨店「等」用
の3種類です。</t>
        </r>
      </text>
    </comment>
    <comment ref="O99" authorId="1" shapeId="0">
      <text>
        <r>
          <rPr>
            <sz val="8"/>
            <color indexed="81"/>
            <rFont val="ＭＳ Ｐゴシック"/>
            <family val="3"/>
            <charset val="128"/>
          </rPr>
          <t>劇場用はホール部分の階高</t>
        </r>
      </text>
    </comment>
    <comment ref="W99" authorId="1" shapeId="0">
      <text>
        <r>
          <rPr>
            <sz val="8"/>
            <color indexed="81"/>
            <rFont val="ＭＳ Ｐゴシック"/>
            <family val="3"/>
            <charset val="128"/>
          </rPr>
          <t>設置されている天吊クレーンの力量</t>
        </r>
      </text>
    </comment>
    <comment ref="AC103" authorId="0" shapeId="0">
      <text>
        <r>
          <rPr>
            <sz val="9"/>
            <color indexed="81"/>
            <rFont val="ＭＳ Ｐゴシック"/>
            <family val="3"/>
            <charset val="128"/>
          </rPr>
          <t>Ｓ 標準
ＲＣ 標準</t>
        </r>
      </text>
    </comment>
    <comment ref="AV103" authorId="0" shapeId="0">
      <text>
        <r>
          <rPr>
            <sz val="9"/>
            <color indexed="81"/>
            <rFont val="ＭＳ Ｐゴシック"/>
            <family val="3"/>
            <charset val="128"/>
          </rPr>
          <t>※古材補正0.70根拠
地方税質疑応答集
&lt;月刊地方税別冊＞544P</t>
        </r>
      </text>
    </comment>
    <comment ref="AC104" authorId="0" shapeId="0">
      <text>
        <r>
          <rPr>
            <sz val="9"/>
            <color indexed="81"/>
            <rFont val="ＭＳ Ｐゴシック"/>
            <family val="3"/>
            <charset val="128"/>
          </rPr>
          <t>Ｓプレハブ倉庫やユニットハウスのような簡易なもの、四角四面で内壁の施工がないもの等</t>
        </r>
      </text>
    </comment>
    <comment ref="T107" authorId="0" shapeId="0">
      <text>
        <r>
          <rPr>
            <sz val="9"/>
            <color indexed="81"/>
            <rFont val="ＭＳ Ｐゴシック"/>
            <family val="3"/>
            <charset val="128"/>
          </rPr>
          <t xml:space="preserve"> ｔ 数入力</t>
        </r>
      </text>
    </comment>
    <comment ref="AF107" authorId="1" shapeId="0">
      <text>
        <r>
          <rPr>
            <sz val="8"/>
            <color indexed="81"/>
            <rFont val="ＭＳ Ｐゴシック"/>
            <family val="3"/>
            <charset val="128"/>
          </rPr>
          <t>壁面積の大小の補正を適用する場合のみ壁面積の入力欄が表示されます。</t>
        </r>
      </text>
    </comment>
    <comment ref="W117" authorId="1" shapeId="0">
      <text>
        <r>
          <rPr>
            <sz val="9"/>
            <color indexed="81"/>
            <rFont val="ＭＳ Ｐゴシック"/>
            <family val="3"/>
            <charset val="128"/>
          </rPr>
          <t>とりあえず
ゴム量の補正として
面積→外径の二乗に比例で</t>
        </r>
      </text>
    </comment>
    <comment ref="Q130" authorId="1" shapeId="0">
      <text>
        <r>
          <rPr>
            <sz val="9"/>
            <color indexed="81"/>
            <rFont val="ＭＳ Ｐゴシック"/>
            <family val="3"/>
            <charset val="128"/>
          </rPr>
          <t>深さ5m</t>
        </r>
      </text>
    </comment>
    <comment ref="Q131" authorId="1" shapeId="0">
      <text>
        <r>
          <rPr>
            <sz val="9"/>
            <color indexed="81"/>
            <rFont val="ＭＳ Ｐゴシック"/>
            <family val="3"/>
            <charset val="128"/>
          </rPr>
          <t>深さ１ｍ</t>
        </r>
      </text>
    </comment>
    <comment ref="AC131" authorId="0" shapeId="0">
      <text>
        <r>
          <rPr>
            <sz val="9"/>
            <color indexed="81"/>
            <rFont val="ＭＳ Ｐゴシック"/>
            <family val="3"/>
            <charset val="128"/>
          </rPr>
          <t>標準</t>
        </r>
      </text>
    </comment>
    <comment ref="AG131" authorId="0" shapeId="0">
      <text>
        <r>
          <rPr>
            <sz val="9"/>
            <color indexed="81"/>
            <rFont val="ＭＳ Ｐゴシック"/>
            <family val="3"/>
            <charset val="128"/>
          </rPr>
          <t>標準</t>
        </r>
      </text>
    </comment>
    <comment ref="U133" authorId="2" shapeId="0">
      <text>
        <r>
          <rPr>
            <sz val="9"/>
            <color indexed="81"/>
            <rFont val="MS P ゴシック"/>
            <family val="3"/>
            <charset val="128"/>
          </rPr>
          <t>増点超可</t>
        </r>
      </text>
    </comment>
    <comment ref="Y140" authorId="0" shapeId="0">
      <text>
        <r>
          <rPr>
            <sz val="9"/>
            <color indexed="81"/>
            <rFont val="ＭＳ Ｐゴシック"/>
            <family val="3"/>
            <charset val="128"/>
          </rPr>
          <t>標準</t>
        </r>
      </text>
    </comment>
    <comment ref="U142" authorId="2" shapeId="0">
      <text>
        <r>
          <rPr>
            <sz val="9"/>
            <color indexed="81"/>
            <rFont val="MS P ゴシック"/>
            <family val="3"/>
            <charset val="128"/>
          </rPr>
          <t>増点超可</t>
        </r>
      </text>
    </comment>
    <comment ref="F145" authorId="1" shapeId="0">
      <text>
        <r>
          <rPr>
            <sz val="8"/>
            <color indexed="81"/>
            <rFont val="ＭＳ Ｐゴシック"/>
            <family val="3"/>
            <charset val="128"/>
          </rPr>
          <t>R3評価替え質疑応答集Q3から
(木造転用）</t>
        </r>
      </text>
    </comment>
    <comment ref="Q151" authorId="0" shapeId="0">
      <text>
        <r>
          <rPr>
            <sz val="9"/>
            <color indexed="81"/>
            <rFont val="ＭＳ Ｐゴシック"/>
            <family val="3"/>
            <charset val="128"/>
          </rPr>
          <t>標準</t>
        </r>
      </text>
    </comment>
    <comment ref="Z159" authorId="0" shapeId="0">
      <text>
        <r>
          <rPr>
            <sz val="9"/>
            <color indexed="81"/>
            <rFont val="ＭＳ Ｐゴシック"/>
            <family val="3"/>
            <charset val="128"/>
          </rPr>
          <t>解説により、杭の直径は末口径（小さい方）を採用</t>
        </r>
      </text>
    </comment>
    <comment ref="F160" authorId="1" shapeId="0">
      <text>
        <r>
          <rPr>
            <sz val="9"/>
            <color indexed="81"/>
            <rFont val="ＭＳ Ｐゴシック"/>
            <family val="3"/>
            <charset val="128"/>
          </rPr>
          <t>H24基準までの、地階の有無による区分がなくなりました。</t>
        </r>
      </text>
    </comment>
    <comment ref="AJ167" authorId="0" shapeId="0">
      <text>
        <r>
          <rPr>
            <sz val="9"/>
            <color indexed="81"/>
            <rFont val="ＭＳ Ｐゴシック"/>
            <family val="3"/>
            <charset val="128"/>
          </rPr>
          <t>解説により補正は上限止（自動）</t>
        </r>
      </text>
    </comment>
    <comment ref="O171" authorId="0" shapeId="0">
      <text>
        <r>
          <rPr>
            <sz val="9"/>
            <color indexed="81"/>
            <rFont val="ＭＳ Ｐゴシック"/>
            <family val="3"/>
            <charset val="128"/>
          </rPr>
          <t>実務提要により、地階の無い場合でも使用可能</t>
        </r>
      </text>
    </comment>
    <comment ref="Z171" authorId="0" shapeId="0">
      <text>
        <r>
          <rPr>
            <sz val="9"/>
            <color indexed="81"/>
            <rFont val="ＭＳ Ｐゴシック"/>
            <family val="3"/>
            <charset val="128"/>
          </rPr>
          <t>解説により、杭の直径は末口径（小さい方）を採用</t>
        </r>
      </text>
    </comment>
    <comment ref="Z175" authorId="0" shapeId="0">
      <text>
        <r>
          <rPr>
            <sz val="9"/>
            <color indexed="81"/>
            <rFont val="ＭＳ Ｐゴシック"/>
            <family val="3"/>
            <charset val="128"/>
          </rPr>
          <t>解説により補正は上限止（自動）</t>
        </r>
      </text>
    </comment>
    <comment ref="AE175" authorId="0" shapeId="0">
      <text>
        <r>
          <rPr>
            <sz val="9"/>
            <color indexed="81"/>
            <rFont val="ＭＳ Ｐゴシック"/>
            <family val="3"/>
            <charset val="128"/>
          </rPr>
          <t>解説により補正は上限止（自動）</t>
        </r>
      </text>
    </comment>
    <comment ref="AO309" authorId="0" shapeId="0">
      <text>
        <r>
          <rPr>
            <sz val="9"/>
            <color indexed="81"/>
            <rFont val="ＭＳ Ｐゴシック"/>
            <family val="3"/>
            <charset val="128"/>
          </rPr>
          <t>プレハブ方式の外部仕上は0.70補正</t>
        </r>
      </text>
    </comment>
    <comment ref="E360" authorId="0" shapeId="0">
      <text>
        <r>
          <rPr>
            <sz val="9"/>
            <color indexed="81"/>
            <rFont val="ＭＳ Ｐゴシック"/>
            <family val="3"/>
            <charset val="128"/>
          </rPr>
          <t xml:space="preserve">質疑応答より
　・断熱材　並　グラスウール50mm程度
　・断熱材　中　グラスウール100mm程度
　・断熱材　上　グラスウールボード50mm程度
</t>
        </r>
      </text>
    </comment>
    <comment ref="E450" authorId="0" shapeId="0">
      <text>
        <r>
          <rPr>
            <sz val="9"/>
            <color indexed="81"/>
            <rFont val="ＭＳ Ｐゴシック"/>
            <family val="3"/>
            <charset val="128"/>
          </rPr>
          <t xml:space="preserve">質疑応答より
　・断熱材　並　グラスウール50mm程度
　・断熱材　中　グラスウール100mm程度
　・断熱材　上　グラスウールボード50mm程度
</t>
        </r>
      </text>
    </comment>
    <comment ref="E526" authorId="0" shapeId="0">
      <text>
        <r>
          <rPr>
            <sz val="9"/>
            <color indexed="81"/>
            <rFont val="ＭＳ Ｐゴシック"/>
            <family val="3"/>
            <charset val="128"/>
          </rPr>
          <t xml:space="preserve">質疑応答より
　・断熱材　並　グラスウール50mm程度
　・断熱材　中　グラスウール100mm程度
　・断熱材　上　グラスウールボード50mm程度
</t>
        </r>
      </text>
    </comment>
    <comment ref="E587" authorId="0" shapeId="0">
      <text>
        <r>
          <rPr>
            <sz val="9"/>
            <color indexed="81"/>
            <rFont val="ＭＳ Ｐゴシック"/>
            <family val="3"/>
            <charset val="128"/>
          </rPr>
          <t xml:space="preserve">質疑応答より　
　・断熱材　並　グラスウール50mm程度
　・断熱材　中　グラスウール100mm程度
　・断熱材　上　グラスウールボード50mm程度
ペフ：→並とする（担当者会議申合せ）
</t>
        </r>
      </text>
    </comment>
    <comment ref="E641" authorId="0" shapeId="0">
      <text>
        <r>
          <rPr>
            <sz val="9"/>
            <color indexed="81"/>
            <rFont val="ＭＳ Ｐゴシック"/>
            <family val="3"/>
            <charset val="128"/>
          </rPr>
          <t xml:space="preserve">
質疑応答より　
　・断熱材　並　グラスウール50mm程度
　・断熱材　中　グラスウール100mm程度
　・断熱材　上　グラスウールボード50mm程度
ペフ：→並とする（担当者会議申合せ）
</t>
        </r>
      </text>
    </comment>
    <comment ref="W673" authorId="2" shapeId="0">
      <text>
        <r>
          <rPr>
            <sz val="9"/>
            <color indexed="81"/>
            <rFont val="MS P ゴシック"/>
            <family val="3"/>
            <charset val="128"/>
          </rPr>
          <t>塔屋除く（足場等工事内容の性質から主体準拠）</t>
        </r>
      </text>
    </comment>
    <comment ref="AD675" authorId="0" shapeId="0">
      <text>
        <r>
          <rPr>
            <sz val="9"/>
            <color indexed="81"/>
            <rFont val="ＭＳ Ｐゴシック"/>
            <family val="3"/>
            <charset val="128"/>
          </rPr>
          <t>住宅・アパート
以外入力不要</t>
        </r>
      </text>
    </comment>
    <comment ref="Z677" authorId="0" shapeId="0">
      <text>
        <r>
          <rPr>
            <sz val="9"/>
            <color indexed="81"/>
            <rFont val="ＭＳ Ｐゴシック"/>
            <family val="3"/>
            <charset val="128"/>
          </rPr>
          <t>　原則</t>
        </r>
      </text>
    </comment>
    <comment ref="N678" authorId="0" shapeId="0">
      <text>
        <r>
          <rPr>
            <sz val="9"/>
            <color indexed="81"/>
            <rFont val="ＭＳ Ｐゴシック"/>
            <family val="3"/>
            <charset val="128"/>
          </rPr>
          <t>ＬＧＳ(工倉市）以外：簡単０．７を標準
ＬＧＳ（工倉市）：簡単ＬＧＳ０．５を標準</t>
        </r>
      </text>
    </comment>
    <comment ref="Z678" authorId="0" shapeId="0">
      <text>
        <r>
          <rPr>
            <sz val="9"/>
            <color indexed="81"/>
            <rFont val="ＭＳ Ｐゴシック"/>
            <family val="3"/>
            <charset val="128"/>
          </rPr>
          <t>施工がない場合例外的に選択可</t>
        </r>
      </text>
    </comment>
    <comment ref="AQ684" authorId="0" shapeId="0">
      <text>
        <r>
          <rPr>
            <sz val="9"/>
            <color indexed="81"/>
            <rFont val="ＭＳ Ｐゴシック"/>
            <family val="3"/>
            <charset val="128"/>
          </rPr>
          <t>※R2以前新築の建物をR3基準で 評価の場合等、基準年の調整が必要な場合にのみ入力してください。
　R3基準→H30基準　1.07
　R3基準→H27基準　1.07×1.06＝1.1342</t>
        </r>
      </text>
    </comment>
  </commentList>
</comments>
</file>

<file path=xl/comments2.xml><?xml version="1.0" encoding="utf-8"?>
<comments xmlns="http://schemas.openxmlformats.org/spreadsheetml/2006/main">
  <authors>
    <author>tottori</author>
  </authors>
  <commentList>
    <comment ref="A39" authorId="0" shapeId="0">
      <text>
        <r>
          <rPr>
            <sz val="8"/>
            <color indexed="81"/>
            <rFont val="ＭＳ Ｐゴシック"/>
            <family val="3"/>
            <charset val="128"/>
          </rPr>
          <t>勾配入力で、投影面積（伏図上の寸法）と勾配から仕上面積が計算できます。
屋根面の　水平寸法を分母、対応する高さを分子に入れてください。
陸屋根等勾配のない場合や、従来どおりの、仕上実寸法で計算する場合は、勾配０（分母のみ０以外の数値を入れ、分子は０または空欄）としてください。</t>
        </r>
      </text>
    </comment>
    <comment ref="A63" authorId="0" shapeId="0">
      <text>
        <r>
          <rPr>
            <sz val="8"/>
            <color indexed="81"/>
            <rFont val="ＭＳ Ｐゴシック"/>
            <family val="3"/>
            <charset val="128"/>
          </rPr>
          <t>勾配入力で、投影面積（伏図上の寸法）と勾配から仕上面積が計算できます。
屋根面の　水平寸法を分母、対応する高さを分子に入れてください。
陸屋根等勾配のない場合や、従来どおりの、仕上実寸法で計算する場合は、勾配０（分母のみ０以外の数値を入れ、分子は０または空欄）としてください。</t>
        </r>
      </text>
    </comment>
    <comment ref="A89" authorId="0" shapeId="0">
      <text>
        <r>
          <rPr>
            <sz val="8"/>
            <color indexed="81"/>
            <rFont val="ＭＳ Ｐゴシック"/>
            <family val="3"/>
            <charset val="128"/>
          </rPr>
          <t>勾配入力で、投影面積（伏図上の寸法）と勾配から仕上面積が計算できます。
屋根面の　水平寸法を分母、対応する高さを分子に入れてください。
陸屋根等勾配のない場合や、従来どおりの、仕上実寸法で計算する場合は、勾配０（分母のみ０以外の数値を入れ、分子は０または空欄）としてください。</t>
        </r>
      </text>
    </comment>
    <comment ref="A115" authorId="0" shapeId="0">
      <text>
        <r>
          <rPr>
            <sz val="8"/>
            <color indexed="81"/>
            <rFont val="ＭＳ Ｐゴシック"/>
            <family val="3"/>
            <charset val="128"/>
          </rPr>
          <t>勾配入力で、投影面積（伏図上の寸法）と勾配から仕上面積が計算できます。
屋根面の　水平寸法を分母、対応する高さを分子に入れてください。
陸屋根等勾配のない場合や、従来どおりの、仕上実寸法で計算する場合は、勾配０（分母のみ０以外の数値を入れ、分子は０または空欄）としてください。</t>
        </r>
      </text>
    </comment>
  </commentList>
</comments>
</file>

<file path=xl/comments3.xml><?xml version="1.0" encoding="utf-8"?>
<comments xmlns="http://schemas.openxmlformats.org/spreadsheetml/2006/main">
  <authors>
    <author>tottori</author>
    <author>鳥取県</author>
  </authors>
  <commentList>
    <comment ref="M5" authorId="0" shapeId="0">
      <text>
        <r>
          <rPr>
            <sz val="8"/>
            <color indexed="81"/>
            <rFont val="ＭＳ Ｐゴシック"/>
            <family val="3"/>
            <charset val="128"/>
          </rPr>
          <t>空調面積以外で換気設備がある部分が対象です。</t>
        </r>
      </text>
    </comment>
    <comment ref="N5" authorId="0" shapeId="0">
      <text>
        <r>
          <rPr>
            <sz val="8"/>
            <color indexed="81"/>
            <rFont val="ＭＳ Ｐゴシック"/>
            <family val="3"/>
            <charset val="128"/>
          </rPr>
          <t>火災報知設備の設備面積は、原則フロア単位</t>
        </r>
      </text>
    </comment>
    <comment ref="O5" authorId="1" shapeId="0">
      <text>
        <r>
          <rPr>
            <sz val="9"/>
            <color indexed="81"/>
            <rFont val="MS P ゴシック"/>
            <family val="3"/>
            <charset val="128"/>
          </rPr>
          <t>水道直結型以外</t>
        </r>
      </text>
    </comment>
  </commentList>
</comments>
</file>

<file path=xl/comments4.xml><?xml version="1.0" encoding="utf-8"?>
<comments xmlns="http://schemas.openxmlformats.org/spreadsheetml/2006/main">
  <authors>
    <author>鳥取県庁</author>
    <author>tottori</author>
    <author>鳥取県</author>
  </authors>
  <commentList>
    <comment ref="C6" authorId="0" shapeId="0">
      <text>
        <r>
          <rPr>
            <sz val="9"/>
            <color indexed="81"/>
            <rFont val="ＭＳ Ｐゴシック"/>
            <family val="3"/>
            <charset val="128"/>
          </rPr>
          <t>硝子の評点付設が必要な建具に「窓」と表示しています。</t>
        </r>
      </text>
    </comment>
    <comment ref="E7" authorId="0" shapeId="0">
      <text>
        <r>
          <rPr>
            <sz val="9"/>
            <color indexed="81"/>
            <rFont val="ＭＳ Ｐゴシック"/>
            <family val="3"/>
            <charset val="128"/>
          </rPr>
          <t>プレハブ方式の外部建具は0.80とします。
また、古材使用の場合は0.70とします。</t>
        </r>
      </text>
    </comment>
    <comment ref="F17" authorId="1" shapeId="0">
      <text>
        <r>
          <rPr>
            <sz val="9"/>
            <color indexed="81"/>
            <rFont val="ＭＳ Ｐゴシック"/>
            <family val="3"/>
            <charset val="128"/>
          </rPr>
          <t>ｱﾙﾐ製を2.2補正</t>
        </r>
      </text>
    </comment>
    <comment ref="F18" authorId="1" shapeId="0">
      <text>
        <r>
          <rPr>
            <sz val="9"/>
            <color indexed="81"/>
            <rFont val="ＭＳ Ｐゴシック"/>
            <family val="3"/>
            <charset val="128"/>
          </rPr>
          <t>ｱﾙﾐ製を2.2補正</t>
        </r>
      </text>
    </comment>
    <comment ref="F19" authorId="1" shapeId="0">
      <text>
        <r>
          <rPr>
            <sz val="9"/>
            <color indexed="81"/>
            <rFont val="ＭＳ Ｐゴシック"/>
            <family val="3"/>
            <charset val="128"/>
          </rPr>
          <t>ｱﾙﾐ製を2.2補正</t>
        </r>
      </text>
    </comment>
    <comment ref="F20" authorId="1" shapeId="0">
      <text>
        <r>
          <rPr>
            <sz val="9"/>
            <color indexed="81"/>
            <rFont val="ＭＳ Ｐゴシック"/>
            <family val="3"/>
            <charset val="128"/>
          </rPr>
          <t>ｱﾙﾐ製を2.2補正</t>
        </r>
      </text>
    </comment>
    <comment ref="F21" authorId="1" shapeId="0">
      <text>
        <r>
          <rPr>
            <sz val="9"/>
            <color indexed="81"/>
            <rFont val="ＭＳ Ｐゴシック"/>
            <family val="3"/>
            <charset val="128"/>
          </rPr>
          <t>ｱﾙﾐ製を2.2補正</t>
        </r>
      </text>
    </comment>
    <comment ref="F22" authorId="1" shapeId="0">
      <text>
        <r>
          <rPr>
            <sz val="9"/>
            <color indexed="81"/>
            <rFont val="ＭＳ Ｐゴシック"/>
            <family val="3"/>
            <charset val="128"/>
          </rPr>
          <t>ｱﾙﾐ製を2.2補正</t>
        </r>
      </text>
    </comment>
    <comment ref="F23" authorId="1" shapeId="0">
      <text>
        <r>
          <rPr>
            <sz val="9"/>
            <color indexed="81"/>
            <rFont val="ＭＳ Ｐゴシック"/>
            <family val="3"/>
            <charset val="128"/>
          </rPr>
          <t>ｱﾙﾐ製を1.7補正</t>
        </r>
      </text>
    </comment>
    <comment ref="F24" authorId="1" shapeId="0">
      <text>
        <r>
          <rPr>
            <sz val="9"/>
            <color indexed="81"/>
            <rFont val="ＭＳ Ｐゴシック"/>
            <family val="3"/>
            <charset val="128"/>
          </rPr>
          <t>ｱﾙﾐ製を1.7補正</t>
        </r>
      </text>
    </comment>
    <comment ref="F25" authorId="1" shapeId="0">
      <text>
        <r>
          <rPr>
            <sz val="9"/>
            <color indexed="81"/>
            <rFont val="ＭＳ Ｐゴシック"/>
            <family val="3"/>
            <charset val="128"/>
          </rPr>
          <t>ｱﾙﾐ製を1.7補正</t>
        </r>
      </text>
    </comment>
    <comment ref="F26" authorId="1" shapeId="0">
      <text>
        <r>
          <rPr>
            <sz val="9"/>
            <color indexed="81"/>
            <rFont val="ＭＳ Ｐゴシック"/>
            <family val="3"/>
            <charset val="128"/>
          </rPr>
          <t>ｱﾙﾐ製を1.7補正</t>
        </r>
      </text>
    </comment>
    <comment ref="F27" authorId="1" shapeId="0">
      <text>
        <r>
          <rPr>
            <sz val="9"/>
            <color indexed="81"/>
            <rFont val="ＭＳ Ｐゴシック"/>
            <family val="3"/>
            <charset val="128"/>
          </rPr>
          <t>ｱﾙﾐ製を1.7補正</t>
        </r>
      </text>
    </comment>
    <comment ref="F28" authorId="1" shapeId="0">
      <text>
        <r>
          <rPr>
            <sz val="9"/>
            <color indexed="81"/>
            <rFont val="ＭＳ Ｐゴシック"/>
            <family val="3"/>
            <charset val="128"/>
          </rPr>
          <t>ｱﾙﾐ製を1.7補正</t>
        </r>
      </text>
    </comment>
    <comment ref="F29" authorId="1" shapeId="0">
      <text>
        <r>
          <rPr>
            <sz val="9"/>
            <color indexed="81"/>
            <rFont val="ＭＳ Ｐゴシック"/>
            <family val="3"/>
            <charset val="128"/>
          </rPr>
          <t>ｱﾙﾐ製を0.65補正</t>
        </r>
      </text>
    </comment>
    <comment ref="F30" authorId="1" shapeId="0">
      <text>
        <r>
          <rPr>
            <sz val="9"/>
            <color indexed="81"/>
            <rFont val="ＭＳ Ｐゴシック"/>
            <family val="3"/>
            <charset val="128"/>
          </rPr>
          <t>ｱﾙﾐ製を0.65補正</t>
        </r>
      </text>
    </comment>
    <comment ref="F31" authorId="1" shapeId="0">
      <text>
        <r>
          <rPr>
            <sz val="9"/>
            <color indexed="81"/>
            <rFont val="ＭＳ Ｐゴシック"/>
            <family val="3"/>
            <charset val="128"/>
          </rPr>
          <t>ｱﾙﾐ製を0.65補正</t>
        </r>
      </text>
    </comment>
    <comment ref="F32" authorId="1" shapeId="0">
      <text>
        <r>
          <rPr>
            <sz val="9"/>
            <color indexed="81"/>
            <rFont val="ＭＳ Ｐゴシック"/>
            <family val="3"/>
            <charset val="128"/>
          </rPr>
          <t>ｱﾙﾐ製を0.65補正</t>
        </r>
      </text>
    </comment>
    <comment ref="F33" authorId="1" shapeId="0">
      <text>
        <r>
          <rPr>
            <sz val="9"/>
            <color indexed="81"/>
            <rFont val="ＭＳ Ｐゴシック"/>
            <family val="3"/>
            <charset val="128"/>
          </rPr>
          <t>ｱﾙﾐ製を0.65補正</t>
        </r>
      </text>
    </comment>
    <comment ref="F34" authorId="1" shapeId="0">
      <text>
        <r>
          <rPr>
            <sz val="9"/>
            <color indexed="81"/>
            <rFont val="ＭＳ Ｐゴシック"/>
            <family val="3"/>
            <charset val="128"/>
          </rPr>
          <t>ｱﾙﾐ製を0.65補正</t>
        </r>
      </text>
    </comment>
    <comment ref="B36" authorId="1" shapeId="0">
      <text>
        <r>
          <rPr>
            <sz val="9"/>
            <color indexed="81"/>
            <rFont val="ＭＳ Ｐゴシック"/>
            <family val="3"/>
            <charset val="128"/>
          </rPr>
          <t>ガラス・ガラリ付・引戸（折り戸）のかまち戸</t>
        </r>
      </text>
    </comment>
    <comment ref="B37" authorId="1" shapeId="0">
      <text>
        <r>
          <rPr>
            <sz val="9"/>
            <color indexed="81"/>
            <rFont val="ＭＳ Ｐゴシック"/>
            <family val="3"/>
            <charset val="128"/>
          </rPr>
          <t xml:space="preserve">かまち戸
</t>
        </r>
      </text>
    </comment>
    <comment ref="B38" authorId="1" shapeId="0">
      <text>
        <r>
          <rPr>
            <sz val="9"/>
            <color indexed="81"/>
            <rFont val="ＭＳ Ｐゴシック"/>
            <family val="3"/>
            <charset val="128"/>
          </rPr>
          <t>ガラス・ガラリ付のポリエステル合板戸
H24のVFD</t>
        </r>
      </text>
    </comment>
    <comment ref="B39" authorId="1" shapeId="0">
      <text>
        <r>
          <rPr>
            <sz val="9"/>
            <color indexed="81"/>
            <rFont val="ＭＳ Ｐゴシック"/>
            <family val="3"/>
            <charset val="128"/>
          </rPr>
          <t>プリント合板戸</t>
        </r>
      </text>
    </comment>
    <comment ref="B40" authorId="1" shapeId="0">
      <text>
        <r>
          <rPr>
            <sz val="9"/>
            <color indexed="81"/>
            <rFont val="ＭＳ Ｐゴシック"/>
            <family val="3"/>
            <charset val="128"/>
          </rPr>
          <t xml:space="preserve">全面ガラス扉
</t>
        </r>
      </text>
    </comment>
    <comment ref="F40" authorId="1" shapeId="0">
      <text>
        <r>
          <rPr>
            <sz val="9"/>
            <color indexed="81"/>
            <rFont val="ＭＳ Ｐゴシック"/>
            <family val="3"/>
            <charset val="128"/>
          </rPr>
          <t>ｱﾙﾐ製を1.4補正</t>
        </r>
      </text>
    </comment>
    <comment ref="B41" authorId="1" shapeId="0">
      <text>
        <r>
          <rPr>
            <sz val="9"/>
            <color indexed="81"/>
            <rFont val="ＭＳ Ｐゴシック"/>
            <family val="3"/>
            <charset val="128"/>
          </rPr>
          <t xml:space="preserve">5割程度ガラス扉となっているもの
</t>
        </r>
      </text>
    </comment>
    <comment ref="F41" authorId="1" shapeId="0">
      <text>
        <r>
          <rPr>
            <sz val="9"/>
            <color indexed="81"/>
            <rFont val="ＭＳ Ｐゴシック"/>
            <family val="3"/>
            <charset val="128"/>
          </rPr>
          <t>ｱﾙﾐ製を1.4補正</t>
        </r>
      </text>
    </comment>
    <comment ref="B42" authorId="1" shapeId="0">
      <text>
        <r>
          <rPr>
            <sz val="9"/>
            <color indexed="81"/>
            <rFont val="ＭＳ Ｐゴシック"/>
            <family val="3"/>
            <charset val="128"/>
          </rPr>
          <t xml:space="preserve">フラッシュ戸
</t>
        </r>
      </text>
    </comment>
    <comment ref="F42" authorId="1" shapeId="0">
      <text>
        <r>
          <rPr>
            <sz val="9"/>
            <color indexed="81"/>
            <rFont val="ＭＳ Ｐゴシック"/>
            <family val="3"/>
            <charset val="128"/>
          </rPr>
          <t>ｱﾙﾐ製を1.4補正</t>
        </r>
      </text>
    </comment>
    <comment ref="B43" authorId="1" shapeId="0">
      <text>
        <r>
          <rPr>
            <sz val="9"/>
            <color indexed="81"/>
            <rFont val="ＭＳ Ｐゴシック"/>
            <family val="3"/>
            <charset val="128"/>
          </rPr>
          <t xml:space="preserve">全面ガラス扉
</t>
        </r>
      </text>
    </comment>
    <comment ref="B44" authorId="1" shapeId="0">
      <text>
        <r>
          <rPr>
            <sz val="9"/>
            <color indexed="81"/>
            <rFont val="ＭＳ Ｐゴシック"/>
            <family val="3"/>
            <charset val="128"/>
          </rPr>
          <t xml:space="preserve">5割程度ガラス扉となっているもの
</t>
        </r>
      </text>
    </comment>
    <comment ref="B45" authorId="1" shapeId="0">
      <text>
        <r>
          <rPr>
            <sz val="9"/>
            <color indexed="81"/>
            <rFont val="ＭＳ Ｐゴシック"/>
            <family val="3"/>
            <charset val="128"/>
          </rPr>
          <t xml:space="preserve">フラッシュ戸
</t>
        </r>
      </text>
    </comment>
    <comment ref="B49" authorId="1" shapeId="0">
      <text>
        <r>
          <rPr>
            <sz val="9"/>
            <color indexed="81"/>
            <rFont val="ＭＳ Ｐゴシック"/>
            <family val="3"/>
            <charset val="128"/>
          </rPr>
          <t xml:space="preserve">両親開き
</t>
        </r>
      </text>
    </comment>
    <comment ref="B50" authorId="1" shapeId="0">
      <text>
        <r>
          <rPr>
            <sz val="9"/>
            <color indexed="81"/>
            <rFont val="ＭＳ Ｐゴシック"/>
            <family val="3"/>
            <charset val="128"/>
          </rPr>
          <t xml:space="preserve">親子開き
</t>
        </r>
      </text>
    </comment>
    <comment ref="B51" authorId="1" shapeId="0">
      <text>
        <r>
          <rPr>
            <sz val="9"/>
            <color indexed="81"/>
            <rFont val="ＭＳ Ｐゴシック"/>
            <family val="3"/>
            <charset val="128"/>
          </rPr>
          <t xml:space="preserve">片開き
</t>
        </r>
      </text>
    </comment>
    <comment ref="B55" authorId="1" shapeId="0">
      <text>
        <r>
          <rPr>
            <sz val="9"/>
            <color indexed="81"/>
            <rFont val="ＭＳ Ｐゴシック"/>
            <family val="3"/>
            <charset val="128"/>
          </rPr>
          <t>H24基準までと異なり、開閉装置を除いた評点数です。</t>
        </r>
      </text>
    </comment>
    <comment ref="B62" authorId="1" shapeId="0">
      <text>
        <r>
          <rPr>
            <sz val="9"/>
            <color indexed="81"/>
            <rFont val="ＭＳ Ｐゴシック"/>
            <family val="3"/>
            <charset val="128"/>
          </rPr>
          <t xml:space="preserve">鋼製パネル
</t>
        </r>
      </text>
    </comment>
    <comment ref="B63" authorId="1" shapeId="0">
      <text>
        <r>
          <rPr>
            <sz val="9"/>
            <color indexed="81"/>
            <rFont val="ＭＳ Ｐゴシック"/>
            <family val="3"/>
            <charset val="128"/>
          </rPr>
          <t xml:space="preserve">樹脂板または型板ガラス
</t>
        </r>
      </text>
    </comment>
    <comment ref="B64" authorId="1" shapeId="0">
      <text>
        <r>
          <rPr>
            <sz val="9"/>
            <color indexed="81"/>
            <rFont val="ＭＳ Ｐゴシック"/>
            <family val="3"/>
            <charset val="128"/>
          </rPr>
          <t xml:space="preserve">木製扉
</t>
        </r>
      </text>
    </comment>
    <comment ref="B65" authorId="1" shapeId="0">
      <text>
        <r>
          <rPr>
            <sz val="9"/>
            <color indexed="81"/>
            <rFont val="ＭＳ Ｐゴシック"/>
            <family val="3"/>
            <charset val="128"/>
          </rPr>
          <t xml:space="preserve">固定パネル
</t>
        </r>
      </text>
    </comment>
    <comment ref="B66" authorId="1" shapeId="0">
      <text>
        <r>
          <rPr>
            <sz val="9"/>
            <color indexed="81"/>
            <rFont val="ＭＳ Ｐゴシック"/>
            <family val="3"/>
            <charset val="128"/>
          </rPr>
          <t>黒・ウルシ枠　和襖　新鳥の子</t>
        </r>
      </text>
    </comment>
    <comment ref="B67" authorId="1" shapeId="0">
      <text>
        <r>
          <rPr>
            <sz val="9"/>
            <color indexed="81"/>
            <rFont val="ＭＳ Ｐゴシック"/>
            <family val="3"/>
            <charset val="128"/>
          </rPr>
          <t xml:space="preserve">片面　鳥の子　カシュー又は目はじき
</t>
        </r>
      </text>
    </comment>
    <comment ref="B68" authorId="1" shapeId="0">
      <text>
        <r>
          <rPr>
            <sz val="9"/>
            <color indexed="81"/>
            <rFont val="ＭＳ Ｐゴシック"/>
            <family val="3"/>
            <charset val="128"/>
          </rPr>
          <t xml:space="preserve">大荒雪見障子　スプルス
</t>
        </r>
      </text>
    </comment>
    <comment ref="B69" authorId="1" shapeId="0">
      <text>
        <r>
          <rPr>
            <sz val="9"/>
            <color indexed="81"/>
            <rFont val="ＭＳ Ｐゴシック"/>
            <family val="3"/>
            <charset val="128"/>
          </rPr>
          <t>障子戸規格品　無地障子　スプルス</t>
        </r>
      </text>
    </comment>
    <comment ref="B70" authorId="1" shapeId="0">
      <text>
        <r>
          <rPr>
            <sz val="9"/>
            <color indexed="81"/>
            <rFont val="ＭＳ Ｐゴシック"/>
            <family val="3"/>
            <charset val="128"/>
          </rPr>
          <t xml:space="preserve">サッシ併設の、雨戸の役割をする電動シャッター
</t>
        </r>
      </text>
    </comment>
    <comment ref="B71" authorId="1" shapeId="0">
      <text>
        <r>
          <rPr>
            <sz val="9"/>
            <color indexed="81"/>
            <rFont val="ＭＳ Ｐゴシック"/>
            <family val="3"/>
            <charset val="128"/>
          </rPr>
          <t>サッシ併設の、雨戸の役割をする手動シャッター</t>
        </r>
      </text>
    </comment>
    <comment ref="B72" authorId="1" shapeId="0">
      <text>
        <r>
          <rPr>
            <sz val="9"/>
            <color indexed="81"/>
            <rFont val="ＭＳ Ｐゴシック"/>
            <family val="3"/>
            <charset val="128"/>
          </rPr>
          <t xml:space="preserve">引違雨戸サッシ
</t>
        </r>
      </text>
    </comment>
    <comment ref="B73" authorId="1" shapeId="0">
      <text>
        <r>
          <rPr>
            <sz val="9"/>
            <color indexed="81"/>
            <rFont val="ＭＳ Ｐゴシック"/>
            <family val="3"/>
            <charset val="128"/>
          </rPr>
          <t xml:space="preserve">可動ルーバー庇
</t>
        </r>
      </text>
    </comment>
    <comment ref="F73" authorId="1" shapeId="0">
      <text>
        <r>
          <rPr>
            <sz val="9"/>
            <color indexed="81"/>
            <rFont val="ＭＳ Ｐゴシック"/>
            <family val="3"/>
            <charset val="128"/>
          </rPr>
          <t>ｱﾙﾐ製を1.4補正</t>
        </r>
      </text>
    </comment>
    <comment ref="B74" authorId="1" shapeId="0">
      <text>
        <r>
          <rPr>
            <sz val="9"/>
            <color indexed="81"/>
            <rFont val="ＭＳ Ｐゴシック"/>
            <family val="3"/>
            <charset val="128"/>
          </rPr>
          <t xml:space="preserve">密な井桁格子
</t>
        </r>
      </text>
    </comment>
    <comment ref="F74" authorId="1" shapeId="0">
      <text>
        <r>
          <rPr>
            <sz val="9"/>
            <color indexed="81"/>
            <rFont val="ＭＳ Ｐゴシック"/>
            <family val="3"/>
            <charset val="128"/>
          </rPr>
          <t>ｱﾙﾐ製を1.4補正</t>
        </r>
      </text>
    </comment>
    <comment ref="B75" authorId="1" shapeId="0">
      <text>
        <r>
          <rPr>
            <sz val="9"/>
            <color indexed="81"/>
            <rFont val="ＭＳ Ｐゴシック"/>
            <family val="3"/>
            <charset val="128"/>
          </rPr>
          <t xml:space="preserve">直角格子
</t>
        </r>
      </text>
    </comment>
    <comment ref="F75" authorId="1" shapeId="0">
      <text>
        <r>
          <rPr>
            <sz val="9"/>
            <color indexed="81"/>
            <rFont val="ＭＳ Ｐゴシック"/>
            <family val="3"/>
            <charset val="128"/>
          </rPr>
          <t>ｱﾙﾐ製を1.4補正</t>
        </r>
      </text>
    </comment>
    <comment ref="B76" authorId="1" shapeId="0">
      <text>
        <r>
          <rPr>
            <sz val="9"/>
            <color indexed="81"/>
            <rFont val="ＭＳ Ｐゴシック"/>
            <family val="3"/>
            <charset val="128"/>
          </rPr>
          <t xml:space="preserve">一方向格子
</t>
        </r>
      </text>
    </comment>
    <comment ref="F76" authorId="1" shapeId="0">
      <text>
        <r>
          <rPr>
            <sz val="9"/>
            <color indexed="81"/>
            <rFont val="ＭＳ Ｐゴシック"/>
            <family val="3"/>
            <charset val="128"/>
          </rPr>
          <t>ｱﾙﾐ製を1.4補正</t>
        </r>
      </text>
    </comment>
    <comment ref="B77" authorId="1" shapeId="0">
      <text>
        <r>
          <rPr>
            <sz val="9"/>
            <color indexed="81"/>
            <rFont val="ＭＳ Ｐゴシック"/>
            <family val="3"/>
            <charset val="128"/>
          </rPr>
          <t xml:space="preserve">可動ルーバー庇
</t>
        </r>
      </text>
    </comment>
    <comment ref="B78" authorId="1" shapeId="0">
      <text>
        <r>
          <rPr>
            <sz val="9"/>
            <color indexed="81"/>
            <rFont val="ＭＳ Ｐゴシック"/>
            <family val="3"/>
            <charset val="128"/>
          </rPr>
          <t xml:space="preserve">密な井桁格子
</t>
        </r>
      </text>
    </comment>
    <comment ref="B79" authorId="1" shapeId="0">
      <text>
        <r>
          <rPr>
            <sz val="9"/>
            <color indexed="81"/>
            <rFont val="ＭＳ Ｐゴシック"/>
            <family val="3"/>
            <charset val="128"/>
          </rPr>
          <t xml:space="preserve">直角格子
</t>
        </r>
      </text>
    </comment>
    <comment ref="B80" authorId="1" shapeId="0">
      <text>
        <r>
          <rPr>
            <sz val="9"/>
            <color indexed="81"/>
            <rFont val="ＭＳ Ｐゴシック"/>
            <family val="3"/>
            <charset val="128"/>
          </rPr>
          <t xml:space="preserve">一方向格子
</t>
        </r>
      </text>
    </comment>
    <comment ref="B81" authorId="1" shapeId="0">
      <text>
        <r>
          <rPr>
            <sz val="9"/>
            <color indexed="81"/>
            <rFont val="ＭＳ Ｐゴシック"/>
            <family val="3"/>
            <charset val="128"/>
          </rPr>
          <t xml:space="preserve">可動ルーバー庇
</t>
        </r>
      </text>
    </comment>
    <comment ref="F81" authorId="1" shapeId="0">
      <text>
        <r>
          <rPr>
            <sz val="9"/>
            <color indexed="81"/>
            <rFont val="ＭＳ Ｐゴシック"/>
            <family val="3"/>
            <charset val="128"/>
          </rPr>
          <t>ｱﾙﾐ製を0.8補正</t>
        </r>
      </text>
    </comment>
    <comment ref="B82" authorId="1" shapeId="0">
      <text>
        <r>
          <rPr>
            <sz val="9"/>
            <color indexed="81"/>
            <rFont val="ＭＳ Ｐゴシック"/>
            <family val="3"/>
            <charset val="128"/>
          </rPr>
          <t xml:space="preserve">密な井桁格子
</t>
        </r>
      </text>
    </comment>
    <comment ref="F82" authorId="1" shapeId="0">
      <text>
        <r>
          <rPr>
            <sz val="9"/>
            <color indexed="81"/>
            <rFont val="ＭＳ Ｐゴシック"/>
            <family val="3"/>
            <charset val="128"/>
          </rPr>
          <t>ｱﾙﾐ製を0.8補正</t>
        </r>
      </text>
    </comment>
    <comment ref="B83" authorId="1" shapeId="0">
      <text>
        <r>
          <rPr>
            <sz val="9"/>
            <color indexed="81"/>
            <rFont val="ＭＳ Ｐゴシック"/>
            <family val="3"/>
            <charset val="128"/>
          </rPr>
          <t xml:space="preserve">直角格子
</t>
        </r>
      </text>
    </comment>
    <comment ref="F83" authorId="1" shapeId="0">
      <text>
        <r>
          <rPr>
            <sz val="9"/>
            <color indexed="81"/>
            <rFont val="ＭＳ Ｐゴシック"/>
            <family val="3"/>
            <charset val="128"/>
          </rPr>
          <t>ｱﾙﾐ製を0.8補正</t>
        </r>
      </text>
    </comment>
    <comment ref="B84" authorId="1" shapeId="0">
      <text>
        <r>
          <rPr>
            <sz val="9"/>
            <color indexed="81"/>
            <rFont val="ＭＳ Ｐゴシック"/>
            <family val="3"/>
            <charset val="128"/>
          </rPr>
          <t xml:space="preserve">一方向格子
</t>
        </r>
      </text>
    </comment>
    <comment ref="F84" authorId="1" shapeId="0">
      <text>
        <r>
          <rPr>
            <sz val="9"/>
            <color indexed="81"/>
            <rFont val="ＭＳ Ｐゴシック"/>
            <family val="3"/>
            <charset val="128"/>
          </rPr>
          <t>ｱﾙﾐ製を0.8補正</t>
        </r>
      </text>
    </comment>
    <comment ref="B90" authorId="0" shapeId="0">
      <text>
        <r>
          <rPr>
            <sz val="9"/>
            <color indexed="81"/>
            <rFont val="ＭＳ Ｐゴシック"/>
            <family val="3"/>
            <charset val="128"/>
          </rPr>
          <t>二重サッシュの評点数にしたい建具を、備考欄の水色のセルから選んでください。</t>
        </r>
      </text>
    </comment>
    <comment ref="B91" authorId="0" shapeId="0">
      <text>
        <r>
          <rPr>
            <sz val="9"/>
            <color indexed="81"/>
            <rFont val="ＭＳ Ｐゴシック"/>
            <family val="3"/>
            <charset val="128"/>
          </rPr>
          <t>二重サッシュの評点数にしたい建具を、備考欄の水色のセルから選んでください。</t>
        </r>
      </text>
    </comment>
    <comment ref="B141" authorId="2" shapeId="0">
      <text>
        <r>
          <rPr>
            <strike/>
            <sz val="9"/>
            <color indexed="81"/>
            <rFont val="MS P ゴシック"/>
            <family val="3"/>
            <charset val="128"/>
          </rPr>
          <t>一戸建のみ使用（R3.3）</t>
        </r>
        <r>
          <rPr>
            <sz val="9"/>
            <color indexed="81"/>
            <rFont val="MS P ゴシック"/>
            <family val="3"/>
            <charset val="128"/>
          </rPr>
          <t xml:space="preserve">
戸建と共住のみ使用(R3.9)</t>
        </r>
      </text>
    </comment>
    <comment ref="F146" authorId="2" shapeId="0">
      <text>
        <r>
          <rPr>
            <b/>
            <sz val="9"/>
            <color indexed="81"/>
            <rFont val="MS P ゴシック"/>
            <family val="3"/>
            <charset val="128"/>
          </rPr>
          <t>集合形式のみ</t>
        </r>
      </text>
    </comment>
    <comment ref="I156" authorId="1" shapeId="0">
      <text>
        <r>
          <rPr>
            <sz val="9"/>
            <color indexed="81"/>
            <rFont val="ＭＳ Ｐゴシック"/>
            <family val="3"/>
            <charset val="128"/>
          </rPr>
          <t>舞台・客席部分の面積</t>
        </r>
      </text>
    </comment>
    <comment ref="I157" authorId="1" shapeId="0">
      <text>
        <r>
          <rPr>
            <sz val="9"/>
            <color indexed="81"/>
            <rFont val="ＭＳ Ｐゴシック"/>
            <family val="3"/>
            <charset val="128"/>
          </rPr>
          <t>手摺部分の見付面積</t>
        </r>
      </text>
    </comment>
    <comment ref="I165" authorId="1" shapeId="0">
      <text>
        <r>
          <rPr>
            <sz val="9"/>
            <color indexed="81"/>
            <rFont val="ＭＳ Ｐゴシック"/>
            <family val="3"/>
            <charset val="128"/>
          </rPr>
          <t xml:space="preserve">前面の腰部分の面積
</t>
        </r>
      </text>
    </comment>
    <comment ref="I166" authorId="1" shapeId="0">
      <text>
        <r>
          <rPr>
            <sz val="9"/>
            <color indexed="81"/>
            <rFont val="ＭＳ Ｐゴシック"/>
            <family val="3"/>
            <charset val="128"/>
          </rPr>
          <t xml:space="preserve">前面の腰部分の面積
</t>
        </r>
      </text>
    </comment>
    <comment ref="I167" authorId="1" shapeId="0">
      <text>
        <r>
          <rPr>
            <sz val="9"/>
            <color indexed="81"/>
            <rFont val="ＭＳ Ｐゴシック"/>
            <family val="3"/>
            <charset val="128"/>
          </rPr>
          <t xml:space="preserve">前面の腰部分の面積
</t>
        </r>
      </text>
    </comment>
  </commentList>
</comments>
</file>

<file path=xl/comments5.xml><?xml version="1.0" encoding="utf-8"?>
<comments xmlns="http://schemas.openxmlformats.org/spreadsheetml/2006/main">
  <authors>
    <author>鳥取県庁</author>
    <author>tottori</author>
  </authors>
  <commentList>
    <comment ref="C5" authorId="0" shapeId="0">
      <text>
        <r>
          <rPr>
            <sz val="9"/>
            <color indexed="81"/>
            <rFont val="ＭＳ Ｐゴシック"/>
            <family val="3"/>
            <charset val="128"/>
          </rPr>
          <t>※　ガラスは、そのガラスのある建具と同じ行に入力してください。
　　 ガラスの種類が一部違う建具の場合、ガラスごとに面積を分け　　
　　て入力してください。
　　（例）ＡＷ引７０　上：ﾌﾛｰﾄ3mm　下：型板4mm　寸法0.90×2.00
　　　　　→ｱﾙﾐ製 サッシュ引 70　ﾌﾛｰﾄ(透明)3　0.90×</t>
        </r>
        <r>
          <rPr>
            <u/>
            <sz val="9"/>
            <color indexed="81"/>
            <rFont val="ＭＳ Ｐゴシック"/>
            <family val="3"/>
            <charset val="128"/>
          </rPr>
          <t>1.00</t>
        </r>
        <r>
          <rPr>
            <sz val="9"/>
            <color indexed="81"/>
            <rFont val="ＭＳ Ｐゴシック"/>
            <family val="3"/>
            <charset val="128"/>
          </rPr>
          <t xml:space="preserve">
　　　　　→ｱﾙﾐ製 サッシュ引 70　型板4　0,90×</t>
        </r>
        <r>
          <rPr>
            <u/>
            <sz val="9"/>
            <color indexed="81"/>
            <rFont val="ＭＳ Ｐゴシック"/>
            <family val="3"/>
            <charset val="128"/>
          </rPr>
          <t>1.00</t>
        </r>
        <r>
          <rPr>
            <sz val="9"/>
            <color indexed="81"/>
            <rFont val="ＭＳ Ｐゴシック"/>
            <family val="3"/>
            <charset val="128"/>
          </rPr>
          <t xml:space="preserve">
※　ガラスの厚さが不明の場合
　①　基本的にそのガラスの種類の最低の厚さで評点付設する。
　②　ただしフロートガラスは5mmとする（工・倉・市のみ3mm）。
　③　アルミパネルについては型板ガラス4mm相当とする。</t>
        </r>
      </text>
    </comment>
    <comment ref="E6" authorId="1" shapeId="0">
      <text>
        <r>
          <rPr>
            <sz val="8"/>
            <color indexed="81"/>
            <rFont val="ＭＳ Ｐゴシック"/>
            <family val="3"/>
            <charset val="128"/>
          </rPr>
          <t>シャッター手動開閉装置は、手動の巻き上げ機のこと
（装置のない手で上下する軽量シャッターには適用しない）</t>
        </r>
      </text>
    </comment>
  </commentList>
</comments>
</file>

<file path=xl/comments6.xml><?xml version="1.0" encoding="utf-8"?>
<comments xmlns="http://schemas.openxmlformats.org/spreadsheetml/2006/main">
  <authors>
    <author>鳥取県庁</author>
    <author>鳥取県</author>
    <author>tottori</author>
  </authors>
  <commentList>
    <comment ref="F7" authorId="0" shapeId="0">
      <text>
        <r>
          <rPr>
            <b/>
            <sz val="9"/>
            <color indexed="10"/>
            <rFont val="ＭＳ Ｐゴシック"/>
            <family val="3"/>
            <charset val="128"/>
          </rPr>
          <t>◆設備補正については、３局協議により、以下のルールを採用しています◆</t>
        </r>
        <r>
          <rPr>
            <sz val="9"/>
            <color indexed="81"/>
            <rFont val="ＭＳ Ｐゴシック"/>
            <family val="3"/>
            <charset val="128"/>
          </rPr>
          <t xml:space="preserve">
　①　入力してよいセルは「水色」と「黄色」のみです。
　②　補正値が上限を超えるとセルが赤くなります。この場合、上限の数値としてください。下限止めは行いません。
　③　②によらず、「規模補正」については、自動的に上限止（下限止）となるようにしています。
　④　②によらず、「増点（減点）」のない評点項目については、自動的に上限（下限）を「１．０」としています。
　⑤　②によらず、１個あたりの大きさが評点数に比例すると考えられる補正は上下止めを行いません。　
　⑥　入力完了後、「Ｔ列」をフィルタリングし、印刷してください。
</t>
        </r>
      </text>
    </comment>
    <comment ref="G22" authorId="0" shapeId="0">
      <text>
        <r>
          <rPr>
            <sz val="9"/>
            <color indexed="81"/>
            <rFont val="ＭＳ Ｐゴシック"/>
            <family val="3"/>
            <charset val="128"/>
          </rPr>
          <t>※動力のkwは、図面で電動機出力や圧縮機（COMP）のkwで表示されています。
　（例１）ｴﾚﾍﾞｰﾀｰＡ　　積載量750kg（11人)　速度45m/min　</t>
        </r>
        <r>
          <rPr>
            <u/>
            <sz val="9"/>
            <color indexed="81"/>
            <rFont val="ＭＳ Ｐゴシック"/>
            <family val="3"/>
            <charset val="128"/>
          </rPr>
          <t>電動機出力3.5kw</t>
        </r>
        <r>
          <rPr>
            <sz val="9"/>
            <color indexed="81"/>
            <rFont val="ＭＳ Ｐゴシック"/>
            <family val="3"/>
            <charset val="128"/>
          </rPr>
          <t xml:space="preserve">
　（例２）ポンプＢ　　自動交互運転型　50A×300L/H×48m×</t>
        </r>
        <r>
          <rPr>
            <u/>
            <sz val="9"/>
            <color indexed="81"/>
            <rFont val="ＭＳ Ｐゴシック"/>
            <family val="3"/>
            <charset val="128"/>
          </rPr>
          <t>3.7kw</t>
        </r>
        <r>
          <rPr>
            <sz val="9"/>
            <color indexed="81"/>
            <rFont val="ＭＳ Ｐゴシック"/>
            <family val="3"/>
            <charset val="128"/>
          </rPr>
          <t>×2×3φ×200V
　（例３）空調Ｃ　　冷房能力14.00kw　暖房能力16.00kw　</t>
        </r>
        <r>
          <rPr>
            <u/>
            <sz val="9"/>
            <color indexed="81"/>
            <rFont val="ＭＳ Ｐゴシック"/>
            <family val="3"/>
            <charset val="128"/>
          </rPr>
          <t>圧縮機（COMP）1.8kw</t>
        </r>
      </text>
    </comment>
    <comment ref="G82" authorId="0" shapeId="0">
      <text>
        <r>
          <rPr>
            <sz val="9"/>
            <color indexed="81"/>
            <rFont val="ＭＳ Ｐゴシック"/>
            <family val="3"/>
            <charset val="128"/>
          </rPr>
          <t>※CATV補正は実務提要より。</t>
        </r>
      </text>
    </comment>
    <comment ref="G87" authorId="0" shapeId="0">
      <text>
        <r>
          <rPr>
            <sz val="9"/>
            <color indexed="81"/>
            <rFont val="ＭＳ Ｐゴシック"/>
            <family val="3"/>
            <charset val="128"/>
          </rPr>
          <t>※計算値は「事店百」、「住ア」、「病ホ」のみ使用できます。</t>
        </r>
      </text>
    </comment>
    <comment ref="G158" authorId="0" shapeId="0">
      <text>
        <r>
          <rPr>
            <sz val="9"/>
            <color indexed="81"/>
            <rFont val="ＭＳ Ｐゴシック"/>
            <family val="3"/>
            <charset val="128"/>
          </rPr>
          <t>※大きさはH24基準替質疑応答より採用</t>
        </r>
      </text>
    </comment>
    <comment ref="G163" authorId="0" shapeId="0">
      <text>
        <r>
          <rPr>
            <sz val="9"/>
            <color indexed="81"/>
            <rFont val="ＭＳ Ｐゴシック"/>
            <family val="3"/>
            <charset val="128"/>
          </rPr>
          <t>※大きさはH24基準替質疑応答より採用</t>
        </r>
      </text>
    </comment>
    <comment ref="C213" authorId="0" shapeId="0">
      <text>
        <r>
          <rPr>
            <sz val="9"/>
            <color indexed="81"/>
            <rFont val="ＭＳ Ｐゴシック"/>
            <family val="3"/>
            <charset val="128"/>
          </rPr>
          <t>※「追い焚き」とは、浴槽内の湯を給湯器に循環させ加熱させる機能であり、
　 「差し湯」は「追い焚き」には含まれないものである。
※３局協議により、壁掛式給湯器でも、バス用の給湯器であれば評点付設する。
　 （台所の流しに設置してあるような瞬間湯沸器は評価対象としない。）</t>
        </r>
      </text>
    </comment>
    <comment ref="C234" authorId="0" shapeId="0">
      <text>
        <r>
          <rPr>
            <sz val="9"/>
            <color indexed="81"/>
            <rFont val="ＭＳ Ｐゴシック"/>
            <family val="3"/>
            <charset val="128"/>
          </rPr>
          <t>ワンルーム使用想定
レンジフードファン含まず</t>
        </r>
      </text>
    </comment>
    <comment ref="H249" authorId="1" shapeId="0">
      <text>
        <r>
          <rPr>
            <sz val="9"/>
            <color indexed="81"/>
            <rFont val="MS P ゴシック"/>
            <family val="3"/>
            <charset val="128"/>
          </rPr>
          <t>30㎡未満は1.2、70㎡超は1.0を選択すること</t>
        </r>
      </text>
    </comment>
    <comment ref="H260" authorId="1" shapeId="0">
      <text>
        <r>
          <rPr>
            <sz val="9"/>
            <color indexed="81"/>
            <rFont val="MS P ゴシック"/>
            <family val="3"/>
            <charset val="128"/>
          </rPr>
          <t>30㎡未満は1.2、70㎡超は1.0を選択すること</t>
        </r>
      </text>
    </comment>
    <comment ref="G298" authorId="0" shapeId="0">
      <text>
        <r>
          <rPr>
            <sz val="9"/>
            <color indexed="81"/>
            <rFont val="ＭＳ Ｐゴシック"/>
            <family val="3"/>
            <charset val="128"/>
          </rPr>
          <t>※実務提要により、天井カセット方式はダクト無、天井隠蔽方式はダクト有とする</t>
        </r>
      </text>
    </comment>
    <comment ref="G300" authorId="0" shapeId="0">
      <text>
        <r>
          <rPr>
            <sz val="9"/>
            <color indexed="81"/>
            <rFont val="ＭＳ Ｐゴシック"/>
            <family val="3"/>
            <charset val="128"/>
          </rPr>
          <t>　・全熱交換機　＝　全熱交換機有　＋　１種換気
　・普　　　　　通　＝　全熱交換機無　＋　１種換気
　・天井扇程度 　＝　全熱交換機無　＋　３種換気
※全熱交換機の有無は空調仕様書や見積書等に記載がある
　 かないかで確認し、１種換気か３種換気の違いは、室内機とは
　 別に機械式の給気口が設置してあるかないかで確認する。</t>
        </r>
      </text>
    </comment>
    <comment ref="G303" authorId="0" shapeId="0">
      <text>
        <r>
          <rPr>
            <sz val="9"/>
            <color indexed="81"/>
            <rFont val="ＭＳ Ｐゴシック"/>
            <family val="3"/>
            <charset val="128"/>
          </rPr>
          <t>※室外機の冷房能力で計算します。</t>
        </r>
      </text>
    </comment>
    <comment ref="G311" authorId="0" shapeId="0">
      <text>
        <r>
          <rPr>
            <sz val="9"/>
            <color indexed="81"/>
            <rFont val="ＭＳ Ｐゴシック"/>
            <family val="3"/>
            <charset val="128"/>
          </rPr>
          <t>※実務提要により、天井カセット方式はダクト無、天井隠蔽方式はダクト有とする</t>
        </r>
      </text>
    </comment>
    <comment ref="G313" authorId="0" shapeId="0">
      <text>
        <r>
          <rPr>
            <sz val="9"/>
            <color indexed="81"/>
            <rFont val="ＭＳ Ｐゴシック"/>
            <family val="3"/>
            <charset val="128"/>
          </rPr>
          <t>　・全熱交換機　＝　全熱交換機有　＋　１種換気
　・普　　　　　通　＝　全熱交換機無　＋　１種換気
　・天井扇程度 　＝　全熱交換機無　＋　３種換気
※全熱交換機の有無は空調仕様書や見積書等に記載がある
　 かないかで確認し、１種換気か３種換気の違いは、室内機とは
　 別に機械式の給気口が設置してあるかないかで確認する。</t>
        </r>
      </text>
    </comment>
    <comment ref="G316" authorId="0" shapeId="0">
      <text>
        <r>
          <rPr>
            <sz val="9"/>
            <color indexed="81"/>
            <rFont val="ＭＳ Ｐゴシック"/>
            <family val="3"/>
            <charset val="128"/>
          </rPr>
          <t>※室外機の冷房能力で計算します。</t>
        </r>
      </text>
    </comment>
    <comment ref="G389" authorId="0" shapeId="0">
      <text>
        <r>
          <rPr>
            <sz val="9"/>
            <color indexed="81"/>
            <rFont val="ＭＳ Ｐゴシック"/>
            <family val="3"/>
            <charset val="128"/>
          </rPr>
          <t>※程度補正は解説より採用</t>
        </r>
      </text>
    </comment>
    <comment ref="G392" authorId="0" shapeId="0">
      <text>
        <r>
          <rPr>
            <sz val="9"/>
            <color indexed="81"/>
            <rFont val="ＭＳ Ｐゴシック"/>
            <family val="3"/>
            <charset val="128"/>
          </rPr>
          <t>※程度補正は解説より採用</t>
        </r>
      </text>
    </comment>
    <comment ref="G539" authorId="2" shapeId="0">
      <text>
        <r>
          <rPr>
            <sz val="9"/>
            <color indexed="81"/>
            <rFont val="ＭＳ Ｐゴシック"/>
            <family val="3"/>
            <charset val="128"/>
          </rPr>
          <t>評価替(案）Q&amp;Aの価格参照による補正の適用のために設定</t>
        </r>
      </text>
    </comment>
    <comment ref="G553" authorId="0" shapeId="0">
      <text>
        <r>
          <rPr>
            <sz val="9"/>
            <color indexed="81"/>
            <rFont val="ＭＳ Ｐゴシック"/>
            <family val="3"/>
            <charset val="128"/>
          </rPr>
          <t>※評点項目等は実務提要より採用</t>
        </r>
      </text>
    </comment>
  </commentList>
</comments>
</file>

<file path=xl/comments7.xml><?xml version="1.0" encoding="utf-8"?>
<comments xmlns="http://schemas.openxmlformats.org/spreadsheetml/2006/main">
  <authors>
    <author>鳥取県</author>
    <author>tottori</author>
    <author>鳥取県庁</author>
  </authors>
  <commentList>
    <comment ref="F6" authorId="0" shapeId="0">
      <text>
        <r>
          <rPr>
            <sz val="9"/>
            <color indexed="81"/>
            <rFont val="MS P ゴシック"/>
            <family val="3"/>
            <charset val="128"/>
          </rPr>
          <t>基準替においては、
数式内の数値を編集する</t>
        </r>
      </text>
    </comment>
    <comment ref="E21" authorId="1" shapeId="0">
      <text>
        <r>
          <rPr>
            <sz val="9"/>
            <color indexed="81"/>
            <rFont val="ＭＳ Ｐゴシック"/>
            <family val="3"/>
            <charset val="128"/>
          </rPr>
          <t>H27基準からは、配線を含む</t>
        </r>
      </text>
    </comment>
    <comment ref="E23" authorId="2" shapeId="0">
      <text>
        <r>
          <rPr>
            <sz val="9"/>
            <color indexed="81"/>
            <rFont val="ＭＳ Ｐゴシック"/>
            <family val="3"/>
            <charset val="128"/>
          </rPr>
          <t>組あたり使用口が3口の場合
2口評点数＋（2口と1口の差）</t>
        </r>
      </text>
    </comment>
    <comment ref="B27" authorId="2" shapeId="0">
      <text>
        <r>
          <rPr>
            <sz val="9"/>
            <color indexed="81"/>
            <rFont val="ＭＳ Ｐゴシック"/>
            <family val="3"/>
            <charset val="128"/>
          </rPr>
          <t>計算単位は水・湯が出る全ての使用口数とする。水・湯ともに出る使用口はそれぞれ１と数える。使用口の評点数は含まれてないので、別途評点付設する。</t>
        </r>
      </text>
    </comment>
    <comment ref="E37" authorId="2" shapeId="0">
      <text>
        <r>
          <rPr>
            <sz val="9"/>
            <color indexed="81"/>
            <rFont val="ＭＳ Ｐゴシック"/>
            <family val="3"/>
            <charset val="128"/>
          </rPr>
          <t>洗面器、洗面化粧台、洗濯流し、ユニットバス、ハーフユニットバス、ユニットシャワー、流し台（ステンレス張り）、ミニシステムキッチン及びシステムキッチンの使用口以外を対象とする。</t>
        </r>
      </text>
    </comment>
    <comment ref="K39" authorId="2" shapeId="0">
      <text>
        <r>
          <rPr>
            <sz val="9"/>
            <color indexed="81"/>
            <rFont val="ＭＳ Ｐゴシック"/>
            <family val="3"/>
            <charset val="128"/>
          </rPr>
          <t xml:space="preserve">20号：2～3人世帯程度
24号：4～5人世帯程度
28号：6人世帯以上
</t>
        </r>
      </text>
    </comment>
    <comment ref="K45" authorId="2" shapeId="0">
      <text>
        <r>
          <rPr>
            <sz val="9"/>
            <color indexed="81"/>
            <rFont val="ＭＳ Ｐゴシック"/>
            <family val="3"/>
            <charset val="128"/>
          </rPr>
          <t xml:space="preserve">300Ｌ：2～3人程度
370Ｌ：4～5人世帯程度
460Ｌ：6人世帯以上
</t>
        </r>
      </text>
    </comment>
    <comment ref="E61" authorId="2" shapeId="0">
      <text>
        <r>
          <rPr>
            <sz val="9"/>
            <color indexed="81"/>
            <rFont val="ＭＳ Ｐゴシック"/>
            <family val="3"/>
            <charset val="128"/>
          </rPr>
          <t>　シャワー無しの補正値は質疑応答より</t>
        </r>
      </text>
    </comment>
    <comment ref="E69" authorId="1" shapeId="0">
      <text>
        <r>
          <rPr>
            <sz val="9"/>
            <color indexed="81"/>
            <rFont val="ＭＳ Ｐゴシック"/>
            <family val="3"/>
            <charset val="128"/>
          </rPr>
          <t xml:space="preserve">浴槽部分のみです。
釜・給湯器、配管は別途評点付設してください。
</t>
        </r>
      </text>
    </comment>
    <comment ref="H69" authorId="2" shapeId="0">
      <text>
        <r>
          <rPr>
            <sz val="9"/>
            <color indexed="81"/>
            <rFont val="ＭＳ Ｐゴシック"/>
            <family val="3"/>
            <charset val="128"/>
          </rPr>
          <t xml:space="preserve">檜製相当
</t>
        </r>
      </text>
    </comment>
    <comment ref="H73" authorId="2" shapeId="0">
      <text>
        <r>
          <rPr>
            <sz val="9"/>
            <color indexed="81"/>
            <rFont val="ＭＳ Ｐゴシック"/>
            <family val="3"/>
            <charset val="128"/>
          </rPr>
          <t xml:space="preserve">ＦＲＰ製相当
</t>
        </r>
      </text>
    </comment>
    <comment ref="E100" authorId="2" shapeId="0">
      <text>
        <r>
          <rPr>
            <sz val="9"/>
            <color indexed="81"/>
            <rFont val="ＭＳ Ｐゴシック"/>
            <family val="3"/>
            <charset val="128"/>
          </rPr>
          <t xml:space="preserve">ワンルーム使用想定
レンジフードファン含まず
</t>
        </r>
      </text>
    </comment>
    <comment ref="J116" authorId="0" shapeId="0">
      <text>
        <r>
          <rPr>
            <sz val="9"/>
            <color indexed="81"/>
            <rFont val="MS P ゴシック"/>
            <family val="3"/>
            <charset val="128"/>
          </rPr>
          <t>基準替においては、
数式内の数値を編集する</t>
        </r>
      </text>
    </comment>
    <comment ref="U116" authorId="0" shapeId="0">
      <text>
        <r>
          <rPr>
            <sz val="9"/>
            <color indexed="81"/>
            <rFont val="MS P ゴシック"/>
            <family val="3"/>
            <charset val="128"/>
          </rPr>
          <t>機器が階で違う場合は設置床</t>
        </r>
      </text>
    </comment>
    <comment ref="J120" authorId="0" shapeId="0">
      <text>
        <r>
          <rPr>
            <sz val="9"/>
            <color indexed="81"/>
            <rFont val="MS P ゴシック"/>
            <family val="3"/>
            <charset val="128"/>
          </rPr>
          <t>基準替においては、
数式内の数値を編集する</t>
        </r>
      </text>
    </comment>
    <comment ref="U120" authorId="0" shapeId="0">
      <text>
        <r>
          <rPr>
            <sz val="9"/>
            <color indexed="81"/>
            <rFont val="MS P ゴシック"/>
            <family val="3"/>
            <charset val="128"/>
          </rPr>
          <t>機器が階で違う場合は設置床</t>
        </r>
      </text>
    </comment>
  </commentList>
</comments>
</file>

<file path=xl/comments8.xml><?xml version="1.0" encoding="utf-8"?>
<comments xmlns="http://schemas.openxmlformats.org/spreadsheetml/2006/main">
  <authors>
    <author>鳥取県</author>
    <author>tottori</author>
    <author>鳥取県庁</author>
  </authors>
  <commentList>
    <comment ref="L18" authorId="0" shapeId="0">
      <text>
        <r>
          <rPr>
            <sz val="9"/>
            <color indexed="81"/>
            <rFont val="MS P ゴシック"/>
            <family val="3"/>
            <charset val="128"/>
          </rPr>
          <t>R3 住ア以外の基準数量を数式に変更
（以前は別ファイル計算結果数値を転記）</t>
        </r>
      </text>
    </comment>
    <comment ref="AT278" authorId="1" shapeId="0">
      <text>
        <r>
          <rPr>
            <sz val="9"/>
            <color indexed="81"/>
            <rFont val="ＭＳ Ｐゴシック"/>
            <family val="3"/>
            <charset val="128"/>
          </rPr>
          <t>下限に対応する規模は、Q&amp;Aより。</t>
        </r>
      </text>
    </comment>
    <comment ref="AT285" authorId="1" shapeId="0">
      <text>
        <r>
          <rPr>
            <sz val="9"/>
            <color indexed="81"/>
            <rFont val="ＭＳ Ｐゴシック"/>
            <family val="3"/>
            <charset val="128"/>
          </rPr>
          <t>下限に対応する規模は、Q&amp;Aより。</t>
        </r>
      </text>
    </comment>
    <comment ref="AT292" authorId="1" shapeId="0">
      <text>
        <r>
          <rPr>
            <sz val="9"/>
            <color indexed="81"/>
            <rFont val="ＭＳ Ｐゴシック"/>
            <family val="3"/>
            <charset val="128"/>
          </rPr>
          <t>下限に対応する規模は、Q&amp;Aより。</t>
        </r>
      </text>
    </comment>
    <comment ref="AR306" authorId="1" shapeId="0">
      <text>
        <r>
          <rPr>
            <sz val="9"/>
            <color indexed="81"/>
            <rFont val="ＭＳ Ｐゴシック"/>
            <family val="3"/>
            <charset val="128"/>
          </rPr>
          <t>下限に対応する規模はQ&amp;Aより。</t>
        </r>
      </text>
    </comment>
    <comment ref="Q313" authorId="1" shapeId="0">
      <text>
        <r>
          <rPr>
            <sz val="9"/>
            <color indexed="81"/>
            <rFont val="ＭＳ Ｐゴシック"/>
            <family val="3"/>
            <charset val="128"/>
          </rPr>
          <t>下限に対応する規模はQ&amp;Aより。</t>
        </r>
      </text>
    </comment>
    <comment ref="Z320" authorId="1" shapeId="0">
      <text>
        <r>
          <rPr>
            <sz val="9"/>
            <color indexed="81"/>
            <rFont val="ＭＳ Ｐゴシック"/>
            <family val="3"/>
            <charset val="128"/>
          </rPr>
          <t>下限に対応する規模はQ&amp;Aより。</t>
        </r>
      </text>
    </comment>
    <comment ref="BF554" authorId="2" shapeId="0">
      <text>
        <r>
          <rPr>
            <sz val="9"/>
            <color indexed="81"/>
            <rFont val="ＭＳ Ｐゴシック"/>
            <family val="3"/>
            <charset val="128"/>
          </rPr>
          <t>H21LGS施工量がH24でなくなったが欄はそのままにしてあるもの。削除してもよいし補正項目追加されればそれにあててもよい。</t>
        </r>
      </text>
    </comment>
    <comment ref="V559" authorId="1" shapeId="0">
      <text>
        <r>
          <rPr>
            <sz val="8"/>
            <color indexed="81"/>
            <rFont val="ＭＳ Ｐゴシック"/>
            <family val="3"/>
            <charset val="128"/>
          </rPr>
          <t>ｸﾚｰﾝ200ｔの場合の補正は固定資産評価基準解説より（20ｔを1.0として2.0）</t>
        </r>
      </text>
    </comment>
    <comment ref="W559" authorId="1" shapeId="0">
      <text>
        <r>
          <rPr>
            <sz val="8"/>
            <color indexed="81"/>
            <rFont val="ＭＳ Ｐゴシック"/>
            <family val="3"/>
            <charset val="128"/>
          </rPr>
          <t>20ｔに対し200tが2.0のところ、
20t：1.30のため200tは2.0×1.30=2.60。</t>
        </r>
      </text>
    </comment>
    <comment ref="AD559" authorId="1" shapeId="0">
      <text>
        <r>
          <rPr>
            <sz val="8"/>
            <color indexed="81"/>
            <rFont val="ＭＳ Ｐゴシック"/>
            <family val="3"/>
            <charset val="128"/>
          </rPr>
          <t>S　装備なしの場合の補正は固定資産評価基準解説より</t>
        </r>
      </text>
    </comment>
    <comment ref="V565" authorId="1" shapeId="0">
      <text>
        <r>
          <rPr>
            <sz val="8"/>
            <color indexed="81"/>
            <rFont val="ＭＳ Ｐゴシック"/>
            <family val="3"/>
            <charset val="128"/>
          </rPr>
          <t>ｸﾚｰﾝ200ｔの場合の補正は固定資産評価基準解説より（20ｔを1.0として2.0）</t>
        </r>
      </text>
    </comment>
    <comment ref="W565" authorId="1" shapeId="0">
      <text>
        <r>
          <rPr>
            <sz val="8"/>
            <color indexed="81"/>
            <rFont val="ＭＳ Ｐゴシック"/>
            <family val="3"/>
            <charset val="128"/>
          </rPr>
          <t>20ｔに対し200tが2.0のところ、（10t:1.0、30t:1.1より）
20t：1.05のため、200tは2.0×1.05=2.10。</t>
        </r>
      </text>
    </comment>
  </commentList>
</comments>
</file>

<file path=xl/sharedStrings.xml><?xml version="1.0" encoding="utf-8"?>
<sst xmlns="http://schemas.openxmlformats.org/spreadsheetml/2006/main" count="11843" uniqueCount="2394">
  <si>
    <t>窓拭用ゴンドラ</t>
    <rPh sb="0" eb="2">
      <t>マドフ</t>
    </rPh>
    <rPh sb="2" eb="3">
      <t>ヨウ</t>
    </rPh>
    <phoneticPr fontId="8"/>
  </si>
  <si>
    <t>窓拭き用ゴンドラ・軒高</t>
    <rPh sb="0" eb="2">
      <t>マドフ</t>
    </rPh>
    <rPh sb="3" eb="4">
      <t>ヨウ</t>
    </rPh>
    <rPh sb="9" eb="10">
      <t>ノキ</t>
    </rPh>
    <rPh sb="10" eb="11">
      <t>タカ</t>
    </rPh>
    <phoneticPr fontId="8"/>
  </si>
  <si>
    <t>窓拭き用ゴンドラ・アームの形式</t>
    <rPh sb="0" eb="2">
      <t>マドフ</t>
    </rPh>
    <rPh sb="3" eb="4">
      <t>ヨウ</t>
    </rPh>
    <rPh sb="13" eb="15">
      <t>ケイシキ</t>
    </rPh>
    <phoneticPr fontId="8"/>
  </si>
  <si>
    <t>窓拭き用ゴンドラ・吊ワイヤロープ数</t>
    <rPh sb="0" eb="2">
      <t>マドフ</t>
    </rPh>
    <rPh sb="3" eb="4">
      <t>ヨウ</t>
    </rPh>
    <rPh sb="9" eb="10">
      <t>ツ</t>
    </rPh>
    <rPh sb="16" eb="17">
      <t>スウ</t>
    </rPh>
    <phoneticPr fontId="8"/>
  </si>
  <si>
    <t>窓拭き用ゴンドラ・走行レールの有無</t>
    <rPh sb="0" eb="2">
      <t>マドフ</t>
    </rPh>
    <rPh sb="3" eb="4">
      <t>ヨウ</t>
    </rPh>
    <rPh sb="9" eb="11">
      <t>ソウコウ</t>
    </rPh>
    <rPh sb="15" eb="17">
      <t>ウム</t>
    </rPh>
    <phoneticPr fontId="8"/>
  </si>
  <si>
    <t>［ゴンドラ］</t>
    <phoneticPr fontId="8"/>
  </si>
  <si>
    <t>迫出し式</t>
    <rPh sb="0" eb="1">
      <t>サコ</t>
    </rPh>
    <rPh sb="1" eb="2">
      <t>ダ</t>
    </rPh>
    <rPh sb="3" eb="4">
      <t>シキ</t>
    </rPh>
    <phoneticPr fontId="8"/>
  </si>
  <si>
    <t>俯仰式</t>
    <rPh sb="1" eb="2">
      <t>ギョウ</t>
    </rPh>
    <rPh sb="2" eb="3">
      <t>シキ</t>
    </rPh>
    <phoneticPr fontId="8"/>
  </si>
  <si>
    <t>固定式</t>
    <rPh sb="0" eb="3">
      <t>コテイシキ</t>
    </rPh>
    <phoneticPr fontId="8"/>
  </si>
  <si>
    <t>［主体・仮設・その他工事ＤＢ］</t>
    <rPh sb="1" eb="3">
      <t>シュタイ</t>
    </rPh>
    <rPh sb="4" eb="6">
      <t>カセツ</t>
    </rPh>
    <rPh sb="9" eb="10">
      <t>タ</t>
    </rPh>
    <rPh sb="10" eb="12">
      <t>コウジ</t>
    </rPh>
    <phoneticPr fontId="8"/>
  </si>
  <si>
    <t>［主体不明確補正］</t>
    <rPh sb="1" eb="3">
      <t>シュタイ</t>
    </rPh>
    <rPh sb="3" eb="6">
      <t>フメイカク</t>
    </rPh>
    <rPh sb="6" eb="8">
      <t>ホセイ</t>
    </rPh>
    <phoneticPr fontId="8"/>
  </si>
  <si>
    <t>階高</t>
  </si>
  <si>
    <t>柱間</t>
  </si>
  <si>
    <t>装備</t>
  </si>
  <si>
    <t>地階</t>
  </si>
  <si>
    <t>軒高</t>
  </si>
  <si>
    <t>Ｓ・規模の補正</t>
    <rPh sb="2" eb="4">
      <t>キボ</t>
    </rPh>
    <rPh sb="5" eb="7">
      <t>ホセイ</t>
    </rPh>
    <phoneticPr fontId="17"/>
  </si>
  <si>
    <t>増点</t>
  </si>
  <si>
    <t>標準</t>
  </si>
  <si>
    <t>減点</t>
  </si>
  <si>
    <t>上限</t>
    <rPh sb="0" eb="2">
      <t>ジョウゲン</t>
    </rPh>
    <phoneticPr fontId="8"/>
  </si>
  <si>
    <t>下限</t>
    <rPh sb="0" eb="2">
      <t>カゲン</t>
    </rPh>
    <phoneticPr fontId="8"/>
  </si>
  <si>
    <t>事務所・店舗・百貨店　鉄骨</t>
  </si>
  <si>
    <t>減点無</t>
  </si>
  <si>
    <t>古材</t>
    <rPh sb="0" eb="1">
      <t>フル</t>
    </rPh>
    <rPh sb="1" eb="2">
      <t>ザイ</t>
    </rPh>
    <phoneticPr fontId="8"/>
  </si>
  <si>
    <t>住宅・アパート　鉄骨</t>
  </si>
  <si>
    <t>病院・ホテル　鉄骨</t>
  </si>
  <si>
    <t>工場・倉庫・市場　鉄骨</t>
  </si>
  <si>
    <t>劇場型建物　鉄骨</t>
  </si>
  <si>
    <t>不能</t>
  </si>
  <si>
    <t>ＲＣ</t>
  </si>
  <si>
    <t>事務所・店舗・百貨店　鉄筋</t>
  </si>
  <si>
    <t>×</t>
    <phoneticPr fontId="8"/>
  </si>
  <si>
    <t>住宅・アパート　鉄筋</t>
  </si>
  <si>
    <t>病院・ホテル　鉄筋</t>
  </si>
  <si>
    <t>工場・倉庫・市場　鉄筋</t>
  </si>
  <si>
    <t>劇場型建物　鉄筋</t>
  </si>
  <si>
    <t>ＬＧＳ</t>
  </si>
  <si>
    <t>事務所・店舗・百貨店　軽量</t>
  </si>
  <si>
    <t>住宅・アパート　軽量</t>
  </si>
  <si>
    <t>病院・ホテル　軽量</t>
  </si>
  <si>
    <t>工場・倉庫・市場　軽量</t>
  </si>
  <si>
    <t>劇場型建物　軽量</t>
  </si>
  <si>
    <t>［主体明確補正］</t>
    <rPh sb="1" eb="3">
      <t>シュタイ</t>
    </rPh>
    <rPh sb="3" eb="5">
      <t>メイカク</t>
    </rPh>
    <rPh sb="5" eb="7">
      <t>ホセイ</t>
    </rPh>
    <phoneticPr fontId="17"/>
  </si>
  <si>
    <t>ＳＲＣ・工事形態</t>
    <rPh sb="4" eb="6">
      <t>コウジ</t>
    </rPh>
    <rPh sb="6" eb="8">
      <t>ケイタイ</t>
    </rPh>
    <phoneticPr fontId="17"/>
  </si>
  <si>
    <t>Ｓ・工事形態</t>
    <rPh sb="2" eb="4">
      <t>コウジ</t>
    </rPh>
    <rPh sb="4" eb="6">
      <t>ケイタイ</t>
    </rPh>
    <phoneticPr fontId="17"/>
  </si>
  <si>
    <t>ＲＣ・工事形態</t>
    <rPh sb="3" eb="5">
      <t>コウジ</t>
    </rPh>
    <rPh sb="5" eb="7">
      <t>ケイタイ</t>
    </rPh>
    <phoneticPr fontId="17"/>
  </si>
  <si>
    <t>LGS・工事形態</t>
    <rPh sb="4" eb="6">
      <t>コウジ</t>
    </rPh>
    <rPh sb="6" eb="8">
      <t>ケイタイ</t>
    </rPh>
    <phoneticPr fontId="17"/>
  </si>
  <si>
    <t>仮設工事</t>
    <rPh sb="0" eb="2">
      <t>カセツ</t>
    </rPh>
    <rPh sb="2" eb="4">
      <t>コウジ</t>
    </rPh>
    <phoneticPr fontId="17"/>
  </si>
  <si>
    <t>その他工事</t>
    <rPh sb="2" eb="3">
      <t>タ</t>
    </rPh>
    <rPh sb="3" eb="5">
      <t>コウジ</t>
    </rPh>
    <phoneticPr fontId="17"/>
  </si>
  <si>
    <t>［評価基準名称］</t>
    <rPh sb="1" eb="3">
      <t>ヒョウカ</t>
    </rPh>
    <rPh sb="3" eb="5">
      <t>キジュン</t>
    </rPh>
    <rPh sb="5" eb="7">
      <t>メイショウ</t>
    </rPh>
    <phoneticPr fontId="8"/>
  </si>
  <si>
    <t>複雑</t>
    <rPh sb="0" eb="2">
      <t>フクザツ</t>
    </rPh>
    <phoneticPr fontId="17"/>
  </si>
  <si>
    <t>普通</t>
    <rPh sb="0" eb="2">
      <t>フツウ</t>
    </rPh>
    <phoneticPr fontId="17"/>
  </si>
  <si>
    <t>劇場型建物</t>
  </si>
  <si>
    <t>－</t>
    <phoneticPr fontId="8"/>
  </si>
  <si>
    <t>↓</t>
    <phoneticPr fontId="8"/>
  </si>
  <si>
    <t>胴縁</t>
    <phoneticPr fontId="8"/>
  </si>
  <si>
    <t>㎡(胴縁㎡)÷</t>
    <phoneticPr fontId="8"/>
  </si>
  <si>
    <t>評 点 数</t>
    <phoneticPr fontId="8"/>
  </si>
  <si>
    <t>-</t>
    <phoneticPr fontId="8"/>
  </si>
  <si>
    <t>ｍ</t>
    <phoneticPr fontId="8"/>
  </si>
  <si>
    <t>1.00m</t>
    <phoneticPr fontId="8"/>
  </si>
  <si>
    <t>0.80m</t>
    <phoneticPr fontId="8"/>
  </si>
  <si>
    <t>cm</t>
    <phoneticPr fontId="8"/>
  </si>
  <si>
    <t>+</t>
    <phoneticPr fontId="19"/>
  </si>
  <si>
    <t>◆</t>
    <phoneticPr fontId="8"/>
  </si>
  <si>
    <t>種　　　類</t>
    <phoneticPr fontId="19"/>
  </si>
  <si>
    <t>(　　　　　　)</t>
    <phoneticPr fontId="8"/>
  </si>
  <si>
    <t>㎡</t>
    <phoneticPr fontId="8"/>
  </si>
  <si>
    <t>ｍ</t>
    <phoneticPr fontId="8"/>
  </si>
  <si>
    <t>㎡</t>
    <phoneticPr fontId="19"/>
  </si>
  <si>
    <t>●データベース(ＤＢ)</t>
    <phoneticPr fontId="8"/>
  </si>
  <si>
    <t>［ＵＢ］</t>
    <phoneticPr fontId="8"/>
  </si>
  <si>
    <t>［ＨＵＢ］</t>
    <phoneticPr fontId="8"/>
  </si>
  <si>
    <t>［ＵＳ］</t>
    <phoneticPr fontId="8"/>
  </si>
  <si>
    <t>ﾐﾆｼｽﾃﾑｷｯﾁﾝ</t>
    <phoneticPr fontId="8"/>
  </si>
  <si>
    <t>×</t>
    <phoneticPr fontId="8"/>
  </si>
  <si>
    <t>［ドレンチャー］</t>
    <phoneticPr fontId="8"/>
  </si>
  <si>
    <t>複雑</t>
    <phoneticPr fontId="8"/>
  </si>
  <si>
    <t>普通</t>
    <phoneticPr fontId="8"/>
  </si>
  <si>
    <t>－</t>
    <phoneticPr fontId="8"/>
  </si>
  <si>
    <t>［硝子名称］</t>
    <rPh sb="3" eb="5">
      <t>メイショウ</t>
    </rPh>
    <phoneticPr fontId="8"/>
  </si>
  <si>
    <t>－</t>
    <phoneticPr fontId="8"/>
  </si>
  <si>
    <t>－</t>
    <phoneticPr fontId="8"/>
  </si>
  <si>
    <t>（ｶﾞﾗｽ自由作成１）</t>
    <rPh sb="5" eb="7">
      <t>ジユウ</t>
    </rPh>
    <rPh sb="7" eb="9">
      <t>サクセイ</t>
    </rPh>
    <phoneticPr fontId="8"/>
  </si>
  <si>
    <t>（ｶﾞﾗｽ自由作成２）</t>
    <rPh sb="5" eb="7">
      <t>ジユウ</t>
    </rPh>
    <rPh sb="7" eb="9">
      <t>サクセイ</t>
    </rPh>
    <phoneticPr fontId="8"/>
  </si>
  <si>
    <t>特殊設備の評価計算</t>
    <rPh sb="0" eb="2">
      <t>トクシュ</t>
    </rPh>
    <rPh sb="2" eb="4">
      <t>セツビ</t>
    </rPh>
    <phoneticPr fontId="8"/>
  </si>
  <si>
    <t>評　点　項　目</t>
    <phoneticPr fontId="8"/>
  </si>
  <si>
    <t>［特殊設備名称］</t>
    <rPh sb="5" eb="7">
      <t>メイショウ</t>
    </rPh>
    <phoneticPr fontId="8"/>
  </si>
  <si>
    <t>.</t>
    <phoneticPr fontId="8"/>
  </si>
  <si>
    <t>劇場用特殊機器</t>
  </si>
  <si>
    <t>－</t>
    <phoneticPr fontId="8"/>
  </si>
  <si>
    <t>－</t>
    <phoneticPr fontId="8"/>
  </si>
  <si>
    <t>固定椅子 上</t>
  </si>
  <si>
    <t>固定椅子 中</t>
  </si>
  <si>
    <t>金庫扉丸型</t>
  </si>
  <si>
    <t>書庫扉</t>
  </si>
  <si>
    <t>造り付け家具 練付板</t>
  </si>
  <si>
    <t>造り付け家具 木製</t>
  </si>
  <si>
    <t>（特殊設備自由作成１）</t>
    <rPh sb="1" eb="3">
      <t>トクシュ</t>
    </rPh>
    <rPh sb="3" eb="5">
      <t>セツビ</t>
    </rPh>
    <rPh sb="5" eb="7">
      <t>ジユウ</t>
    </rPh>
    <rPh sb="7" eb="9">
      <t>サクセイ</t>
    </rPh>
    <phoneticPr fontId="8"/>
  </si>
  <si>
    <t>－</t>
    <phoneticPr fontId="8"/>
  </si>
  <si>
    <t>（特殊設備自由作成２）</t>
    <rPh sb="1" eb="3">
      <t>トクシュ</t>
    </rPh>
    <rPh sb="3" eb="5">
      <t>セツビ</t>
    </rPh>
    <rPh sb="5" eb="7">
      <t>ジユウ</t>
    </rPh>
    <rPh sb="7" eb="9">
      <t>サクセイ</t>
    </rPh>
    <phoneticPr fontId="8"/>
  </si>
  <si>
    <t xml:space="preserve"> 建　　具　　の　　明　　細 </t>
    <rPh sb="10" eb="11">
      <t>メイ</t>
    </rPh>
    <rPh sb="13" eb="14">
      <t>ホソ</t>
    </rPh>
    <phoneticPr fontId="19"/>
  </si>
  <si>
    <t>外 建 具</t>
  </si>
  <si>
    <t>名称</t>
    <rPh sb="0" eb="2">
      <t>メイショウ</t>
    </rPh>
    <phoneticPr fontId="19"/>
  </si>
  <si>
    <t>種類＋枠見込</t>
  </si>
  <si>
    <t>ガラス</t>
  </si>
  <si>
    <t>網戸</t>
  </si>
  <si>
    <t>大きさ(ｍ)</t>
  </si>
  <si>
    <t>枚数</t>
  </si>
  <si>
    <t>面積計(㎡)</t>
    <rPh sb="2" eb="3">
      <t>ケイ</t>
    </rPh>
    <phoneticPr fontId="19"/>
  </si>
  <si>
    <t>網戸</t>
    <rPh sb="0" eb="2">
      <t>アミド</t>
    </rPh>
    <phoneticPr fontId="19"/>
  </si>
  <si>
    <t>外部建具開口合計</t>
    <rPh sb="0" eb="1">
      <t>ガイ</t>
    </rPh>
    <rPh sb="1" eb="2">
      <t>ブ</t>
    </rPh>
    <rPh sb="4" eb="6">
      <t>カイコウ</t>
    </rPh>
    <phoneticPr fontId="19"/>
  </si>
  <si>
    <t>外部開口２</t>
    <rPh sb="0" eb="2">
      <t>ガイブ</t>
    </rPh>
    <rPh sb="2" eb="4">
      <t>カイコウ</t>
    </rPh>
    <phoneticPr fontId="19"/>
  </si>
  <si>
    <t>外部開口３</t>
    <rPh sb="0" eb="2">
      <t>ガイブ</t>
    </rPh>
    <rPh sb="2" eb="4">
      <t>カイコウ</t>
    </rPh>
    <phoneticPr fontId="19"/>
  </si>
  <si>
    <t>外部開口計</t>
    <rPh sb="0" eb="2">
      <t>ガイブ</t>
    </rPh>
    <rPh sb="2" eb="3">
      <t>カイ</t>
    </rPh>
    <rPh sb="3" eb="4">
      <t>クチ</t>
    </rPh>
    <rPh sb="4" eb="5">
      <t>ケイ</t>
    </rPh>
    <phoneticPr fontId="19"/>
  </si>
  <si>
    <t>内 建 具</t>
  </si>
  <si>
    <t>面積計(㎡)</t>
    <rPh sb="0" eb="2">
      <t>メンセキ</t>
    </rPh>
    <rPh sb="2" eb="3">
      <t>ケイ</t>
    </rPh>
    <phoneticPr fontId="19"/>
  </si>
  <si>
    <t>内部建具開口合計</t>
    <rPh sb="0" eb="1">
      <t>ナイ</t>
    </rPh>
    <rPh sb="1" eb="2">
      <t>ブ</t>
    </rPh>
    <rPh sb="4" eb="6">
      <t>カイコウ</t>
    </rPh>
    <phoneticPr fontId="19"/>
  </si>
  <si>
    <t>内部開口１</t>
    <rPh sb="0" eb="2">
      <t>ナイブ</t>
    </rPh>
    <rPh sb="2" eb="4">
      <t>カイコウ</t>
    </rPh>
    <phoneticPr fontId="19"/>
  </si>
  <si>
    <t>内部開口２</t>
    <rPh sb="0" eb="2">
      <t>ナイブ</t>
    </rPh>
    <rPh sb="2" eb="4">
      <t>カイコウ</t>
    </rPh>
    <phoneticPr fontId="19"/>
  </si>
  <si>
    <t>内部開口３</t>
    <rPh sb="0" eb="2">
      <t>ナイブ</t>
    </rPh>
    <rPh sb="2" eb="4">
      <t>カイコウ</t>
    </rPh>
    <phoneticPr fontId="19"/>
  </si>
  <si>
    <t>内部開口計</t>
    <rPh sb="0" eb="2">
      <t>ナイブ</t>
    </rPh>
    <rPh sb="2" eb="3">
      <t>カイ</t>
    </rPh>
    <rPh sb="3" eb="4">
      <t>クチ</t>
    </rPh>
    <rPh sb="4" eb="5">
      <t>ケイ</t>
    </rPh>
    <phoneticPr fontId="19"/>
  </si>
  <si>
    <t xml:space="preserve"> ガラス面積計</t>
    <rPh sb="4" eb="6">
      <t>メンセキ</t>
    </rPh>
    <rPh sb="6" eb="7">
      <t>ケイ</t>
    </rPh>
    <phoneticPr fontId="19"/>
  </si>
  <si>
    <t>建具総面積</t>
  </si>
  <si>
    <t>㎡</t>
    <phoneticPr fontId="19"/>
  </si>
  <si>
    <t>建具</t>
    <rPh sb="0" eb="2">
      <t>タテグ</t>
    </rPh>
    <phoneticPr fontId="19"/>
  </si>
  <si>
    <t>㎡</t>
    <phoneticPr fontId="19"/>
  </si>
  <si>
    <t>「建具の明細」ｼｰﾄの建具面積計</t>
    <rPh sb="1" eb="3">
      <t>タテグ</t>
    </rPh>
    <rPh sb="4" eb="6">
      <t>メイサイ</t>
    </rPh>
    <rPh sb="11" eb="13">
      <t>タテグ</t>
    </rPh>
    <rPh sb="13" eb="15">
      <t>メンセキ</t>
    </rPh>
    <rPh sb="15" eb="16">
      <t>ケイ</t>
    </rPh>
    <phoneticPr fontId="19"/>
  </si>
  <si>
    <t>硝子</t>
    <rPh sb="0" eb="2">
      <t>ガラス</t>
    </rPh>
    <phoneticPr fontId="19"/>
  </si>
  <si>
    <t>「建具」ｼｰﾄの建具面積計</t>
    <rPh sb="1" eb="3">
      <t>タテグ</t>
    </rPh>
    <rPh sb="8" eb="10">
      <t>タテグ</t>
    </rPh>
    <rPh sb="10" eb="12">
      <t>メンセキ</t>
    </rPh>
    <rPh sb="12" eb="13">
      <t>ケイ</t>
    </rPh>
    <phoneticPr fontId="19"/>
  </si>
  <si>
    <t>特殊設備</t>
    <rPh sb="0" eb="2">
      <t>トクシュ</t>
    </rPh>
    <rPh sb="2" eb="4">
      <t>セツビ</t>
    </rPh>
    <phoneticPr fontId="19"/>
  </si>
  <si>
    <t>1個当り㎡</t>
    <rPh sb="1" eb="2">
      <t>コ</t>
    </rPh>
    <phoneticPr fontId="19"/>
  </si>
  <si>
    <t>個数</t>
    <rPh sb="0" eb="2">
      <t>コスウ</t>
    </rPh>
    <phoneticPr fontId="19"/>
  </si>
  <si>
    <t>特殊設備合計</t>
    <rPh sb="0" eb="2">
      <t>トクシュ</t>
    </rPh>
    <rPh sb="2" eb="4">
      <t>セツビ</t>
    </rPh>
    <phoneticPr fontId="19"/>
  </si>
  <si>
    <t>「建具の明細」ｼｰﾄの特設面積計</t>
    <rPh sb="1" eb="3">
      <t>タテグ</t>
    </rPh>
    <rPh sb="4" eb="6">
      <t>メイサイ</t>
    </rPh>
    <rPh sb="11" eb="13">
      <t>トクセツ</t>
    </rPh>
    <rPh sb="13" eb="15">
      <t>メンセキ</t>
    </rPh>
    <rPh sb="15" eb="16">
      <t>ケイ</t>
    </rPh>
    <phoneticPr fontId="19"/>
  </si>
  <si>
    <t>「建具」ｼｰﾄの特殊設備面積計</t>
    <rPh sb="1" eb="3">
      <t>タテグ</t>
    </rPh>
    <rPh sb="8" eb="10">
      <t>トクシュ</t>
    </rPh>
    <rPh sb="10" eb="12">
      <t>セツビ</t>
    </rPh>
    <rPh sb="12" eb="14">
      <t>メンセキ</t>
    </rPh>
    <rPh sb="14" eb="15">
      <t>ケイ</t>
    </rPh>
    <phoneticPr fontId="19"/>
  </si>
  <si>
    <t>電気設備</t>
    <rPh sb="0" eb="2">
      <t>デンキ</t>
    </rPh>
    <rPh sb="2" eb="4">
      <t>セツビ</t>
    </rPh>
    <phoneticPr fontId="8"/>
  </si>
  <si>
    <t>衛生設備</t>
    <rPh sb="0" eb="2">
      <t>エイセイ</t>
    </rPh>
    <rPh sb="2" eb="4">
      <t>セツビ</t>
    </rPh>
    <phoneticPr fontId="8"/>
  </si>
  <si>
    <t>空調設備</t>
    <rPh sb="0" eb="2">
      <t>クウチョウ</t>
    </rPh>
    <rPh sb="2" eb="4">
      <t>セツビ</t>
    </rPh>
    <phoneticPr fontId="8"/>
  </si>
  <si>
    <t>防災設備</t>
    <rPh sb="0" eb="2">
      <t>ボウサイ</t>
    </rPh>
    <rPh sb="2" eb="4">
      <t>セツビ</t>
    </rPh>
    <phoneticPr fontId="8"/>
  </si>
  <si>
    <t>運搬設備</t>
    <rPh sb="0" eb="2">
      <t>ウンパン</t>
    </rPh>
    <rPh sb="2" eb="4">
      <t>セツビ</t>
    </rPh>
    <phoneticPr fontId="8"/>
  </si>
  <si>
    <t>◆建築設備</t>
    <rPh sb="1" eb="3">
      <t>ケンチク</t>
    </rPh>
    <rPh sb="3" eb="5">
      <t>セツビ</t>
    </rPh>
    <phoneticPr fontId="8"/>
  </si>
  <si>
    <t>（総合方式）</t>
    <phoneticPr fontId="8"/>
  </si>
  <si>
    <t>設備補正のルールについて</t>
    <rPh sb="0" eb="2">
      <t>セツビ</t>
    </rPh>
    <rPh sb="2" eb="4">
      <t>ホセイ</t>
    </rPh>
    <phoneticPr fontId="8"/>
  </si>
  <si>
    <t>取得者</t>
    <rPh sb="0" eb="3">
      <t>シュトクシャ</t>
    </rPh>
    <phoneticPr fontId="8"/>
  </si>
  <si>
    <t>評価基準</t>
    <rPh sb="0" eb="2">
      <t>ヒョウカ</t>
    </rPh>
    <rPh sb="2" eb="4">
      <t>キジュン</t>
    </rPh>
    <phoneticPr fontId="8"/>
  </si>
  <si>
    <t>㎡</t>
    <phoneticPr fontId="8"/>
  </si>
  <si>
    <t>電気設備</t>
    <rPh sb="0" eb="1">
      <t>デン</t>
    </rPh>
    <rPh sb="1" eb="2">
      <t>キ</t>
    </rPh>
    <rPh sb="2" eb="3">
      <t>セツ</t>
    </rPh>
    <rPh sb="3" eb="4">
      <t>ソナエ</t>
    </rPh>
    <phoneticPr fontId="8"/>
  </si>
  <si>
    <t>標準評点数</t>
    <rPh sb="0" eb="2">
      <t>ヒョウジュン</t>
    </rPh>
    <rPh sb="2" eb="3">
      <t>ヒョウ</t>
    </rPh>
    <rPh sb="3" eb="5">
      <t>テンスウ</t>
    </rPh>
    <phoneticPr fontId="8"/>
  </si>
  <si>
    <t>補　　正　　項　　目</t>
    <rPh sb="0" eb="1">
      <t>タスク</t>
    </rPh>
    <rPh sb="3" eb="4">
      <t>セイ</t>
    </rPh>
    <rPh sb="6" eb="7">
      <t>コウ</t>
    </rPh>
    <rPh sb="9" eb="10">
      <t>メ</t>
    </rPh>
    <phoneticPr fontId="8"/>
  </si>
  <si>
    <t>評点数</t>
    <rPh sb="0" eb="2">
      <t>ヒョウテン</t>
    </rPh>
    <rPh sb="2" eb="3">
      <t>スウ</t>
    </rPh>
    <phoneticPr fontId="9"/>
  </si>
  <si>
    <t>計算単位</t>
    <rPh sb="0" eb="2">
      <t>ケイサン</t>
    </rPh>
    <rPh sb="2" eb="4">
      <t>タンイ</t>
    </rPh>
    <phoneticPr fontId="9"/>
  </si>
  <si>
    <t>ポンプ</t>
    <phoneticPr fontId="8"/>
  </si>
  <si>
    <t>空調</t>
    <rPh sb="0" eb="2">
      <t>クウチョウ</t>
    </rPh>
    <phoneticPr fontId="8"/>
  </si>
  <si>
    <t>動力配線
(住・ア)</t>
    <rPh sb="0" eb="2">
      <t>ドウリョク</t>
    </rPh>
    <rPh sb="2" eb="4">
      <t>ハイセン</t>
    </rPh>
    <rPh sb="6" eb="7">
      <t>ジュウ</t>
    </rPh>
    <phoneticPr fontId="8"/>
  </si>
  <si>
    <t>動力容量</t>
    <rPh sb="0" eb="2">
      <t>ドウリョク</t>
    </rPh>
    <rPh sb="2" eb="4">
      <t>ヨウリョウ</t>
    </rPh>
    <phoneticPr fontId="8"/>
  </si>
  <si>
    <t>㎡</t>
    <phoneticPr fontId="8"/>
  </si>
  <si>
    <t>配置</t>
    <rPh sb="0" eb="2">
      <t>ハイチ</t>
    </rPh>
    <phoneticPr fontId="8"/>
  </si>
  <si>
    <t>個/㎡</t>
    <rPh sb="0" eb="1">
      <t>コ</t>
    </rPh>
    <phoneticPr fontId="8"/>
  </si>
  <si>
    <t>(対象床㎡)</t>
    <rPh sb="1" eb="3">
      <t>タイショウ</t>
    </rPh>
    <rPh sb="3" eb="4">
      <t>ユカ</t>
    </rPh>
    <phoneticPr fontId="8"/>
  </si>
  <si>
    <t>標準</t>
    <rPh sb="0" eb="2">
      <t>ヒョウジュン</t>
    </rPh>
    <phoneticPr fontId="8"/>
  </si>
  <si>
    <t>減点</t>
    <rPh sb="0" eb="2">
      <t>ゲンテン</t>
    </rPh>
    <phoneticPr fontId="8"/>
  </si>
  <si>
    <t>－</t>
    <phoneticPr fontId="8"/>
  </si>
  <si>
    <t>評 点 数</t>
    <phoneticPr fontId="8"/>
  </si>
  <si>
    <t>　場所打コンクリート杭</t>
    <rPh sb="1" eb="3">
      <t>バショ</t>
    </rPh>
    <rPh sb="3" eb="4">
      <t>ウチ</t>
    </rPh>
    <rPh sb="10" eb="11">
      <t>クイ</t>
    </rPh>
    <phoneticPr fontId="8"/>
  </si>
  <si>
    <t>cm</t>
    <phoneticPr fontId="8"/>
  </si>
  <si>
    <t>ｍ</t>
    <phoneticPr fontId="8"/>
  </si>
  <si>
    <t>－</t>
    <phoneticPr fontId="8"/>
  </si>
  <si>
    <t>電話配線</t>
    <rPh sb="0" eb="2">
      <t>デンワ</t>
    </rPh>
    <rPh sb="2" eb="4">
      <t>ハイセン</t>
    </rPh>
    <phoneticPr fontId="8"/>
  </si>
  <si>
    <t>接続口数</t>
    <rPh sb="0" eb="3">
      <t>セツゾクグチ</t>
    </rPh>
    <rPh sb="3" eb="4">
      <t>スウ</t>
    </rPh>
    <phoneticPr fontId="8"/>
  </si>
  <si>
    <t>(組数)</t>
    <rPh sb="1" eb="3">
      <t>クミスウ</t>
    </rPh>
    <phoneticPr fontId="8"/>
  </si>
  <si>
    <t>組</t>
    <rPh sb="0" eb="1">
      <t>クミ</t>
    </rPh>
    <phoneticPr fontId="8"/>
  </si>
  <si>
    <t>(駐車場㎡)</t>
    <rPh sb="1" eb="4">
      <t>チュウシャジョウ</t>
    </rPh>
    <phoneticPr fontId="8"/>
  </si>
  <si>
    <t>自 動 車
管制装置</t>
    <rPh sb="0" eb="1">
      <t>ジ</t>
    </rPh>
    <rPh sb="2" eb="3">
      <t>ドウ</t>
    </rPh>
    <rPh sb="4" eb="5">
      <t>クルマ</t>
    </rPh>
    <rPh sb="6" eb="8">
      <t>カンセイ</t>
    </rPh>
    <rPh sb="8" eb="10">
      <t>ソウチ</t>
    </rPh>
    <phoneticPr fontId="8"/>
  </si>
  <si>
    <t>駐車場
規　 模</t>
    <rPh sb="0" eb="3">
      <t>チュウシャジョウ</t>
    </rPh>
    <rPh sb="4" eb="5">
      <t>キ</t>
    </rPh>
    <rPh sb="7" eb="8">
      <t>ボ</t>
    </rPh>
    <phoneticPr fontId="8"/>
  </si>
  <si>
    <t>㎡</t>
    <phoneticPr fontId="8"/>
  </si>
  <si>
    <t>(台数)</t>
    <rPh sb="1" eb="3">
      <t>ダイスウ</t>
    </rPh>
    <phoneticPr fontId="8"/>
  </si>
  <si>
    <t>台</t>
    <rPh sb="0" eb="1">
      <t>ダイ</t>
    </rPh>
    <phoneticPr fontId="8"/>
  </si>
  <si>
    <t>拡 声 器
配　　線</t>
    <rPh sb="0" eb="1">
      <t>ヒロム</t>
    </rPh>
    <rPh sb="2" eb="3">
      <t>コエ</t>
    </rPh>
    <rPh sb="4" eb="5">
      <t>ウツワ</t>
    </rPh>
    <rPh sb="6" eb="7">
      <t>クバ</t>
    </rPh>
    <rPh sb="9" eb="10">
      <t>セン</t>
    </rPh>
    <phoneticPr fontId="8"/>
  </si>
  <si>
    <t>器具数</t>
    <rPh sb="0" eb="2">
      <t>キグ</t>
    </rPh>
    <rPh sb="2" eb="3">
      <t>スウ</t>
    </rPh>
    <phoneticPr fontId="8"/>
  </si>
  <si>
    <t>対象床面積</t>
    <rPh sb="0" eb="2">
      <t>タイショウ</t>
    </rPh>
    <rPh sb="2" eb="3">
      <t>ユカ</t>
    </rPh>
    <rPh sb="3" eb="5">
      <t>メンセキ</t>
    </rPh>
    <phoneticPr fontId="8"/>
  </si>
  <si>
    <t>㎡/個</t>
    <rPh sb="2" eb="3">
      <t>コ</t>
    </rPh>
    <phoneticPr fontId="8"/>
  </si>
  <si>
    <t>ＴＶ共同聴視設備</t>
    <rPh sb="2" eb="4">
      <t>キョウドウ</t>
    </rPh>
    <rPh sb="4" eb="6">
      <t>チョウシ</t>
    </rPh>
    <rPh sb="6" eb="8">
      <t>セツビ</t>
    </rPh>
    <phoneticPr fontId="8"/>
  </si>
  <si>
    <t>総体的</t>
    <rPh sb="0" eb="3">
      <t>ソウタイテキ</t>
    </rPh>
    <phoneticPr fontId="8"/>
  </si>
  <si>
    <t>方式</t>
    <rPh sb="0" eb="2">
      <t>ホウシキ</t>
    </rPh>
    <phoneticPr fontId="8"/>
  </si>
  <si>
    <t>設置箇所</t>
    <rPh sb="0" eb="2">
      <t>セッチ</t>
    </rPh>
    <rPh sb="2" eb="4">
      <t>カショ</t>
    </rPh>
    <phoneticPr fontId="8"/>
  </si>
  <si>
    <t>局所的</t>
    <rPh sb="0" eb="3">
      <t>キョクショテキ</t>
    </rPh>
    <phoneticPr fontId="8"/>
  </si>
  <si>
    <t>台数</t>
    <rPh sb="0" eb="2">
      <t>ダイスウ</t>
    </rPh>
    <phoneticPr fontId="8"/>
  </si>
  <si>
    <t>組数</t>
    <rPh sb="0" eb="2">
      <t>クミスウ</t>
    </rPh>
    <phoneticPr fontId="8"/>
  </si>
  <si>
    <t>台/組</t>
    <rPh sb="0" eb="1">
      <t>ダイ</t>
    </rPh>
    <rPh sb="2" eb="3">
      <t>クミ</t>
    </rPh>
    <phoneticPr fontId="8"/>
  </si>
  <si>
    <t>衛生設備</t>
    <rPh sb="0" eb="1">
      <t>マモル</t>
    </rPh>
    <rPh sb="1" eb="2">
      <t>ショウ</t>
    </rPh>
    <rPh sb="2" eb="3">
      <t>セツ</t>
    </rPh>
    <rPh sb="3" eb="4">
      <t>ソナエ</t>
    </rPh>
    <phoneticPr fontId="8"/>
  </si>
  <si>
    <t>管材</t>
    <rPh sb="0" eb="1">
      <t>カン</t>
    </rPh>
    <rPh sb="1" eb="2">
      <t>ザイ</t>
    </rPh>
    <phoneticPr fontId="8"/>
  </si>
  <si>
    <t>中 央 式
給　　湯</t>
    <rPh sb="0" eb="1">
      <t>ナカ</t>
    </rPh>
    <rPh sb="2" eb="3">
      <t>ヒサシ</t>
    </rPh>
    <rPh sb="4" eb="5">
      <t>シキ</t>
    </rPh>
    <rPh sb="6" eb="7">
      <t>キュウ</t>
    </rPh>
    <rPh sb="9" eb="10">
      <t>ユ</t>
    </rPh>
    <phoneticPr fontId="8"/>
  </si>
  <si>
    <t>㎡</t>
    <phoneticPr fontId="8"/>
  </si>
  <si>
    <t>(個数)</t>
    <rPh sb="1" eb="3">
      <t>コスウ</t>
    </rPh>
    <phoneticPr fontId="8"/>
  </si>
  <si>
    <t>大きさ</t>
    <rPh sb="0" eb="1">
      <t>オオ</t>
    </rPh>
    <phoneticPr fontId="8"/>
  </si>
  <si>
    <t>個</t>
    <rPh sb="0" eb="1">
      <t>コ</t>
    </rPh>
    <phoneticPr fontId="8"/>
  </si>
  <si>
    <t>←縦幅</t>
    <phoneticPr fontId="8"/>
  </si>
  <si>
    <t>ﾊ　ｰ　ﾌ
ﾕﾆｯﾄﾊﾞｽ</t>
    <phoneticPr fontId="8"/>
  </si>
  <si>
    <t>浴室換気乾燥機</t>
    <rPh sb="0" eb="2">
      <t>ヨクシツ</t>
    </rPh>
    <rPh sb="2" eb="4">
      <t>カンキ</t>
    </rPh>
    <rPh sb="4" eb="7">
      <t>カンソウキ</t>
    </rPh>
    <phoneticPr fontId="8"/>
  </si>
  <si>
    <t>ﾕﾆｯﾄｼｬﾜｰ</t>
    <phoneticPr fontId="8"/>
  </si>
  <si>
    <t>号数</t>
    <rPh sb="0" eb="2">
      <t>ゴウスウ</t>
    </rPh>
    <phoneticPr fontId="8"/>
  </si>
  <si>
    <t>給湯器
(貯湯式)</t>
    <rPh sb="0" eb="3">
      <t>キュウトウキ</t>
    </rPh>
    <rPh sb="5" eb="6">
      <t>チョ</t>
    </rPh>
    <rPh sb="6" eb="7">
      <t>ユ</t>
    </rPh>
    <rPh sb="7" eb="8">
      <t>シキ</t>
    </rPh>
    <phoneticPr fontId="8"/>
  </si>
  <si>
    <t>容量</t>
    <rPh sb="0" eb="2">
      <t>ヨウリョウ</t>
    </rPh>
    <phoneticPr fontId="8"/>
  </si>
  <si>
    <t>階層数</t>
    <rPh sb="0" eb="3">
      <t>カイソウスウ</t>
    </rPh>
    <phoneticPr fontId="8"/>
  </si>
  <si>
    <t>（対象床㎡）</t>
    <rPh sb="1" eb="3">
      <t>タイショウ</t>
    </rPh>
    <rPh sb="3" eb="4">
      <t>ユカ</t>
    </rPh>
    <phoneticPr fontId="8"/>
  </si>
  <si>
    <t>中央熱源方式</t>
    <rPh sb="0" eb="2">
      <t>チュウオウ</t>
    </rPh>
    <rPh sb="2" eb="4">
      <t>ネツゲン</t>
    </rPh>
    <rPh sb="4" eb="6">
      <t>ホウシキ</t>
    </rPh>
    <phoneticPr fontId="8"/>
  </si>
  <si>
    <t>ﾍﾟﾘﾒｰﾀｰﾌｧﾝｺｲﾙ有無</t>
    <rPh sb="13" eb="15">
      <t>ウム</t>
    </rPh>
    <phoneticPr fontId="8"/>
  </si>
  <si>
    <t>冷房能力
の大小</t>
    <rPh sb="0" eb="2">
      <t>レイボウ</t>
    </rPh>
    <rPh sb="2" eb="4">
      <t>ノウリョク</t>
    </rPh>
    <rPh sb="6" eb="8">
      <t>ダイショウ</t>
    </rPh>
    <phoneticPr fontId="8"/>
  </si>
  <si>
    <t>ゾーニング
の大小</t>
    <rPh sb="7" eb="9">
      <t>ダイショウ</t>
    </rPh>
    <phoneticPr fontId="8"/>
  </si>
  <si>
    <t>配管</t>
    <rPh sb="0" eb="2">
      <t>ハイカン</t>
    </rPh>
    <phoneticPr fontId="8"/>
  </si>
  <si>
    <t>ダクト方式</t>
    <rPh sb="3" eb="5">
      <t>ホウシキ</t>
    </rPh>
    <phoneticPr fontId="8"/>
  </si>
  <si>
    <t>制御方式
の程度</t>
    <rPh sb="0" eb="2">
      <t>セイギョ</t>
    </rPh>
    <rPh sb="2" eb="4">
      <t>ホウシキ</t>
    </rPh>
    <rPh sb="6" eb="8">
      <t>テイド</t>
    </rPh>
    <phoneticPr fontId="8"/>
  </si>
  <si>
    <t>冷房能力
計算値</t>
    <rPh sb="0" eb="2">
      <t>レイボウ</t>
    </rPh>
    <rPh sb="2" eb="4">
      <t>ノウリョク</t>
    </rPh>
    <rPh sb="5" eb="8">
      <t>ケイサンチ</t>
    </rPh>
    <phoneticPr fontId="8"/>
  </si>
  <si>
    <t>冷房能力</t>
    <rPh sb="0" eb="2">
      <t>レイボウ</t>
    </rPh>
    <rPh sb="2" eb="4">
      <t>ノウリョク</t>
    </rPh>
    <phoneticPr fontId="8"/>
  </si>
  <si>
    <t>(冷房能力)÷</t>
    <rPh sb="1" eb="3">
      <t>レイボウ</t>
    </rPh>
    <rPh sb="3" eb="5">
      <t>ノウリョク</t>
    </rPh>
    <phoneticPr fontId="8"/>
  </si>
  <si>
    <t>(対象床㎡)＝</t>
    <rPh sb="1" eb="3">
      <t>タイショウ</t>
    </rPh>
    <rPh sb="3" eb="4">
      <t>ユカ</t>
    </rPh>
    <phoneticPr fontId="8"/>
  </si>
  <si>
    <t>/㎡</t>
    <phoneticPr fontId="8"/>
  </si>
  <si>
    <t>ゾーニングの大小</t>
    <rPh sb="6" eb="8">
      <t>ダイショウ</t>
    </rPh>
    <phoneticPr fontId="8"/>
  </si>
  <si>
    <t>(対象床㎡)÷</t>
    <rPh sb="1" eb="3">
      <t>タイショウ</t>
    </rPh>
    <rPh sb="3" eb="4">
      <t>ユカ</t>
    </rPh>
    <phoneticPr fontId="8"/>
  </si>
  <si>
    <t>系統(ｿﾞｰﾆﾝｸﾞ数)＝</t>
    <rPh sb="0" eb="2">
      <t>ケイトウ</t>
    </rPh>
    <rPh sb="10" eb="11">
      <t>スウ</t>
    </rPh>
    <phoneticPr fontId="8"/>
  </si>
  <si>
    <t>(1系統面積)</t>
    <rPh sb="2" eb="4">
      <t>ケイトウ</t>
    </rPh>
    <rPh sb="4" eb="6">
      <t>メンセキ</t>
    </rPh>
    <phoneticPr fontId="8"/>
  </si>
  <si>
    <t>個別空調方式</t>
    <rPh sb="0" eb="2">
      <t>コベツ</t>
    </rPh>
    <rPh sb="2" eb="4">
      <t>クウチョウ</t>
    </rPh>
    <rPh sb="4" eb="6">
      <t>ホウシキ</t>
    </rPh>
    <phoneticPr fontId="8"/>
  </si>
  <si>
    <t>換気の程度</t>
    <rPh sb="0" eb="2">
      <t>カンキ</t>
    </rPh>
    <rPh sb="3" eb="5">
      <t>テイド</t>
    </rPh>
    <phoneticPr fontId="8"/>
  </si>
  <si>
    <t>中央熱源直接暖房</t>
    <rPh sb="0" eb="2">
      <t>チュウオウ</t>
    </rPh>
    <rPh sb="2" eb="4">
      <t>ネツゲン</t>
    </rPh>
    <rPh sb="4" eb="6">
      <t>チョクセツ</t>
    </rPh>
    <rPh sb="6" eb="8">
      <t>ダンボウ</t>
    </rPh>
    <phoneticPr fontId="8"/>
  </si>
  <si>
    <t>型式</t>
    <rPh sb="0" eb="2">
      <t>ケイシキ</t>
    </rPh>
    <phoneticPr fontId="8"/>
  </si>
  <si>
    <t>中央熱源
温風暖房</t>
    <rPh sb="0" eb="2">
      <t>チュウオウ</t>
    </rPh>
    <rPh sb="2" eb="4">
      <t>ネツゲン</t>
    </rPh>
    <rPh sb="5" eb="7">
      <t>オンプウ</t>
    </rPh>
    <rPh sb="7" eb="9">
      <t>ダンボウ</t>
    </rPh>
    <phoneticPr fontId="8"/>
  </si>
  <si>
    <t>ダクト有無</t>
    <rPh sb="3" eb="5">
      <t>ウム</t>
    </rPh>
    <phoneticPr fontId="8"/>
  </si>
  <si>
    <t>床 暖 房</t>
    <rPh sb="0" eb="1">
      <t>ユカ</t>
    </rPh>
    <rPh sb="2" eb="3">
      <t>ダン</t>
    </rPh>
    <rPh sb="4" eb="5">
      <t>フサ</t>
    </rPh>
    <phoneticPr fontId="8"/>
  </si>
  <si>
    <t>㎡</t>
    <phoneticPr fontId="8"/>
  </si>
  <si>
    <t>換気設備</t>
    <rPh sb="0" eb="2">
      <t>カンキ</t>
    </rPh>
    <rPh sb="2" eb="4">
      <t>セツビ</t>
    </rPh>
    <phoneticPr fontId="8"/>
  </si>
  <si>
    <t>機能</t>
    <rPh sb="0" eb="2">
      <t>キノウ</t>
    </rPh>
    <phoneticPr fontId="8"/>
  </si>
  <si>
    <t>送風機の
種類</t>
    <rPh sb="0" eb="3">
      <t>ソウフウキ</t>
    </rPh>
    <rPh sb="5" eb="7">
      <t>シュルイ</t>
    </rPh>
    <phoneticPr fontId="8"/>
  </si>
  <si>
    <t>ダクト</t>
    <phoneticPr fontId="8"/>
  </si>
  <si>
    <t>（延床㎡）</t>
    <rPh sb="1" eb="2">
      <t>ノベ</t>
    </rPh>
    <rPh sb="2" eb="3">
      <t>ユカ</t>
    </rPh>
    <phoneticPr fontId="8"/>
  </si>
  <si>
    <t>換気扇</t>
    <rPh sb="0" eb="3">
      <t>カンキセン</t>
    </rPh>
    <phoneticPr fontId="8"/>
  </si>
  <si>
    <t>ﾚﾝｼﾞ
ﾌｰﾄﾞ</t>
    <phoneticPr fontId="8"/>
  </si>
  <si>
    <t>口</t>
    <rPh sb="0" eb="1">
      <t>クチ</t>
    </rPh>
    <phoneticPr fontId="8"/>
  </si>
  <si>
    <t>附室
排煙</t>
    <rPh sb="0" eb="1">
      <t>フ</t>
    </rPh>
    <rPh sb="1" eb="2">
      <t>シツ</t>
    </rPh>
    <rPh sb="3" eb="5">
      <t>ハイエン</t>
    </rPh>
    <phoneticPr fontId="8"/>
  </si>
  <si>
    <t>ﾍﾞﾝﾁﾚｰﾀｰ</t>
    <phoneticPr fontId="8"/>
  </si>
  <si>
    <t>換気口内径</t>
    <rPh sb="0" eb="3">
      <t>カンキコウ</t>
    </rPh>
    <rPh sb="3" eb="5">
      <t>ナイケイ</t>
    </rPh>
    <phoneticPr fontId="8"/>
  </si>
  <si>
    <t>換気方式</t>
    <rPh sb="0" eb="2">
      <t>カンキ</t>
    </rPh>
    <rPh sb="2" eb="4">
      <t>ホウシキ</t>
    </rPh>
    <phoneticPr fontId="8"/>
  </si>
  <si>
    <t>火災報知</t>
    <rPh sb="0" eb="2">
      <t>カサイ</t>
    </rPh>
    <rPh sb="2" eb="4">
      <t>ホウチ</t>
    </rPh>
    <phoneticPr fontId="8"/>
  </si>
  <si>
    <t>㎡</t>
    <phoneticPr fontId="8"/>
  </si>
  <si>
    <t>感知方式</t>
    <rPh sb="0" eb="2">
      <t>カンチ</t>
    </rPh>
    <rPh sb="2" eb="4">
      <t>ホウシキ</t>
    </rPh>
    <phoneticPr fontId="8"/>
  </si>
  <si>
    <t>間仕切</t>
    <rPh sb="0" eb="3">
      <t>マジキ</t>
    </rPh>
    <phoneticPr fontId="8"/>
  </si>
  <si>
    <t>(基数)</t>
    <rPh sb="1" eb="3">
      <t>キスウ</t>
    </rPh>
    <phoneticPr fontId="8"/>
  </si>
  <si>
    <t>避雷設備</t>
    <rPh sb="0" eb="2">
      <t>ヒライ</t>
    </rPh>
    <rPh sb="2" eb="4">
      <t>セツビ</t>
    </rPh>
    <phoneticPr fontId="8"/>
  </si>
  <si>
    <t>避雷
突針</t>
    <rPh sb="0" eb="2">
      <t>ヒライ</t>
    </rPh>
    <rPh sb="3" eb="4">
      <t>トツ</t>
    </rPh>
    <rPh sb="4" eb="5">
      <t>シン</t>
    </rPh>
    <phoneticPr fontId="8"/>
  </si>
  <si>
    <t>突針数</t>
    <rPh sb="0" eb="1">
      <t>トツ</t>
    </rPh>
    <rPh sb="1" eb="2">
      <t>ハリ</t>
    </rPh>
    <rPh sb="2" eb="3">
      <t>カズ</t>
    </rPh>
    <phoneticPr fontId="8"/>
  </si>
  <si>
    <t>基</t>
    <rPh sb="0" eb="1">
      <t>キ</t>
    </rPh>
    <phoneticPr fontId="8"/>
  </si>
  <si>
    <t>建物の高さ</t>
    <rPh sb="0" eb="2">
      <t>タテモノ</t>
    </rPh>
    <rPh sb="3" eb="4">
      <t>タカ</t>
    </rPh>
    <phoneticPr fontId="8"/>
  </si>
  <si>
    <t>(導体ｍ)</t>
    <rPh sb="1" eb="3">
      <t>ドウタイ</t>
    </rPh>
    <phoneticPr fontId="8"/>
  </si>
  <si>
    <t>避雷
導体</t>
    <rPh sb="0" eb="2">
      <t>ヒライ</t>
    </rPh>
    <rPh sb="3" eb="5">
      <t>ドウタイ</t>
    </rPh>
    <phoneticPr fontId="8"/>
  </si>
  <si>
    <t>消火栓</t>
    <rPh sb="0" eb="3">
      <t>ショウカセン</t>
    </rPh>
    <phoneticPr fontId="8"/>
  </si>
  <si>
    <t>ﾄﾞﾚﾝﾁｬｰ</t>
    <phoneticPr fontId="8"/>
  </si>
  <si>
    <t>ヘッド数</t>
    <rPh sb="3" eb="4">
      <t>スウ</t>
    </rPh>
    <phoneticPr fontId="8"/>
  </si>
  <si>
    <t>(対象容積)</t>
    <rPh sb="1" eb="3">
      <t>タイショウ</t>
    </rPh>
    <rPh sb="3" eb="5">
      <t>ヨウセキ</t>
    </rPh>
    <phoneticPr fontId="8"/>
  </si>
  <si>
    <t>不 活 性
ガス消火</t>
    <rPh sb="0" eb="1">
      <t>フ</t>
    </rPh>
    <rPh sb="2" eb="3">
      <t>カツ</t>
    </rPh>
    <rPh sb="4" eb="5">
      <t>セイ</t>
    </rPh>
    <rPh sb="8" eb="10">
      <t>ショウカ</t>
    </rPh>
    <phoneticPr fontId="8"/>
  </si>
  <si>
    <t>泡 消 火</t>
    <rPh sb="0" eb="1">
      <t>アワ</t>
    </rPh>
    <rPh sb="2" eb="3">
      <t>ケ</t>
    </rPh>
    <rPh sb="4" eb="5">
      <t>ヒ</t>
    </rPh>
    <phoneticPr fontId="8"/>
  </si>
  <si>
    <t>㎡</t>
    <phoneticPr fontId="8"/>
  </si>
  <si>
    <t>ｽﾌﾟﾘﾝｸﾗｰ</t>
    <phoneticPr fontId="8"/>
  </si>
  <si>
    <t>(卓子数)</t>
    <rPh sb="1" eb="3">
      <t>タクコ</t>
    </rPh>
    <rPh sb="3" eb="4">
      <t>カズ</t>
    </rPh>
    <phoneticPr fontId="8"/>
  </si>
  <si>
    <t>気 送 管</t>
    <rPh sb="0" eb="1">
      <t>キ</t>
    </rPh>
    <rPh sb="2" eb="3">
      <t>ソウ</t>
    </rPh>
    <rPh sb="4" eb="5">
      <t>カン</t>
    </rPh>
    <phoneticPr fontId="8"/>
  </si>
  <si>
    <t>制御方式</t>
    <rPh sb="0" eb="2">
      <t>セイギョ</t>
    </rPh>
    <rPh sb="2" eb="4">
      <t>ホウシキ</t>
    </rPh>
    <phoneticPr fontId="8"/>
  </si>
  <si>
    <t>卓子</t>
    <rPh sb="0" eb="2">
      <t>タクコ</t>
    </rPh>
    <phoneticPr fontId="8"/>
  </si>
  <si>
    <t>気送管径</t>
    <rPh sb="0" eb="3">
      <t>キソウカン</t>
    </rPh>
    <rPh sb="3" eb="4">
      <t>ケイ</t>
    </rPh>
    <phoneticPr fontId="8"/>
  </si>
  <si>
    <t>乗用規格
型
ｴﾚﾍﾞｰﾀｰ</t>
    <rPh sb="0" eb="1">
      <t>ジョウ</t>
    </rPh>
    <rPh sb="1" eb="2">
      <t>ヨウ</t>
    </rPh>
    <rPh sb="2" eb="3">
      <t>タダシ</t>
    </rPh>
    <rPh sb="3" eb="4">
      <t>カク</t>
    </rPh>
    <rPh sb="5" eb="6">
      <t>ガタ</t>
    </rPh>
    <phoneticPr fontId="8"/>
  </si>
  <si>
    <t>積載量</t>
    <rPh sb="0" eb="3">
      <t>セキサイリョウ</t>
    </rPh>
    <phoneticPr fontId="8"/>
  </si>
  <si>
    <t>着床数</t>
    <rPh sb="0" eb="2">
      <t>チャクショウ</t>
    </rPh>
    <rPh sb="2" eb="3">
      <t>スウ</t>
    </rPh>
    <phoneticPr fontId="8"/>
  </si>
  <si>
    <t>速度</t>
    <rPh sb="0" eb="2">
      <t>ソクド</t>
    </rPh>
    <phoneticPr fontId="8"/>
  </si>
  <si>
    <t>並列運転数</t>
    <rPh sb="0" eb="2">
      <t>ヘイレツ</t>
    </rPh>
    <rPh sb="2" eb="4">
      <t>ウンテン</t>
    </rPh>
    <rPh sb="4" eb="5">
      <t>スウ</t>
    </rPh>
    <phoneticPr fontId="8"/>
  </si>
  <si>
    <t>乗用中速
特注型
ｴﾚﾍﾞｰﾀｰ</t>
    <rPh sb="0" eb="1">
      <t>ジョウ</t>
    </rPh>
    <rPh sb="1" eb="2">
      <t>ヨウ</t>
    </rPh>
    <rPh sb="2" eb="3">
      <t>チュウ</t>
    </rPh>
    <rPh sb="3" eb="4">
      <t>ソク</t>
    </rPh>
    <rPh sb="5" eb="6">
      <t>トク</t>
    </rPh>
    <rPh sb="6" eb="7">
      <t>チュウ</t>
    </rPh>
    <rPh sb="7" eb="8">
      <t>ガタ</t>
    </rPh>
    <phoneticPr fontId="8"/>
  </si>
  <si>
    <t>非常用仕様</t>
    <rPh sb="0" eb="3">
      <t>ヒジョウヨウ</t>
    </rPh>
    <rPh sb="3" eb="5">
      <t>シヨウ</t>
    </rPh>
    <phoneticPr fontId="8"/>
  </si>
  <si>
    <t>乗　　用
高速特注
ｲﾝﾊﾞｰﾀ型
ｴﾚﾍﾞｰﾀｰ</t>
    <rPh sb="0" eb="1">
      <t>ジョウ</t>
    </rPh>
    <rPh sb="3" eb="4">
      <t>ヨウ</t>
    </rPh>
    <rPh sb="5" eb="7">
      <t>コウソク</t>
    </rPh>
    <rPh sb="7" eb="9">
      <t>トクチュウ</t>
    </rPh>
    <rPh sb="16" eb="17">
      <t>ガタ</t>
    </rPh>
    <phoneticPr fontId="8"/>
  </si>
  <si>
    <t>寝 台 用
ｴﾚﾍﾞｰﾀｰ</t>
    <rPh sb="0" eb="1">
      <t>ネ</t>
    </rPh>
    <rPh sb="2" eb="3">
      <t>ダイ</t>
    </rPh>
    <rPh sb="4" eb="5">
      <t>ヨウ</t>
    </rPh>
    <phoneticPr fontId="8"/>
  </si>
  <si>
    <t>人 荷 用
ｴﾚﾍﾞｰﾀｰ</t>
    <rPh sb="0" eb="1">
      <t>ニン</t>
    </rPh>
    <rPh sb="2" eb="3">
      <t>ニ</t>
    </rPh>
    <rPh sb="4" eb="5">
      <t>ヨウ</t>
    </rPh>
    <phoneticPr fontId="8"/>
  </si>
  <si>
    <t>自動車用
電 動 式
ｴﾚﾍﾞｰﾀｰ</t>
    <rPh sb="0" eb="1">
      <t>ジ</t>
    </rPh>
    <rPh sb="1" eb="2">
      <t>ドウ</t>
    </rPh>
    <rPh sb="2" eb="3">
      <t>クルマ</t>
    </rPh>
    <rPh sb="3" eb="4">
      <t>ヨウ</t>
    </rPh>
    <rPh sb="5" eb="6">
      <t>デン</t>
    </rPh>
    <rPh sb="7" eb="8">
      <t>ドウ</t>
    </rPh>
    <rPh sb="9" eb="10">
      <t>シキ</t>
    </rPh>
    <phoneticPr fontId="8"/>
  </si>
  <si>
    <t>自動車用
油 圧 式
ｴﾚﾍﾞｰﾀｰ</t>
    <rPh sb="0" eb="1">
      <t>ジ</t>
    </rPh>
    <rPh sb="1" eb="2">
      <t>ドウ</t>
    </rPh>
    <rPh sb="2" eb="3">
      <t>クルマ</t>
    </rPh>
    <rPh sb="3" eb="4">
      <t>ヨウ</t>
    </rPh>
    <rPh sb="5" eb="6">
      <t>アブラ</t>
    </rPh>
    <rPh sb="7" eb="8">
      <t>アツ</t>
    </rPh>
    <rPh sb="9" eb="10">
      <t>シキ</t>
    </rPh>
    <phoneticPr fontId="8"/>
  </si>
  <si>
    <t>ホーム
ｴﾚﾍﾞｰﾀｰ</t>
    <phoneticPr fontId="8"/>
  </si>
  <si>
    <t>小荷物専用昇降機</t>
    <rPh sb="0" eb="3">
      <t>コニモツ</t>
    </rPh>
    <rPh sb="3" eb="5">
      <t>センヨウ</t>
    </rPh>
    <rPh sb="5" eb="8">
      <t>ショウコウキ</t>
    </rPh>
    <phoneticPr fontId="8"/>
  </si>
  <si>
    <t>エスカレーター</t>
    <phoneticPr fontId="8"/>
  </si>
  <si>
    <t>仕上仕様</t>
    <rPh sb="0" eb="2">
      <t>シア</t>
    </rPh>
    <rPh sb="2" eb="4">
      <t>シヨウ</t>
    </rPh>
    <phoneticPr fontId="8"/>
  </si>
  <si>
    <t>階高</t>
    <rPh sb="0" eb="1">
      <t>カイ</t>
    </rPh>
    <rPh sb="1" eb="2">
      <t>タカ</t>
    </rPh>
    <phoneticPr fontId="8"/>
  </si>
  <si>
    <t>清掃設備</t>
    <rPh sb="0" eb="2">
      <t>セイソウ</t>
    </rPh>
    <rPh sb="2" eb="4">
      <t>セツビ</t>
    </rPh>
    <phoneticPr fontId="8"/>
  </si>
  <si>
    <t>窓ふき用
ゴンドラ</t>
    <rPh sb="0" eb="1">
      <t>マド</t>
    </rPh>
    <rPh sb="3" eb="4">
      <t>ヨウ</t>
    </rPh>
    <phoneticPr fontId="8"/>
  </si>
  <si>
    <t>軒高</t>
    <rPh sb="0" eb="1">
      <t>ノキ</t>
    </rPh>
    <rPh sb="1" eb="2">
      <t>タカ</t>
    </rPh>
    <phoneticPr fontId="8"/>
  </si>
  <si>
    <t>アーム形式</t>
    <rPh sb="3" eb="5">
      <t>ケイシキ</t>
    </rPh>
    <phoneticPr fontId="8"/>
  </si>
  <si>
    <t>吊ワイヤ
ロープ数</t>
    <rPh sb="0" eb="1">
      <t>ツ</t>
    </rPh>
    <rPh sb="8" eb="9">
      <t>スウ</t>
    </rPh>
    <phoneticPr fontId="8"/>
  </si>
  <si>
    <t>走行レール</t>
    <rPh sb="0" eb="2">
      <t>ソウコウ</t>
    </rPh>
    <phoneticPr fontId="8"/>
  </si>
  <si>
    <t>計算単位</t>
  </si>
  <si>
    <t>補　正　幅</t>
  </si>
  <si>
    <t>電気</t>
    <rPh sb="0" eb="2">
      <t>デンキ</t>
    </rPh>
    <phoneticPr fontId="19"/>
  </si>
  <si>
    <t>ガス</t>
    <phoneticPr fontId="19"/>
  </si>
  <si>
    <t>給水</t>
    <rPh sb="0" eb="2">
      <t>キュウスイ</t>
    </rPh>
    <phoneticPr fontId="19"/>
  </si>
  <si>
    <t>排水</t>
    <rPh sb="0" eb="2">
      <t>ハイスイ</t>
    </rPh>
    <phoneticPr fontId="19"/>
  </si>
  <si>
    <t>一戸建型式</t>
    <rPh sb="0" eb="3">
      <t>イッコダ</t>
    </rPh>
    <rPh sb="3" eb="5">
      <t>カタシキ</t>
    </rPh>
    <phoneticPr fontId="19"/>
  </si>
  <si>
    <t>㎡</t>
    <phoneticPr fontId="19"/>
  </si>
  <si>
    <t>ガスの有無</t>
    <rPh sb="3" eb="5">
      <t>ウム</t>
    </rPh>
    <phoneticPr fontId="19"/>
  </si>
  <si>
    <t>有</t>
    <rPh sb="0" eb="1">
      <t>ア</t>
    </rPh>
    <phoneticPr fontId="19"/>
  </si>
  <si>
    <t>無</t>
    <rPh sb="0" eb="1">
      <t>ナ</t>
    </rPh>
    <phoneticPr fontId="19"/>
  </si>
  <si>
    <t>－</t>
    <phoneticPr fontId="19"/>
  </si>
  <si>
    <t>－</t>
    <phoneticPr fontId="19"/>
  </si>
  <si>
    <t>㎡</t>
    <phoneticPr fontId="19"/>
  </si>
  <si>
    <t>施工量多少</t>
    <rPh sb="0" eb="3">
      <t>セコウリョウ</t>
    </rPh>
    <rPh sb="3" eb="5">
      <t>タショウ</t>
    </rPh>
    <phoneticPr fontId="19"/>
  </si>
  <si>
    <t>集合型式</t>
    <rPh sb="0" eb="2">
      <t>シュウゴウ</t>
    </rPh>
    <rPh sb="2" eb="4">
      <t>カタシキ</t>
    </rPh>
    <phoneticPr fontId="19"/>
  </si>
  <si>
    <t>㎡</t>
    <phoneticPr fontId="19"/>
  </si>
  <si>
    <t>項目別評点方式</t>
    <rPh sb="0" eb="3">
      <t>コウモクベツ</t>
    </rPh>
    <rPh sb="3" eb="5">
      <t>ヒョウテン</t>
    </rPh>
    <rPh sb="5" eb="7">
      <t>ホウシキ</t>
    </rPh>
    <phoneticPr fontId="19"/>
  </si>
  <si>
    <t>水銀灯</t>
  </si>
  <si>
    <t>口</t>
    <rPh sb="0" eb="1">
      <t>クチ</t>
    </rPh>
    <phoneticPr fontId="19"/>
  </si>
  <si>
    <t>加　算　評　点　項　目</t>
    <rPh sb="0" eb="1">
      <t>カ</t>
    </rPh>
    <rPh sb="2" eb="3">
      <t>ザン</t>
    </rPh>
    <rPh sb="4" eb="5">
      <t>ヒョウ</t>
    </rPh>
    <rPh sb="6" eb="7">
      <t>テン</t>
    </rPh>
    <rPh sb="8" eb="9">
      <t>コウ</t>
    </rPh>
    <rPh sb="10" eb="11">
      <t>メ</t>
    </rPh>
    <phoneticPr fontId="19"/>
  </si>
  <si>
    <t>通話型</t>
  </si>
  <si>
    <t>式</t>
  </si>
  <si>
    <t>大きさ(cm)</t>
  </si>
  <si>
    <t>号数</t>
    <rPh sb="0" eb="2">
      <t>ゴウスウ</t>
    </rPh>
    <phoneticPr fontId="19"/>
  </si>
  <si>
    <t>給湯器（貯湯式）</t>
    <rPh sb="0" eb="3">
      <t>キュウトウキ</t>
    </rPh>
    <rPh sb="4" eb="5">
      <t>チョ</t>
    </rPh>
    <rPh sb="5" eb="6">
      <t>ユ</t>
    </rPh>
    <rPh sb="6" eb="7">
      <t>シキ</t>
    </rPh>
    <phoneticPr fontId="19"/>
  </si>
  <si>
    <t>容量（Ｌ）</t>
    <rPh sb="0" eb="2">
      <t>ヨウリョウ</t>
    </rPh>
    <phoneticPr fontId="19"/>
  </si>
  <si>
    <t xml:space="preserve"> 和　式</t>
  </si>
  <si>
    <t xml:space="preserve"> 非水洗</t>
    <phoneticPr fontId="19"/>
  </si>
  <si>
    <t xml:space="preserve"> 水洗式</t>
    <phoneticPr fontId="19"/>
  </si>
  <si>
    <t xml:space="preserve"> 小便器</t>
  </si>
  <si>
    <t xml:space="preserve"> 洋　式</t>
  </si>
  <si>
    <t>普通(ｼｬﾜｰ有)</t>
  </si>
  <si>
    <t>普通(ｼｬﾜｰ無)</t>
  </si>
  <si>
    <t>50*45cm</t>
  </si>
  <si>
    <t>45*40cm</t>
  </si>
  <si>
    <t>上</t>
    <phoneticPr fontId="19"/>
  </si>
  <si>
    <t>大きい</t>
    <phoneticPr fontId="19"/>
  </si>
  <si>
    <t>120*75*60cm</t>
    <phoneticPr fontId="19"/>
  </si>
  <si>
    <t>小さい</t>
    <phoneticPr fontId="19"/>
  </si>
  <si>
    <t>並</t>
    <phoneticPr fontId="19"/>
  </si>
  <si>
    <t>型　　式</t>
  </si>
  <si>
    <t>ｼｬﾜｰ洗面便器付</t>
  </si>
  <si>
    <t>ｼｬﾜｰ付</t>
  </si>
  <si>
    <t>大きさ
（cm*cm）</t>
  </si>
  <si>
    <t>*</t>
  </si>
  <si>
    <t>200*160</t>
  </si>
  <si>
    <t>180*140</t>
  </si>
  <si>
    <t>160*120</t>
    <phoneticPr fontId="19"/>
  </si>
  <si>
    <t>160*160</t>
  </si>
  <si>
    <t>浴室換気乾燥機</t>
    <rPh sb="0" eb="2">
      <t>ヨクシツ</t>
    </rPh>
    <rPh sb="2" eb="4">
      <t>カンキ</t>
    </rPh>
    <rPh sb="4" eb="7">
      <t>カンソウキ</t>
    </rPh>
    <phoneticPr fontId="19"/>
  </si>
  <si>
    <t>160*80</t>
  </si>
  <si>
    <t>120*80</t>
  </si>
  <si>
    <t>80*80</t>
  </si>
  <si>
    <t>150*56</t>
  </si>
  <si>
    <t>120*56</t>
  </si>
  <si>
    <t>対象
床㎡</t>
    <rPh sb="0" eb="2">
      <t>タイショウ</t>
    </rPh>
    <rPh sb="3" eb="4">
      <t>ユカ</t>
    </rPh>
    <phoneticPr fontId="19"/>
  </si>
  <si>
    <t>個</t>
    <phoneticPr fontId="19"/>
  </si>
  <si>
    <t>機　　能</t>
  </si>
  <si>
    <t>積載量</t>
  </si>
  <si>
    <t>200kg(3人乗)</t>
  </si>
  <si>
    <t>150kg(2人乗)</t>
  </si>
  <si>
    <t>台</t>
  </si>
  <si>
    <t>着床数</t>
  </si>
  <si>
    <t>３箇所</t>
  </si>
  <si>
    <t>２箇所</t>
  </si>
  <si>
    <t>※青字は「名前の定義」です</t>
    <rPh sb="1" eb="2">
      <t>アオ</t>
    </rPh>
    <rPh sb="2" eb="3">
      <t>ジ</t>
    </rPh>
    <rPh sb="5" eb="7">
      <t>ナマエ</t>
    </rPh>
    <rPh sb="8" eb="10">
      <t>テイギ</t>
    </rPh>
    <phoneticPr fontId="8"/>
  </si>
  <si>
    <t>［設備ＤＢ］</t>
    <rPh sb="1" eb="3">
      <t>セツビ</t>
    </rPh>
    <phoneticPr fontId="8"/>
  </si>
  <si>
    <t>適　用　基　準</t>
  </si>
  <si>
    <t>動力・操作方式及び監視方式</t>
    <rPh sb="0" eb="2">
      <t>ドウリョク</t>
    </rPh>
    <rPh sb="3" eb="5">
      <t>ソウサ</t>
    </rPh>
    <rPh sb="5" eb="7">
      <t>ホウシキ</t>
    </rPh>
    <rPh sb="7" eb="8">
      <t>オヨ</t>
    </rPh>
    <rPh sb="9" eb="11">
      <t>カンシ</t>
    </rPh>
    <rPh sb="11" eb="13">
      <t>ホウシキ</t>
    </rPh>
    <phoneticPr fontId="8"/>
  </si>
  <si>
    <t>動力・容量</t>
    <rPh sb="0" eb="2">
      <t>ドウリョク</t>
    </rPh>
    <rPh sb="3" eb="5">
      <t>ヨウリョウ</t>
    </rPh>
    <phoneticPr fontId="8"/>
  </si>
  <si>
    <t>動力・程度</t>
    <rPh sb="0" eb="2">
      <t>ドウリョク</t>
    </rPh>
    <rPh sb="3" eb="5">
      <t>テイド</t>
    </rPh>
    <phoneticPr fontId="8"/>
  </si>
  <si>
    <t>動力・動力負荷</t>
    <rPh sb="0" eb="2">
      <t>ドウリョク</t>
    </rPh>
    <rPh sb="3" eb="5">
      <t>ドウリョク</t>
    </rPh>
    <rPh sb="5" eb="7">
      <t>フカ</t>
    </rPh>
    <phoneticPr fontId="8"/>
  </si>
  <si>
    <t>動力・建物の規模</t>
    <rPh sb="0" eb="2">
      <t>ドウリョク</t>
    </rPh>
    <rPh sb="3" eb="5">
      <t>タテモノ</t>
    </rPh>
    <rPh sb="6" eb="8">
      <t>キボ</t>
    </rPh>
    <phoneticPr fontId="8"/>
  </si>
  <si>
    <t>［動力］</t>
    <rPh sb="1" eb="3">
      <t>ドウリョク</t>
    </rPh>
    <phoneticPr fontId="8"/>
  </si>
  <si>
    <t>増点補正率</t>
    <rPh sb="0" eb="1">
      <t>ゾウ</t>
    </rPh>
    <rPh sb="1" eb="2">
      <t>テン</t>
    </rPh>
    <rPh sb="2" eb="4">
      <t>ホセイ</t>
    </rPh>
    <rPh sb="4" eb="5">
      <t>リツ</t>
    </rPh>
    <phoneticPr fontId="8"/>
  </si>
  <si>
    <t>標　　準</t>
    <rPh sb="0" eb="4">
      <t>ヒョウジュン</t>
    </rPh>
    <phoneticPr fontId="8"/>
  </si>
  <si>
    <t>減点補正率</t>
    <rPh sb="0" eb="2">
      <t>ゲンテン</t>
    </rPh>
    <rPh sb="2" eb="4">
      <t>ホセイ</t>
    </rPh>
    <rPh sb="4" eb="5">
      <t>リツ</t>
    </rPh>
    <phoneticPr fontId="8"/>
  </si>
  <si>
    <t>中央監視自動</t>
    <rPh sb="0" eb="2">
      <t>チュウオウ</t>
    </rPh>
    <rPh sb="2" eb="4">
      <t>カンシ</t>
    </rPh>
    <rPh sb="4" eb="6">
      <t>ジドウ</t>
    </rPh>
    <phoneticPr fontId="8"/>
  </si>
  <si>
    <t>なし手動</t>
    <rPh sb="2" eb="4">
      <t>シュドウ</t>
    </rPh>
    <phoneticPr fontId="8"/>
  </si>
  <si>
    <t>金属ダクト</t>
    <rPh sb="0" eb="2">
      <t>キンゾク</t>
    </rPh>
    <phoneticPr fontId="8"/>
  </si>
  <si>
    <t>金属管</t>
    <rPh sb="0" eb="3">
      <t>キンゾクカン</t>
    </rPh>
    <phoneticPr fontId="8"/>
  </si>
  <si>
    <t>露出</t>
    <rPh sb="0" eb="2">
      <t>ロシュツ</t>
    </rPh>
    <phoneticPr fontId="8"/>
  </si>
  <si>
    <t>多い</t>
    <rPh sb="0" eb="1">
      <t>オオ</t>
    </rPh>
    <phoneticPr fontId="8"/>
  </si>
  <si>
    <t>普通</t>
    <rPh sb="0" eb="2">
      <t>フツウ</t>
    </rPh>
    <phoneticPr fontId="8"/>
  </si>
  <si>
    <t>少ない</t>
    <rPh sb="0" eb="1">
      <t>スク</t>
    </rPh>
    <phoneticPr fontId="8"/>
  </si>
  <si>
    <t>住宅・アパート</t>
  </si>
  <si>
    <t>5kw程度</t>
    <rPh sb="3" eb="5">
      <t>テイド</t>
    </rPh>
    <phoneticPr fontId="8"/>
  </si>
  <si>
    <t>25kw程度</t>
    <rPh sb="4" eb="6">
      <t>テイド</t>
    </rPh>
    <phoneticPr fontId="8"/>
  </si>
  <si>
    <t>50kw程度</t>
    <rPh sb="4" eb="6">
      <t>テイド</t>
    </rPh>
    <phoneticPr fontId="8"/>
  </si>
  <si>
    <t>上等</t>
    <rPh sb="0" eb="2">
      <t>ジョウトウ</t>
    </rPh>
    <phoneticPr fontId="8"/>
  </si>
  <si>
    <t>以下</t>
    <rPh sb="0" eb="2">
      <t>イカ</t>
    </rPh>
    <phoneticPr fontId="8"/>
  </si>
  <si>
    <t>＜　凡　例　＞</t>
    <rPh sb="2" eb="3">
      <t>ボン</t>
    </rPh>
    <rPh sb="4" eb="5">
      <t>レイ</t>
    </rPh>
    <phoneticPr fontId="8"/>
  </si>
  <si>
    <t>病院・ホテル</t>
  </si>
  <si>
    <t>必要であれば適宜入力</t>
  </si>
  <si>
    <t>工場・倉庫・市場</t>
  </si>
  <si>
    <t>木造評点数を準用</t>
    <rPh sb="0" eb="2">
      <t>モクゾウ</t>
    </rPh>
    <rPh sb="2" eb="4">
      <t>ヒョウテン</t>
    </rPh>
    <rPh sb="4" eb="5">
      <t>カズ</t>
    </rPh>
    <rPh sb="6" eb="8">
      <t>ジュンヨウ</t>
    </rPh>
    <phoneticPr fontId="8"/>
  </si>
  <si>
    <t>高い</t>
    <rPh sb="0" eb="1">
      <t>タカ</t>
    </rPh>
    <phoneticPr fontId="8"/>
  </si>
  <si>
    <t>低い</t>
    <rPh sb="0" eb="1">
      <t>ヒク</t>
    </rPh>
    <phoneticPr fontId="8"/>
  </si>
  <si>
    <t>高い</t>
  </si>
  <si>
    <t>低い</t>
  </si>
  <si>
    <t>◇</t>
    <phoneticPr fontId="8"/>
  </si>
  <si>
    <t>以下</t>
  </si>
  <si>
    <t>電話配線・配置</t>
    <rPh sb="0" eb="2">
      <t>デンワ</t>
    </rPh>
    <rPh sb="2" eb="4">
      <t>ハイセン</t>
    </rPh>
    <rPh sb="5" eb="7">
      <t>ハイチ</t>
    </rPh>
    <phoneticPr fontId="8"/>
  </si>
  <si>
    <t>［電話］</t>
    <rPh sb="1" eb="3">
      <t>デンワ</t>
    </rPh>
    <phoneticPr fontId="8"/>
  </si>
  <si>
    <t>［呼出］</t>
    <rPh sb="1" eb="2">
      <t>ヨ</t>
    </rPh>
    <rPh sb="2" eb="3">
      <t>ダ</t>
    </rPh>
    <phoneticPr fontId="8"/>
  </si>
  <si>
    <t>自動車管制</t>
    <rPh sb="0" eb="3">
      <t>ジドウシャ</t>
    </rPh>
    <rPh sb="3" eb="5">
      <t>カンセイ</t>
    </rPh>
    <phoneticPr fontId="8"/>
  </si>
  <si>
    <t>自動車管制・規模</t>
    <rPh sb="0" eb="3">
      <t>ジドウシャ</t>
    </rPh>
    <rPh sb="3" eb="5">
      <t>カンセイ</t>
    </rPh>
    <rPh sb="6" eb="8">
      <t>キボ</t>
    </rPh>
    <phoneticPr fontId="8"/>
  </si>
  <si>
    <t>自動車管制・程度</t>
    <rPh sb="0" eb="3">
      <t>ジドウシャ</t>
    </rPh>
    <rPh sb="3" eb="5">
      <t>カンセイ</t>
    </rPh>
    <rPh sb="6" eb="8">
      <t>テイド</t>
    </rPh>
    <phoneticPr fontId="8"/>
  </si>
  <si>
    <t>［自動車］</t>
    <rPh sb="1" eb="4">
      <t>ジドウシャ</t>
    </rPh>
    <phoneticPr fontId="8"/>
  </si>
  <si>
    <t>上等(自動表示)</t>
    <rPh sb="0" eb="2">
      <t>ジョウトウ</t>
    </rPh>
    <rPh sb="3" eb="5">
      <t>ジドウ</t>
    </rPh>
    <rPh sb="5" eb="7">
      <t>ヒョウジ</t>
    </rPh>
    <phoneticPr fontId="8"/>
  </si>
  <si>
    <t>普通(600㎡/ｾｯﾄ)</t>
    <rPh sb="0" eb="2">
      <t>フツウ</t>
    </rPh>
    <phoneticPr fontId="8"/>
  </si>
  <si>
    <t>以下(1000㎡/ｾｯﾄ)</t>
    <rPh sb="0" eb="2">
      <t>イカ</t>
    </rPh>
    <phoneticPr fontId="8"/>
  </si>
  <si>
    <t>上等(自動表示)</t>
  </si>
  <si>
    <t>普通(600㎡/ｾｯﾄ)</t>
  </si>
  <si>
    <t>以下(1000㎡/ｾｯﾄ)</t>
  </si>
  <si>
    <t>上等(金属ダクト)</t>
    <rPh sb="0" eb="2">
      <t>ジョウトウ</t>
    </rPh>
    <rPh sb="3" eb="5">
      <t>キンゾク</t>
    </rPh>
    <phoneticPr fontId="8"/>
  </si>
  <si>
    <t>普通(金属管)</t>
    <rPh sb="0" eb="2">
      <t>フツウ</t>
    </rPh>
    <rPh sb="3" eb="6">
      <t>キンゾクカン</t>
    </rPh>
    <phoneticPr fontId="8"/>
  </si>
  <si>
    <t>以下(ＣＤ管)</t>
    <rPh sb="0" eb="2">
      <t>イカ</t>
    </rPh>
    <rPh sb="5" eb="6">
      <t>カン</t>
    </rPh>
    <phoneticPr fontId="8"/>
  </si>
  <si>
    <t>上等(金属ダクト)</t>
  </si>
  <si>
    <t>普通(金属管)</t>
  </si>
  <si>
    <t>以下(ＣＤ管)</t>
  </si>
  <si>
    <t>インターホン</t>
  </si>
  <si>
    <t>［拡声器］</t>
    <rPh sb="1" eb="4">
      <t>カクセイキ</t>
    </rPh>
    <phoneticPr fontId="8"/>
  </si>
  <si>
    <t>テレビ共聴（総体）</t>
    <rPh sb="3" eb="4">
      <t>キョウドウ</t>
    </rPh>
    <rPh sb="4" eb="5">
      <t>チョウシ</t>
    </rPh>
    <rPh sb="6" eb="8">
      <t>ソウタイ</t>
    </rPh>
    <phoneticPr fontId="8"/>
  </si>
  <si>
    <t>テレビジョン共同聴視（総体的）・器具数</t>
    <rPh sb="6" eb="8">
      <t>キョウドウ</t>
    </rPh>
    <rPh sb="8" eb="10">
      <t>チョウシ</t>
    </rPh>
    <rPh sb="11" eb="14">
      <t>ソウタイテキ</t>
    </rPh>
    <rPh sb="16" eb="18">
      <t>キグ</t>
    </rPh>
    <rPh sb="18" eb="19">
      <t>スウ</t>
    </rPh>
    <phoneticPr fontId="8"/>
  </si>
  <si>
    <t>テレビジョン共同聴視（総体的）・方式</t>
    <rPh sb="6" eb="8">
      <t>キョウドウ</t>
    </rPh>
    <rPh sb="8" eb="10">
      <t>チョウシ</t>
    </rPh>
    <rPh sb="11" eb="14">
      <t>ソウタイテキ</t>
    </rPh>
    <rPh sb="16" eb="18">
      <t>ホウシキ</t>
    </rPh>
    <phoneticPr fontId="8"/>
  </si>
  <si>
    <t>テレビジョン共同聴視（総体）・建物の規模</t>
    <rPh sb="6" eb="8">
      <t>キョウドウ</t>
    </rPh>
    <rPh sb="8" eb="10">
      <t>チョウシ</t>
    </rPh>
    <rPh sb="11" eb="13">
      <t>ソウタイ</t>
    </rPh>
    <rPh sb="15" eb="17">
      <t>タテモノ</t>
    </rPh>
    <rPh sb="18" eb="20">
      <t>キボ</t>
    </rPh>
    <phoneticPr fontId="8"/>
  </si>
  <si>
    <t>［ＴＶ総体］</t>
    <rPh sb="3" eb="5">
      <t>ソウタイ</t>
    </rPh>
    <phoneticPr fontId="8"/>
  </si>
  <si>
    <t>ＣＡＴＶ</t>
  </si>
  <si>
    <t>補正無</t>
    <rPh sb="0" eb="2">
      <t>ホセイ</t>
    </rPh>
    <rPh sb="2" eb="3">
      <t>ナ</t>
    </rPh>
    <phoneticPr fontId="8"/>
  </si>
  <si>
    <t>補正無</t>
  </si>
  <si>
    <t>テレビ共聴（局所）</t>
    <rPh sb="3" eb="4">
      <t>キョウドウ</t>
    </rPh>
    <rPh sb="4" eb="5">
      <t>チョウシ</t>
    </rPh>
    <rPh sb="6" eb="8">
      <t>キョクショ</t>
    </rPh>
    <phoneticPr fontId="8"/>
  </si>
  <si>
    <t>テレビジョン共同聴視（局所的）・器具数</t>
    <rPh sb="6" eb="8">
      <t>キョウドウ</t>
    </rPh>
    <rPh sb="8" eb="10">
      <t>チョウシ</t>
    </rPh>
    <rPh sb="11" eb="13">
      <t>キョクショ</t>
    </rPh>
    <rPh sb="13" eb="14">
      <t>ソウタイテキ</t>
    </rPh>
    <rPh sb="16" eb="18">
      <t>キグ</t>
    </rPh>
    <rPh sb="18" eb="19">
      <t>スウ</t>
    </rPh>
    <phoneticPr fontId="8"/>
  </si>
  <si>
    <t>テレビジョン共同聴視（局所的）・方式</t>
    <rPh sb="6" eb="8">
      <t>キョウドウ</t>
    </rPh>
    <rPh sb="8" eb="10">
      <t>チョウシ</t>
    </rPh>
    <rPh sb="11" eb="13">
      <t>キョクショ</t>
    </rPh>
    <rPh sb="13" eb="14">
      <t>テキ</t>
    </rPh>
    <rPh sb="16" eb="18">
      <t>ホウシキ</t>
    </rPh>
    <phoneticPr fontId="8"/>
  </si>
  <si>
    <t>［ＴＶ局所］</t>
    <rPh sb="3" eb="5">
      <t>キョクショ</t>
    </rPh>
    <phoneticPr fontId="8"/>
  </si>
  <si>
    <t>10台1組程度</t>
    <rPh sb="2" eb="3">
      <t>ダイ</t>
    </rPh>
    <rPh sb="4" eb="5">
      <t>クミ</t>
    </rPh>
    <rPh sb="5" eb="7">
      <t>テイド</t>
    </rPh>
    <phoneticPr fontId="8"/>
  </si>
  <si>
    <t>5台1組程度</t>
    <rPh sb="1" eb="2">
      <t>ダイ</t>
    </rPh>
    <rPh sb="3" eb="4">
      <t>クミ</t>
    </rPh>
    <rPh sb="4" eb="6">
      <t>テイド</t>
    </rPh>
    <phoneticPr fontId="8"/>
  </si>
  <si>
    <t>3台1組程度</t>
    <rPh sb="1" eb="2">
      <t>ダイ</t>
    </rPh>
    <rPh sb="3" eb="4">
      <t>クミ</t>
    </rPh>
    <rPh sb="4" eb="6">
      <t>テイド</t>
    </rPh>
    <phoneticPr fontId="8"/>
  </si>
  <si>
    <t>［浴槽上］</t>
    <rPh sb="1" eb="3">
      <t>ヨクソウ</t>
    </rPh>
    <rPh sb="3" eb="4">
      <t>ジョウ</t>
    </rPh>
    <phoneticPr fontId="8"/>
  </si>
  <si>
    <t>140*80＊60</t>
  </si>
  <si>
    <t>120*75*60</t>
  </si>
  <si>
    <t>100*70*60</t>
  </si>
  <si>
    <t>良い</t>
    <rPh sb="0" eb="1">
      <t>ヨ</t>
    </rPh>
    <phoneticPr fontId="8"/>
  </si>
  <si>
    <t>悪い</t>
    <rPh sb="0" eb="1">
      <t>ワル</t>
    </rPh>
    <phoneticPr fontId="8"/>
  </si>
  <si>
    <t>［浴槽並］</t>
    <rPh sb="1" eb="3">
      <t>ヨクソウ</t>
    </rPh>
    <rPh sb="3" eb="4">
      <t>ナミ</t>
    </rPh>
    <phoneticPr fontId="8"/>
  </si>
  <si>
    <t>ユニットバス</t>
  </si>
  <si>
    <t>ユニットバス・型式</t>
    <rPh sb="7" eb="9">
      <t>カタシキ</t>
    </rPh>
    <phoneticPr fontId="8"/>
  </si>
  <si>
    <t>ユニットバス・程度</t>
    <rPh sb="7" eb="9">
      <t>テイド</t>
    </rPh>
    <phoneticPr fontId="8"/>
  </si>
  <si>
    <t>ユニットバス・大きさ</t>
    <rPh sb="7" eb="8">
      <t>オオ</t>
    </rPh>
    <phoneticPr fontId="8"/>
  </si>
  <si>
    <t>洗面・便器付</t>
  </si>
  <si>
    <t>シャワー付</t>
  </si>
  <si>
    <t>200cm*160cm</t>
  </si>
  <si>
    <t>180cm*140cm</t>
  </si>
  <si>
    <r>
      <t>160cm*1</t>
    </r>
    <r>
      <rPr>
        <sz val="9"/>
        <rFont val="ＭＳ Ｐゴシック"/>
        <family val="3"/>
        <charset val="128"/>
      </rPr>
      <t>2</t>
    </r>
    <r>
      <rPr>
        <sz val="9"/>
        <rFont val="ＭＳ Ｐゴシック"/>
        <family val="3"/>
        <charset val="128"/>
      </rPr>
      <t>0cm</t>
    </r>
    <phoneticPr fontId="8"/>
  </si>
  <si>
    <t>160cm*1２0cm</t>
    <phoneticPr fontId="8"/>
  </si>
  <si>
    <t>ﾊｰﾌﾕﾆｯﾄﾊﾞｽ</t>
  </si>
  <si>
    <t>ﾊｰﾌユニットバス・程度</t>
    <rPh sb="10" eb="12">
      <t>テイド</t>
    </rPh>
    <phoneticPr fontId="8"/>
  </si>
  <si>
    <t>ﾊｰﾌユニットバス・大きさ</t>
    <rPh sb="10" eb="11">
      <t>オオ</t>
    </rPh>
    <phoneticPr fontId="8"/>
  </si>
  <si>
    <t>160cm*160cm</t>
  </si>
  <si>
    <t>浴室換気乾燥機・程度</t>
    <rPh sb="0" eb="2">
      <t>ヨクシツ</t>
    </rPh>
    <rPh sb="2" eb="4">
      <t>カンキ</t>
    </rPh>
    <rPh sb="4" eb="7">
      <t>カンソウキ</t>
    </rPh>
    <rPh sb="8" eb="10">
      <t>テイド</t>
    </rPh>
    <phoneticPr fontId="8"/>
  </si>
  <si>
    <t>　</t>
    <phoneticPr fontId="8"/>
  </si>
  <si>
    <t>［浴室換気乾燥機］</t>
    <rPh sb="1" eb="3">
      <t>ヨクシツ</t>
    </rPh>
    <rPh sb="3" eb="5">
      <t>カンキ</t>
    </rPh>
    <rPh sb="5" eb="8">
      <t>カンソウキ</t>
    </rPh>
    <phoneticPr fontId="8"/>
  </si>
  <si>
    <t>ﾕﾆｯﾄｼｬﾜｰ</t>
  </si>
  <si>
    <t>ユニットシャワー・程度</t>
    <rPh sb="9" eb="11">
      <t>テイド</t>
    </rPh>
    <phoneticPr fontId="8"/>
  </si>
  <si>
    <t>160cm*80cm</t>
    <phoneticPr fontId="8"/>
  </si>
  <si>
    <t>120cm*80cm</t>
    <phoneticPr fontId="8"/>
  </si>
  <si>
    <t>給湯器（貯湯式）</t>
    <rPh sb="0" eb="3">
      <t>キュウトウキ</t>
    </rPh>
    <rPh sb="4" eb="5">
      <t>チョ</t>
    </rPh>
    <rPh sb="5" eb="6">
      <t>ユ</t>
    </rPh>
    <rPh sb="6" eb="7">
      <t>シキ</t>
    </rPh>
    <phoneticPr fontId="8"/>
  </si>
  <si>
    <t>給湯器（貯湯式）容量</t>
    <rPh sb="0" eb="3">
      <t>キュウトウキ</t>
    </rPh>
    <rPh sb="4" eb="5">
      <t>チョ</t>
    </rPh>
    <rPh sb="5" eb="6">
      <t>ユ</t>
    </rPh>
    <rPh sb="6" eb="7">
      <t>シキ</t>
    </rPh>
    <rPh sb="8" eb="10">
      <t>ヨウリョウ</t>
    </rPh>
    <phoneticPr fontId="8"/>
  </si>
  <si>
    <t>給湯器（貯湯式）施工程度</t>
    <rPh sb="0" eb="3">
      <t>キュウトウキ</t>
    </rPh>
    <rPh sb="4" eb="5">
      <t>チョ</t>
    </rPh>
    <rPh sb="5" eb="6">
      <t>ユ</t>
    </rPh>
    <rPh sb="6" eb="7">
      <t>シキ</t>
    </rPh>
    <rPh sb="8" eb="10">
      <t>セコウ</t>
    </rPh>
    <rPh sb="10" eb="12">
      <t>テイド</t>
    </rPh>
    <phoneticPr fontId="8"/>
  </si>
  <si>
    <t>［給湯貯湯式］</t>
    <rPh sb="1" eb="3">
      <t>キュウトウ</t>
    </rPh>
    <rPh sb="3" eb="4">
      <t>チョ</t>
    </rPh>
    <rPh sb="4" eb="5">
      <t>ユ</t>
    </rPh>
    <rPh sb="5" eb="6">
      <t>シキ</t>
    </rPh>
    <phoneticPr fontId="8"/>
  </si>
  <si>
    <t>ミニシステムキッチン・開口寸法</t>
    <rPh sb="11" eb="13">
      <t>カイコウ</t>
    </rPh>
    <rPh sb="13" eb="15">
      <t>スンポウ</t>
    </rPh>
    <phoneticPr fontId="8"/>
  </si>
  <si>
    <t>ミニシステムキッチン・程度</t>
    <rPh sb="11" eb="13">
      <t>テイド</t>
    </rPh>
    <phoneticPr fontId="8"/>
  </si>
  <si>
    <t>［ミニＳＫ］</t>
    <phoneticPr fontId="8"/>
  </si>
  <si>
    <t>システムキッチン</t>
    <phoneticPr fontId="8"/>
  </si>
  <si>
    <t>システムキッチン・開口寸法</t>
    <rPh sb="9" eb="11">
      <t>カイコウ</t>
    </rPh>
    <rPh sb="11" eb="13">
      <t>スンポウ</t>
    </rPh>
    <phoneticPr fontId="8"/>
  </si>
  <si>
    <t>システムキッチン・程度</t>
    <rPh sb="9" eb="11">
      <t>テイド</t>
    </rPh>
    <phoneticPr fontId="8"/>
  </si>
  <si>
    <t>[ＳＫ]</t>
    <phoneticPr fontId="8"/>
  </si>
  <si>
    <t>[ガス]</t>
    <phoneticPr fontId="8"/>
  </si>
  <si>
    <t>都市ガス</t>
    <rPh sb="0" eb="2">
      <t>トシ</t>
    </rPh>
    <phoneticPr fontId="8"/>
  </si>
  <si>
    <t>ＬＰＧ</t>
  </si>
  <si>
    <t>※黄色をクリックすると入力画面（調書シートの杭）へジャンプします。</t>
    <rPh sb="1" eb="3">
      <t>キイロ</t>
    </rPh>
    <rPh sb="11" eb="13">
      <t>ニュウリョク</t>
    </rPh>
    <rPh sb="13" eb="15">
      <t>ガメン</t>
    </rPh>
    <rPh sb="16" eb="18">
      <t>チョウショ</t>
    </rPh>
    <rPh sb="22" eb="23">
      <t>クイ</t>
    </rPh>
    <phoneticPr fontId="19"/>
  </si>
  <si>
    <t>合　計</t>
    <rPh sb="0" eb="1">
      <t>ゴウ</t>
    </rPh>
    <rPh sb="2" eb="3">
      <t>ケイ</t>
    </rPh>
    <phoneticPr fontId="19"/>
  </si>
  <si>
    <t>－</t>
    <phoneticPr fontId="19"/>
  </si>
  <si>
    <t>屋根構造</t>
    <rPh sb="0" eb="1">
      <t>ヤ</t>
    </rPh>
    <rPh sb="1" eb="2">
      <t>ネ</t>
    </rPh>
    <rPh sb="2" eb="3">
      <t>カマエ</t>
    </rPh>
    <rPh sb="3" eb="4">
      <t>ヅクリ</t>
    </rPh>
    <phoneticPr fontId="19"/>
  </si>
  <si>
    <t>構造合計</t>
    <rPh sb="0" eb="2">
      <t>コウゾウ</t>
    </rPh>
    <rPh sb="2" eb="3">
      <t>ゴウ</t>
    </rPh>
    <rPh sb="3" eb="4">
      <t>ケイ</t>
    </rPh>
    <phoneticPr fontId="19"/>
  </si>
  <si>
    <t>床 構 造</t>
    <rPh sb="0" eb="1">
      <t>ユカ</t>
    </rPh>
    <rPh sb="2" eb="3">
      <t>カマエ</t>
    </rPh>
    <rPh sb="4" eb="5">
      <t>ヅクリ</t>
    </rPh>
    <phoneticPr fontId="19"/>
  </si>
  <si>
    <t>外 周 壁
骨　　組</t>
    <rPh sb="0" eb="1">
      <t>ソト</t>
    </rPh>
    <rPh sb="2" eb="3">
      <t>シュウ</t>
    </rPh>
    <rPh sb="4" eb="5">
      <t>ヘキ</t>
    </rPh>
    <rPh sb="6" eb="7">
      <t>ホネ</t>
    </rPh>
    <rPh sb="9" eb="10">
      <t>クミ</t>
    </rPh>
    <phoneticPr fontId="19"/>
  </si>
  <si>
    <t>間 仕 切
骨　　組</t>
    <rPh sb="0" eb="1">
      <t>アイダ</t>
    </rPh>
    <rPh sb="2" eb="3">
      <t>ツコウ</t>
    </rPh>
    <rPh sb="4" eb="5">
      <t>キリ</t>
    </rPh>
    <rPh sb="6" eb="7">
      <t>ホネ</t>
    </rPh>
    <rPh sb="9" eb="10">
      <t>クミ</t>
    </rPh>
    <phoneticPr fontId="19"/>
  </si>
  <si>
    <t>下地</t>
    <rPh sb="0" eb="2">
      <t>シタジ</t>
    </rPh>
    <phoneticPr fontId="19"/>
  </si>
  <si>
    <t>断熱</t>
    <phoneticPr fontId="19"/>
  </si>
  <si>
    <t>仕上合計</t>
    <rPh sb="0" eb="2">
      <t>シア</t>
    </rPh>
    <rPh sb="2" eb="3">
      <t>ゴウ</t>
    </rPh>
    <rPh sb="3" eb="4">
      <t>ケイ</t>
    </rPh>
    <phoneticPr fontId="19"/>
  </si>
  <si>
    <t>床 仕 上</t>
    <rPh sb="0" eb="1">
      <t>ユカ</t>
    </rPh>
    <rPh sb="2" eb="3">
      <t>ツコウ</t>
    </rPh>
    <rPh sb="4" eb="5">
      <t>ウエ</t>
    </rPh>
    <phoneticPr fontId="19"/>
  </si>
  <si>
    <t>天井仕上</t>
    <rPh sb="0" eb="1">
      <t>テン</t>
    </rPh>
    <rPh sb="1" eb="2">
      <t>セイ</t>
    </rPh>
    <rPh sb="2" eb="3">
      <t>ツコウ</t>
    </rPh>
    <rPh sb="3" eb="4">
      <t>ジョウ</t>
    </rPh>
    <phoneticPr fontId="19"/>
  </si>
  <si>
    <t>屋根仕上</t>
    <rPh sb="0" eb="1">
      <t>ヤ</t>
    </rPh>
    <rPh sb="1" eb="2">
      <t>ネ</t>
    </rPh>
    <rPh sb="2" eb="3">
      <t>ツコウ</t>
    </rPh>
    <rPh sb="3" eb="4">
      <t>ウエ</t>
    </rPh>
    <phoneticPr fontId="19"/>
  </si>
  <si>
    <t>天窓</t>
    <rPh sb="0" eb="2">
      <t>テンマド</t>
    </rPh>
    <phoneticPr fontId="19"/>
  </si>
  <si>
    <t>※黄色をクリックすると入力画面（調書シートの屋根仕上の天窓）へジャンプします。</t>
    <rPh sb="1" eb="3">
      <t>キイロ</t>
    </rPh>
    <rPh sb="11" eb="13">
      <t>ニュウリョク</t>
    </rPh>
    <rPh sb="13" eb="15">
      <t>ガメン</t>
    </rPh>
    <rPh sb="22" eb="24">
      <t>ヤネ</t>
    </rPh>
    <rPh sb="24" eb="26">
      <t>シア</t>
    </rPh>
    <phoneticPr fontId="19"/>
  </si>
  <si>
    <t>●補助票＜屋根及び外部仕上面積計算書＞</t>
    <rPh sb="1" eb="3">
      <t>ホジョ</t>
    </rPh>
    <rPh sb="3" eb="4">
      <t>ヒョウ</t>
    </rPh>
    <rPh sb="5" eb="7">
      <t>ヤネ</t>
    </rPh>
    <rPh sb="7" eb="8">
      <t>オヨ</t>
    </rPh>
    <rPh sb="9" eb="11">
      <t>ガイブ</t>
    </rPh>
    <rPh sb="11" eb="13">
      <t>シア</t>
    </rPh>
    <phoneticPr fontId="0"/>
  </si>
  <si>
    <t>辺　　　　　　長</t>
    <rPh sb="0" eb="1">
      <t>ヘン</t>
    </rPh>
    <rPh sb="7" eb="8">
      <t>ナガ</t>
    </rPh>
    <phoneticPr fontId="8"/>
  </si>
  <si>
    <t>基礎延長合計</t>
    <rPh sb="0" eb="2">
      <t>キソ</t>
    </rPh>
    <rPh sb="2" eb="4">
      <t>エンチョウ</t>
    </rPh>
    <rPh sb="4" eb="5">
      <t>ゴウ</t>
    </rPh>
    <rPh sb="5" eb="6">
      <t>ケイ</t>
    </rPh>
    <phoneticPr fontId="8"/>
  </si>
  <si>
    <t>＋</t>
    <phoneticPr fontId="8"/>
  </si>
  <si>
    <t>＝</t>
    <phoneticPr fontId="8"/>
  </si>
  <si>
    <t>空調・中央熱源方式・冷房能力の大小</t>
    <rPh sb="0" eb="2">
      <t>クウチョウ</t>
    </rPh>
    <rPh sb="3" eb="5">
      <t>チュウオウ</t>
    </rPh>
    <rPh sb="5" eb="7">
      <t>ネツゲン</t>
    </rPh>
    <rPh sb="7" eb="9">
      <t>ホウシキ</t>
    </rPh>
    <rPh sb="10" eb="12">
      <t>レイボウ</t>
    </rPh>
    <rPh sb="12" eb="14">
      <t>ノウリョク</t>
    </rPh>
    <rPh sb="15" eb="17">
      <t>ダイショウ</t>
    </rPh>
    <phoneticPr fontId="8"/>
  </si>
  <si>
    <t>空調・中央熱源方式・空調機ゾーニングの大小</t>
    <rPh sb="0" eb="2">
      <t>クウチョウ</t>
    </rPh>
    <rPh sb="3" eb="5">
      <t>チュウオウ</t>
    </rPh>
    <rPh sb="5" eb="7">
      <t>ネツゲン</t>
    </rPh>
    <rPh sb="7" eb="9">
      <t>ホウシキ</t>
    </rPh>
    <rPh sb="10" eb="13">
      <t>クウチョウキ</t>
    </rPh>
    <rPh sb="19" eb="21">
      <t>ダイショウ</t>
    </rPh>
    <phoneticPr fontId="8"/>
  </si>
  <si>
    <t>空調・中央熱源方式・配管方式</t>
    <rPh sb="0" eb="2">
      <t>クウチョウ</t>
    </rPh>
    <rPh sb="3" eb="5">
      <t>チュウオウ</t>
    </rPh>
    <rPh sb="5" eb="7">
      <t>ネツゲン</t>
    </rPh>
    <rPh sb="7" eb="9">
      <t>ホウシキ</t>
    </rPh>
    <rPh sb="10" eb="12">
      <t>ハイカン</t>
    </rPh>
    <rPh sb="12" eb="14">
      <t>ホウシキ</t>
    </rPh>
    <phoneticPr fontId="8"/>
  </si>
  <si>
    <t>空調・中央熱源方式・ダクト方式</t>
    <rPh sb="0" eb="2">
      <t>クウチョウ</t>
    </rPh>
    <rPh sb="3" eb="5">
      <t>チュウオウ</t>
    </rPh>
    <rPh sb="5" eb="7">
      <t>ネツゲン</t>
    </rPh>
    <rPh sb="7" eb="9">
      <t>ホウシキ</t>
    </rPh>
    <rPh sb="13" eb="15">
      <t>ホウシキ</t>
    </rPh>
    <phoneticPr fontId="8"/>
  </si>
  <si>
    <t>空調・中央熱源方式・制御方式の程度</t>
    <rPh sb="0" eb="2">
      <t>クウチョウ</t>
    </rPh>
    <rPh sb="3" eb="5">
      <t>チュウオウ</t>
    </rPh>
    <rPh sb="5" eb="7">
      <t>ネツゲン</t>
    </rPh>
    <rPh sb="7" eb="9">
      <t>ホウシキ</t>
    </rPh>
    <rPh sb="10" eb="12">
      <t>セイギョ</t>
    </rPh>
    <rPh sb="12" eb="14">
      <t>ホウシキ</t>
    </rPh>
    <rPh sb="15" eb="17">
      <t>テイド</t>
    </rPh>
    <phoneticPr fontId="8"/>
  </si>
  <si>
    <t>空調・中央熱源方式・建物の規模</t>
    <rPh sb="0" eb="2">
      <t>クウチョウ</t>
    </rPh>
    <rPh sb="3" eb="5">
      <t>チュウオウ</t>
    </rPh>
    <rPh sb="5" eb="7">
      <t>ネツゲン</t>
    </rPh>
    <rPh sb="7" eb="9">
      <t>ホウシキ</t>
    </rPh>
    <rPh sb="10" eb="12">
      <t>タテモノ</t>
    </rPh>
    <rPh sb="13" eb="15">
      <t>キボ</t>
    </rPh>
    <phoneticPr fontId="8"/>
  </si>
  <si>
    <t>［熱源方式］</t>
    <rPh sb="1" eb="3">
      <t>ネツゲン</t>
    </rPh>
    <rPh sb="3" eb="5">
      <t>ホウシキ</t>
    </rPh>
    <phoneticPr fontId="8"/>
  </si>
  <si>
    <t>あり</t>
  </si>
  <si>
    <t>0.17kw程度</t>
    <rPh sb="6" eb="8">
      <t>テイド</t>
    </rPh>
    <phoneticPr fontId="8"/>
  </si>
  <si>
    <t>0.14kw程度</t>
    <rPh sb="6" eb="8">
      <t>テイド</t>
    </rPh>
    <phoneticPr fontId="8"/>
  </si>
  <si>
    <t>0.08kw程度</t>
    <rPh sb="6" eb="8">
      <t>テイド</t>
    </rPh>
    <phoneticPr fontId="8"/>
  </si>
  <si>
    <t>200㎡程度</t>
    <rPh sb="4" eb="6">
      <t>テイド</t>
    </rPh>
    <phoneticPr fontId="8"/>
  </si>
  <si>
    <t>500㎡程度</t>
    <rPh sb="4" eb="6">
      <t>テイド</t>
    </rPh>
    <phoneticPr fontId="8"/>
  </si>
  <si>
    <t>４パイプ</t>
  </si>
  <si>
    <t>２パイプ</t>
  </si>
  <si>
    <t>ＶＡＶ</t>
  </si>
  <si>
    <t>ＣＡＶ</t>
  </si>
  <si>
    <t>中央監視</t>
    <rPh sb="0" eb="2">
      <t>チュウオウ</t>
    </rPh>
    <rPh sb="2" eb="4">
      <t>カンシ</t>
    </rPh>
    <phoneticPr fontId="8"/>
  </si>
  <si>
    <t>ローカル</t>
  </si>
  <si>
    <t>空調・個別空調・冷房能力の大小</t>
    <rPh sb="0" eb="2">
      <t>クウチョウ</t>
    </rPh>
    <rPh sb="3" eb="5">
      <t>コベツ</t>
    </rPh>
    <rPh sb="5" eb="7">
      <t>クウチョウ</t>
    </rPh>
    <rPh sb="8" eb="10">
      <t>レイボウ</t>
    </rPh>
    <rPh sb="10" eb="12">
      <t>ノウリョク</t>
    </rPh>
    <rPh sb="13" eb="15">
      <t>ダイショウ</t>
    </rPh>
    <phoneticPr fontId="8"/>
  </si>
  <si>
    <t>空調・個別空調・ダクトの有無</t>
    <rPh sb="0" eb="2">
      <t>クウチョウ</t>
    </rPh>
    <rPh sb="3" eb="5">
      <t>コベツ</t>
    </rPh>
    <rPh sb="5" eb="7">
      <t>クウチョウ</t>
    </rPh>
    <rPh sb="12" eb="14">
      <t>ウム</t>
    </rPh>
    <phoneticPr fontId="8"/>
  </si>
  <si>
    <t>空調・個別空調・換気の程度</t>
    <rPh sb="0" eb="2">
      <t>クウチョウ</t>
    </rPh>
    <rPh sb="3" eb="5">
      <t>コベツ</t>
    </rPh>
    <rPh sb="5" eb="7">
      <t>クウチョウ</t>
    </rPh>
    <rPh sb="8" eb="10">
      <t>カンキ</t>
    </rPh>
    <rPh sb="11" eb="13">
      <t>テイド</t>
    </rPh>
    <phoneticPr fontId="8"/>
  </si>
  <si>
    <t>［個別］</t>
    <rPh sb="1" eb="3">
      <t>コベツ</t>
    </rPh>
    <phoneticPr fontId="8"/>
  </si>
  <si>
    <t>全熱交換器</t>
    <rPh sb="0" eb="1">
      <t>ゼン</t>
    </rPh>
    <rPh sb="1" eb="2">
      <t>ネツ</t>
    </rPh>
    <rPh sb="2" eb="4">
      <t>コウカン</t>
    </rPh>
    <rPh sb="4" eb="5">
      <t>キ</t>
    </rPh>
    <phoneticPr fontId="8"/>
  </si>
  <si>
    <t>建　築　設　備</t>
    <rPh sb="0" eb="1">
      <t>ケン</t>
    </rPh>
    <rPh sb="2" eb="3">
      <t>チク</t>
    </rPh>
    <rPh sb="4" eb="5">
      <t>セツ</t>
    </rPh>
    <rPh sb="6" eb="7">
      <t>ソナエ</t>
    </rPh>
    <phoneticPr fontId="8"/>
  </si>
  <si>
    <t>仮設・その他工事</t>
    <rPh sb="0" eb="1">
      <t>カリ</t>
    </rPh>
    <rPh sb="1" eb="2">
      <t>セツ</t>
    </rPh>
    <rPh sb="5" eb="6">
      <t>タ</t>
    </rPh>
    <rPh sb="6" eb="7">
      <t>コウ</t>
    </rPh>
    <rPh sb="7" eb="8">
      <t>コト</t>
    </rPh>
    <phoneticPr fontId="8"/>
  </si>
  <si>
    <t>仮設・その他工事</t>
    <rPh sb="0" eb="2">
      <t>カセツ</t>
    </rPh>
    <rPh sb="5" eb="6">
      <t>タ</t>
    </rPh>
    <rPh sb="6" eb="8">
      <t>コウジ</t>
    </rPh>
    <phoneticPr fontId="8"/>
  </si>
  <si>
    <t>標準評点数</t>
    <rPh sb="0" eb="2">
      <t>ヒョウジュン</t>
    </rPh>
    <rPh sb="2" eb="4">
      <t>ヒョウテン</t>
    </rPh>
    <rPh sb="4" eb="5">
      <t>スウ</t>
    </rPh>
    <phoneticPr fontId="8"/>
  </si>
  <si>
    <t>仮設工事の難易</t>
    <rPh sb="0" eb="2">
      <t>カセツ</t>
    </rPh>
    <rPh sb="2" eb="4">
      <t>コウジ</t>
    </rPh>
    <rPh sb="5" eb="7">
      <t>ナンイ</t>
    </rPh>
    <phoneticPr fontId="8"/>
  </si>
  <si>
    <t>建物の程度(仮設)</t>
    <rPh sb="0" eb="2">
      <t>タテモノ</t>
    </rPh>
    <rPh sb="3" eb="5">
      <t>テイド</t>
    </rPh>
    <rPh sb="6" eb="8">
      <t>カセツ</t>
    </rPh>
    <phoneticPr fontId="8"/>
  </si>
  <si>
    <t>工事の多少</t>
    <rPh sb="0" eb="2">
      <t>コウジ</t>
    </rPh>
    <rPh sb="3" eb="5">
      <t>タショウ</t>
    </rPh>
    <phoneticPr fontId="8"/>
  </si>
  <si>
    <t>補正係数</t>
    <rPh sb="0" eb="2">
      <t>ホセイ</t>
    </rPh>
    <rPh sb="2" eb="4">
      <t>ケイスウ</t>
    </rPh>
    <phoneticPr fontId="8"/>
  </si>
  <si>
    <r>
      <t>評 点</t>
    </r>
    <r>
      <rPr>
        <sz val="9"/>
        <rFont val="ＭＳ Ｐゴシック"/>
        <family val="3"/>
        <charset val="128"/>
      </rPr>
      <t xml:space="preserve"> </t>
    </r>
    <r>
      <rPr>
        <sz val="9"/>
        <rFont val="ＭＳ Ｐゴシック"/>
        <family val="3"/>
        <charset val="128"/>
      </rPr>
      <t>数</t>
    </r>
    <rPh sb="0" eb="1">
      <t>ヒョウ</t>
    </rPh>
    <rPh sb="2" eb="3">
      <t>テン</t>
    </rPh>
    <rPh sb="4" eb="5">
      <t>カズ</t>
    </rPh>
    <phoneticPr fontId="8"/>
  </si>
  <si>
    <t>延床面積</t>
    <rPh sb="0" eb="1">
      <t>ノベ</t>
    </rPh>
    <rPh sb="1" eb="2">
      <t>ユカ</t>
    </rPh>
    <rPh sb="2" eb="4">
      <t>メンセキ</t>
    </rPh>
    <phoneticPr fontId="8"/>
  </si>
  <si>
    <t>部分別評点数</t>
    <rPh sb="0" eb="2">
      <t>ブブン</t>
    </rPh>
    <rPh sb="2" eb="3">
      <t>ベツ</t>
    </rPh>
    <rPh sb="3" eb="5">
      <t>ヒョウテン</t>
    </rPh>
    <rPh sb="5" eb="6">
      <t>スウ</t>
    </rPh>
    <phoneticPr fontId="8"/>
  </si>
  <si>
    <t>仮設工事</t>
    <rPh sb="0" eb="1">
      <t>カリ</t>
    </rPh>
    <rPh sb="1" eb="2">
      <t>セツ</t>
    </rPh>
    <rPh sb="2" eb="3">
      <t>コウ</t>
    </rPh>
    <rPh sb="3" eb="4">
      <t>コト</t>
    </rPh>
    <phoneticPr fontId="8"/>
  </si>
  <si>
    <t>－</t>
    <phoneticPr fontId="8"/>
  </si>
  <si>
    <t>その他工事</t>
    <rPh sb="2" eb="3">
      <t>タ</t>
    </rPh>
    <rPh sb="3" eb="5">
      <t>コウジ</t>
    </rPh>
    <phoneticPr fontId="8"/>
  </si>
  <si>
    <t>困難</t>
    <rPh sb="0" eb="2">
      <t>コンナン</t>
    </rPh>
    <phoneticPr fontId="19"/>
  </si>
  <si>
    <t>上等(7F～)</t>
    <rPh sb="0" eb="2">
      <t>ジョウトウ</t>
    </rPh>
    <phoneticPr fontId="19"/>
  </si>
  <si>
    <t>多い</t>
    <rPh sb="0" eb="1">
      <t>オオ</t>
    </rPh>
    <phoneticPr fontId="19"/>
  </si>
  <si>
    <t>一戸建型 上</t>
    <rPh sb="0" eb="2">
      <t>イッコ</t>
    </rPh>
    <rPh sb="2" eb="3">
      <t>タ</t>
    </rPh>
    <rPh sb="3" eb="4">
      <t>ガタ</t>
    </rPh>
    <rPh sb="5" eb="6">
      <t>ウエ</t>
    </rPh>
    <phoneticPr fontId="19"/>
  </si>
  <si>
    <t>普通(4～6F)</t>
    <rPh sb="0" eb="2">
      <t>フツウ</t>
    </rPh>
    <phoneticPr fontId="19"/>
  </si>
  <si>
    <t>一戸建型 中</t>
    <rPh sb="0" eb="2">
      <t>イッコ</t>
    </rPh>
    <rPh sb="2" eb="3">
      <t>タ</t>
    </rPh>
    <rPh sb="3" eb="4">
      <t>カタ</t>
    </rPh>
    <rPh sb="5" eb="6">
      <t>ナカ</t>
    </rPh>
    <phoneticPr fontId="19"/>
  </si>
  <si>
    <t>簡単(2～3F)</t>
    <rPh sb="0" eb="2">
      <t>カンタン</t>
    </rPh>
    <phoneticPr fontId="19"/>
  </si>
  <si>
    <t>少ない</t>
    <rPh sb="0" eb="1">
      <t>スク</t>
    </rPh>
    <phoneticPr fontId="19"/>
  </si>
  <si>
    <t>一戸建型 並</t>
    <rPh sb="0" eb="2">
      <t>イッコ</t>
    </rPh>
    <rPh sb="2" eb="3">
      <t>タ</t>
    </rPh>
    <rPh sb="3" eb="4">
      <t>カタ</t>
    </rPh>
    <rPh sb="5" eb="6">
      <t>ナミ</t>
    </rPh>
    <phoneticPr fontId="19"/>
  </si>
  <si>
    <t>簡単(1F)</t>
    <rPh sb="0" eb="2">
      <t>カンタン</t>
    </rPh>
    <phoneticPr fontId="19"/>
  </si>
  <si>
    <t xml:space="preserve"> 再建築費評点数</t>
    <rPh sb="1" eb="4">
      <t>サイケンチク</t>
    </rPh>
    <rPh sb="4" eb="5">
      <t>ヒ</t>
    </rPh>
    <rPh sb="5" eb="7">
      <t>ヒョウテン</t>
    </rPh>
    <rPh sb="7" eb="8">
      <t>カズ</t>
    </rPh>
    <phoneticPr fontId="19"/>
  </si>
  <si>
    <t>点</t>
    <rPh sb="0" eb="1">
      <t>テン</t>
    </rPh>
    <phoneticPr fontId="19"/>
  </si>
  <si>
    <t xml:space="preserve"> 基準年調整 ÷</t>
    <rPh sb="1" eb="3">
      <t>キジュン</t>
    </rPh>
    <rPh sb="3" eb="4">
      <t>ネン</t>
    </rPh>
    <rPh sb="4" eb="6">
      <t>チョウセイ</t>
    </rPh>
    <phoneticPr fontId="19"/>
  </si>
  <si>
    <t>円</t>
    <rPh sb="0" eb="1">
      <t>エン</t>
    </rPh>
    <phoneticPr fontId="19"/>
  </si>
  <si>
    <t xml:space="preserve"> 評価額 ×</t>
    <rPh sb="1" eb="4">
      <t>ヒョウカガク</t>
    </rPh>
    <phoneticPr fontId="19"/>
  </si>
  <si>
    <t xml:space="preserve"> １㎡当たり単価</t>
    <rPh sb="3" eb="4">
      <t>ア</t>
    </rPh>
    <rPh sb="6" eb="8">
      <t>タンカ</t>
    </rPh>
    <phoneticPr fontId="19"/>
  </si>
  <si>
    <t>構　造　・　仕　上　・　断　熱　材</t>
    <rPh sb="0" eb="1">
      <t>カマエ</t>
    </rPh>
    <rPh sb="2" eb="3">
      <t>ヅクリ</t>
    </rPh>
    <rPh sb="6" eb="7">
      <t>ツコウ</t>
    </rPh>
    <rPh sb="8" eb="9">
      <t>ウエ</t>
    </rPh>
    <rPh sb="12" eb="13">
      <t>ダン</t>
    </rPh>
    <rPh sb="14" eb="15">
      <t>ネツ</t>
    </rPh>
    <rPh sb="16" eb="17">
      <t>ザイ</t>
    </rPh>
    <phoneticPr fontId="19"/>
  </si>
  <si>
    <t>横辺</t>
    <rPh sb="0" eb="1">
      <t>ヨコ</t>
    </rPh>
    <rPh sb="1" eb="2">
      <t>ヘン</t>
    </rPh>
    <phoneticPr fontId="19"/>
  </si>
  <si>
    <t>縦辺</t>
    <rPh sb="0" eb="1">
      <t>タテ</t>
    </rPh>
    <rPh sb="1" eb="2">
      <t>ヘン</t>
    </rPh>
    <phoneticPr fontId="19"/>
  </si>
  <si>
    <t>合計（㎡）</t>
    <rPh sb="0" eb="2">
      <t>ゴウケイ</t>
    </rPh>
    <phoneticPr fontId="19"/>
  </si>
  <si>
    <t>拡声器</t>
    <rPh sb="0" eb="3">
      <t>カクセイキ</t>
    </rPh>
    <phoneticPr fontId="19"/>
  </si>
  <si>
    <t>空調</t>
    <rPh sb="0" eb="2">
      <t>クウチョウ</t>
    </rPh>
    <phoneticPr fontId="19"/>
  </si>
  <si>
    <t>換気設備</t>
    <rPh sb="0" eb="2">
      <t>カンキ</t>
    </rPh>
    <rPh sb="2" eb="4">
      <t>セツビ</t>
    </rPh>
    <phoneticPr fontId="19"/>
  </si>
  <si>
    <t>ｽﾌﾟﾘﾝｸﾗ</t>
    <phoneticPr fontId="19"/>
  </si>
  <si>
    <t>床構造</t>
    <rPh sb="0" eb="1">
      <t>ユカ</t>
    </rPh>
    <rPh sb="1" eb="3">
      <t>コウゾウ</t>
    </rPh>
    <phoneticPr fontId="19"/>
  </si>
  <si>
    <t>床仕上</t>
    <rPh sb="0" eb="1">
      <t>ユカ</t>
    </rPh>
    <rPh sb="1" eb="3">
      <t>シア</t>
    </rPh>
    <phoneticPr fontId="19"/>
  </si>
  <si>
    <t>天井仕上</t>
    <rPh sb="0" eb="2">
      <t>テンジョウ</t>
    </rPh>
    <rPh sb="2" eb="4">
      <t>シア</t>
    </rPh>
    <phoneticPr fontId="19"/>
  </si>
  <si>
    <t>１Ｆ</t>
    <phoneticPr fontId="19"/>
  </si>
  <si>
    <t>＝</t>
    <phoneticPr fontId="19"/>
  </si>
  <si>
    <t>×</t>
    <phoneticPr fontId="19"/>
  </si>
  <si>
    <t>（端数処理）</t>
    <rPh sb="1" eb="3">
      <t>ハスウ</t>
    </rPh>
    <rPh sb="3" eb="5">
      <t>ショリ</t>
    </rPh>
    <phoneticPr fontId="19"/>
  </si>
  <si>
    <t>－</t>
    <phoneticPr fontId="19"/>
  </si>
  <si>
    <t>２Ｆ</t>
    <phoneticPr fontId="19"/>
  </si>
  <si>
    <t>３Ｆ</t>
    <phoneticPr fontId="19"/>
  </si>
  <si>
    <t>４Ｆ</t>
    <phoneticPr fontId="19"/>
  </si>
  <si>
    <t>１１Ｆ</t>
  </si>
  <si>
    <t>１２Ｆ</t>
  </si>
  <si>
    <t>１３Ｆ</t>
  </si>
  <si>
    <t>１４Ｆ</t>
  </si>
  <si>
    <t>１５Ｆ</t>
  </si>
  <si>
    <t>１６Ｆ</t>
    <phoneticPr fontId="19"/>
  </si>
  <si>
    <t>合計</t>
    <rPh sb="0" eb="2">
      <t>ゴウケイ</t>
    </rPh>
    <phoneticPr fontId="19"/>
  </si>
  <si>
    <t>仕上等面積合計</t>
    <rPh sb="0" eb="2">
      <t>シア</t>
    </rPh>
    <rPh sb="2" eb="3">
      <t>ナド</t>
    </rPh>
    <rPh sb="3" eb="5">
      <t>メンセキ</t>
    </rPh>
    <rPh sb="5" eb="7">
      <t>ゴウケイ</t>
    </rPh>
    <phoneticPr fontId="19"/>
  </si>
  <si>
    <t>建具の評価計算</t>
  </si>
  <si>
    <t>評　点　項　目</t>
    <phoneticPr fontId="8"/>
  </si>
  <si>
    <t>種類</t>
    <rPh sb="0" eb="2">
      <t>シュルイ</t>
    </rPh>
    <phoneticPr fontId="8"/>
  </si>
  <si>
    <t>［建具名称］</t>
    <rPh sb="3" eb="5">
      <t>メイショウ</t>
    </rPh>
    <phoneticPr fontId="8"/>
  </si>
  <si>
    <t>.</t>
  </si>
  <si>
    <t>窓</t>
    <rPh sb="0" eb="1">
      <t>マド</t>
    </rPh>
    <phoneticPr fontId="8"/>
  </si>
  <si>
    <t>火災報知・建物の規模</t>
    <rPh sb="0" eb="2">
      <t>カサイ</t>
    </rPh>
    <rPh sb="2" eb="4">
      <t>ホウチ</t>
    </rPh>
    <rPh sb="5" eb="7">
      <t>タテモノ</t>
    </rPh>
    <rPh sb="8" eb="10">
      <t>キボ</t>
    </rPh>
    <phoneticPr fontId="8"/>
  </si>
  <si>
    <t>［火災報知］</t>
    <rPh sb="1" eb="3">
      <t>カサイ</t>
    </rPh>
    <rPh sb="3" eb="5">
      <t>ホウチ</t>
    </rPh>
    <phoneticPr fontId="8"/>
  </si>
  <si>
    <t>煙感知</t>
    <rPh sb="0" eb="1">
      <t>ケムリ</t>
    </rPh>
    <rPh sb="1" eb="3">
      <t>カンチ</t>
    </rPh>
    <phoneticPr fontId="8"/>
  </si>
  <si>
    <t>スポット</t>
  </si>
  <si>
    <t>空気管</t>
    <rPh sb="0" eb="2">
      <t>クウキ</t>
    </rPh>
    <rPh sb="2" eb="3">
      <t>カン</t>
    </rPh>
    <phoneticPr fontId="8"/>
  </si>
  <si>
    <t>上等(R､P-1自立)</t>
    <rPh sb="0" eb="2">
      <t>ジョウトウ</t>
    </rPh>
    <rPh sb="8" eb="10">
      <t>ジリツ</t>
    </rPh>
    <phoneticPr fontId="8"/>
  </si>
  <si>
    <t>普通(Ｐ－１壁)</t>
    <rPh sb="0" eb="2">
      <t>フツウ</t>
    </rPh>
    <rPh sb="6" eb="7">
      <t>カベ</t>
    </rPh>
    <phoneticPr fontId="8"/>
  </si>
  <si>
    <t>以下(Ｐ－２)</t>
    <rPh sb="0" eb="2">
      <t>イカ</t>
    </rPh>
    <phoneticPr fontId="8"/>
  </si>
  <si>
    <t>上等(R､P-1自立)</t>
  </si>
  <si>
    <t>普通(Ｐ－１壁)</t>
  </si>
  <si>
    <t>以下(Ｐ－２)</t>
  </si>
  <si>
    <t>避雷突針</t>
    <rPh sb="0" eb="2">
      <t>ヒライ</t>
    </rPh>
    <rPh sb="2" eb="3">
      <t>トツ</t>
    </rPh>
    <rPh sb="3" eb="4">
      <t>ハリ</t>
    </rPh>
    <phoneticPr fontId="8"/>
  </si>
  <si>
    <t>避雷突針・突針数</t>
    <rPh sb="0" eb="2">
      <t>ヒライ</t>
    </rPh>
    <rPh sb="2" eb="3">
      <t>トツ</t>
    </rPh>
    <rPh sb="3" eb="4">
      <t>ハリ</t>
    </rPh>
    <rPh sb="5" eb="6">
      <t>トツ</t>
    </rPh>
    <rPh sb="6" eb="7">
      <t>ハリ</t>
    </rPh>
    <rPh sb="7" eb="8">
      <t>カズ</t>
    </rPh>
    <phoneticPr fontId="8"/>
  </si>
  <si>
    <t>避雷突針・建物の高さ</t>
    <rPh sb="0" eb="2">
      <t>ヒライ</t>
    </rPh>
    <rPh sb="2" eb="3">
      <t>トツ</t>
    </rPh>
    <rPh sb="3" eb="4">
      <t>ハリ</t>
    </rPh>
    <rPh sb="5" eb="7">
      <t>タテモノ</t>
    </rPh>
    <rPh sb="8" eb="9">
      <t>タカ</t>
    </rPh>
    <phoneticPr fontId="8"/>
  </si>
  <si>
    <t>［避雷突針］</t>
    <rPh sb="1" eb="3">
      <t>ヒライ</t>
    </rPh>
    <rPh sb="3" eb="4">
      <t>トツ</t>
    </rPh>
    <rPh sb="4" eb="5">
      <t>ハリ</t>
    </rPh>
    <phoneticPr fontId="8"/>
  </si>
  <si>
    <t>単独</t>
    <rPh sb="0" eb="2">
      <t>タンドク</t>
    </rPh>
    <phoneticPr fontId="8"/>
  </si>
  <si>
    <t>複数</t>
    <rPh sb="0" eb="2">
      <t>フクスウ</t>
    </rPh>
    <phoneticPr fontId="8"/>
  </si>
  <si>
    <t>単独</t>
  </si>
  <si>
    <t>複数</t>
  </si>
  <si>
    <t>避雷導体</t>
    <rPh sb="0" eb="2">
      <t>ヒライ</t>
    </rPh>
    <rPh sb="2" eb="4">
      <t>ドウタイ</t>
    </rPh>
    <phoneticPr fontId="8"/>
  </si>
  <si>
    <t>［避雷導体］</t>
    <rPh sb="1" eb="3">
      <t>ヒライ</t>
    </rPh>
    <rPh sb="3" eb="5">
      <t>ドウタイ</t>
    </rPh>
    <phoneticPr fontId="8"/>
  </si>
  <si>
    <t>消火栓・型式</t>
    <rPh sb="0" eb="3">
      <t>ショウカセン</t>
    </rPh>
    <rPh sb="4" eb="6">
      <t>カタシキ</t>
    </rPh>
    <phoneticPr fontId="8"/>
  </si>
  <si>
    <t>［消火栓］</t>
    <rPh sb="1" eb="4">
      <t>ショウカセン</t>
    </rPh>
    <phoneticPr fontId="8"/>
  </si>
  <si>
    <t>専用栓付屋内消火栓</t>
    <rPh sb="0" eb="3">
      <t>センヨウセン</t>
    </rPh>
    <rPh sb="3" eb="4">
      <t>フ</t>
    </rPh>
    <rPh sb="4" eb="6">
      <t>オクナイ</t>
    </rPh>
    <rPh sb="6" eb="9">
      <t>ショウカセン</t>
    </rPh>
    <phoneticPr fontId="8"/>
  </si>
  <si>
    <t>屋内消火栓のみ</t>
    <rPh sb="0" eb="4">
      <t>オクナイショウカ</t>
    </rPh>
    <rPh sb="4" eb="5">
      <t>セン</t>
    </rPh>
    <phoneticPr fontId="8"/>
  </si>
  <si>
    <t>専用栓のみ</t>
    <rPh sb="0" eb="3">
      <t>センヨウセン</t>
    </rPh>
    <phoneticPr fontId="8"/>
  </si>
  <si>
    <t>専用栓付屋内消火栓</t>
  </si>
  <si>
    <t>屋内消火栓のみ</t>
  </si>
  <si>
    <t>ドレンチャー</t>
  </si>
  <si>
    <t>ドレンチャー・ヘッド数</t>
    <rPh sb="10" eb="11">
      <t>スウ</t>
    </rPh>
    <phoneticPr fontId="8"/>
  </si>
  <si>
    <t>ドレンチャー・程度</t>
    <rPh sb="7" eb="9">
      <t>テイド</t>
    </rPh>
    <phoneticPr fontId="8"/>
  </si>
  <si>
    <t>不活性ガス消火</t>
    <rPh sb="0" eb="3">
      <t>フカッセイ</t>
    </rPh>
    <rPh sb="5" eb="7">
      <t>ショウカ</t>
    </rPh>
    <phoneticPr fontId="8"/>
  </si>
  <si>
    <t>不活性ガス消火・規模</t>
    <rPh sb="0" eb="3">
      <t>フカッセイ</t>
    </rPh>
    <rPh sb="5" eb="7">
      <t>ショウカ</t>
    </rPh>
    <rPh sb="8" eb="10">
      <t>キボ</t>
    </rPh>
    <phoneticPr fontId="8"/>
  </si>
  <si>
    <t>［不活性ガス］</t>
    <rPh sb="1" eb="4">
      <t>フカッセイ</t>
    </rPh>
    <phoneticPr fontId="8"/>
  </si>
  <si>
    <t>泡消火</t>
    <rPh sb="0" eb="1">
      <t>アワ</t>
    </rPh>
    <rPh sb="1" eb="3">
      <t>ショウカ</t>
    </rPh>
    <phoneticPr fontId="8"/>
  </si>
  <si>
    <t>泡消火・規模</t>
    <rPh sb="0" eb="1">
      <t>アワ</t>
    </rPh>
    <rPh sb="1" eb="3">
      <t>ショウカ</t>
    </rPh>
    <rPh sb="4" eb="6">
      <t>キボ</t>
    </rPh>
    <phoneticPr fontId="8"/>
  </si>
  <si>
    <r>
      <t>建具</t>
    </r>
    <r>
      <rPr>
        <sz val="9"/>
        <rFont val="ＭＳ Ｐゴシック"/>
        <family val="3"/>
        <charset val="128"/>
      </rPr>
      <t xml:space="preserve"> </t>
    </r>
    <r>
      <rPr>
        <sz val="9"/>
        <rFont val="ＭＳ Ｐゴシック"/>
        <family val="3"/>
        <charset val="128"/>
      </rPr>
      <t>・</t>
    </r>
    <r>
      <rPr>
        <sz val="9"/>
        <rFont val="ＭＳ Ｐゴシック"/>
        <family val="3"/>
        <charset val="128"/>
      </rPr>
      <t xml:space="preserve"> </t>
    </r>
    <r>
      <rPr>
        <sz val="9"/>
        <rFont val="ＭＳ Ｐゴシック"/>
        <family val="3"/>
        <charset val="128"/>
      </rPr>
      <t>開口</t>
    </r>
    <rPh sb="0" eb="2">
      <t>タテグ</t>
    </rPh>
    <rPh sb="5" eb="7">
      <t>カイコウ</t>
    </rPh>
    <phoneticPr fontId="6"/>
  </si>
  <si>
    <r>
      <t xml:space="preserve">小　　　　 </t>
    </r>
    <r>
      <rPr>
        <sz val="9"/>
        <rFont val="ＭＳ Ｐゴシック"/>
        <family val="3"/>
        <charset val="128"/>
      </rPr>
      <t>計</t>
    </r>
    <rPh sb="0" eb="1">
      <t>ショウ</t>
    </rPh>
    <rPh sb="6" eb="7">
      <t>ケイ</t>
    </rPh>
    <phoneticPr fontId="6"/>
  </si>
  <si>
    <r>
      <t xml:space="preserve">戸　　　 </t>
    </r>
    <r>
      <rPr>
        <sz val="9"/>
        <rFont val="ＭＳ Ｐゴシック"/>
        <family val="3"/>
        <charset val="128"/>
      </rPr>
      <t xml:space="preserve">  </t>
    </r>
    <r>
      <rPr>
        <sz val="9"/>
        <rFont val="ＭＳ Ｐゴシック"/>
        <family val="3"/>
        <charset val="128"/>
      </rPr>
      <t>数</t>
    </r>
    <rPh sb="0" eb="1">
      <t>ト</t>
    </rPh>
    <rPh sb="7" eb="8">
      <t>カズ</t>
    </rPh>
    <phoneticPr fontId="6"/>
  </si>
  <si>
    <t>合 計 面 積</t>
    <rPh sb="0" eb="1">
      <t>ゴウ</t>
    </rPh>
    <rPh sb="2" eb="3">
      <t>ケイ</t>
    </rPh>
    <rPh sb="4" eb="5">
      <t>メン</t>
    </rPh>
    <rPh sb="6" eb="7">
      <t>セキ</t>
    </rPh>
    <phoneticPr fontId="6"/>
  </si>
  <si>
    <t>部屋名</t>
    <rPh sb="0" eb="2">
      <t>ヘヤ</t>
    </rPh>
    <rPh sb="2" eb="3">
      <t>メイ</t>
    </rPh>
    <phoneticPr fontId="6"/>
  </si>
  <si>
    <t>仕　上</t>
    <rPh sb="0" eb="1">
      <t>ツコウ</t>
    </rPh>
    <rPh sb="2" eb="3">
      <t>ジョウ</t>
    </rPh>
    <phoneticPr fontId="6"/>
  </si>
  <si>
    <t>辺　長</t>
    <rPh sb="0" eb="1">
      <t>ヘン</t>
    </rPh>
    <rPh sb="2" eb="3">
      <t>チョウ</t>
    </rPh>
    <phoneticPr fontId="6"/>
  </si>
  <si>
    <t>天高１</t>
    <rPh sb="0" eb="2">
      <t>テンダカ</t>
    </rPh>
    <phoneticPr fontId="6"/>
  </si>
  <si>
    <t>天高２</t>
    <rPh sb="0" eb="2">
      <t>テンダカ</t>
    </rPh>
    <phoneticPr fontId="6"/>
  </si>
  <si>
    <t>建具１</t>
    <rPh sb="0" eb="2">
      <t>タテグ</t>
    </rPh>
    <phoneticPr fontId="6"/>
  </si>
  <si>
    <t>建具２</t>
    <rPh sb="0" eb="2">
      <t>タテグ</t>
    </rPh>
    <phoneticPr fontId="6"/>
  </si>
  <si>
    <t>戸数１</t>
    <rPh sb="0" eb="2">
      <t>コスウ</t>
    </rPh>
    <phoneticPr fontId="6"/>
  </si>
  <si>
    <t>戸数２</t>
    <rPh sb="0" eb="2">
      <t>コスウ</t>
    </rPh>
    <phoneticPr fontId="6"/>
  </si>
  <si>
    <t>※明確計算のみ場合は次の２つをしてからプリントしたほうがよいです。　①右側の印刷ライン（青色）をつまんで、Ｑ列の位置に持ってくる　②ファイル→ページ設定→用紙サイズをＡ４にする</t>
    <rPh sb="1" eb="3">
      <t>メイカク</t>
    </rPh>
    <rPh sb="3" eb="5">
      <t>ケイサン</t>
    </rPh>
    <rPh sb="7" eb="9">
      <t>バアイ</t>
    </rPh>
    <rPh sb="10" eb="11">
      <t>ツギ</t>
    </rPh>
    <rPh sb="35" eb="37">
      <t>ミギガワ</t>
    </rPh>
    <rPh sb="38" eb="40">
      <t>インサツ</t>
    </rPh>
    <rPh sb="44" eb="46">
      <t>アオイロ</t>
    </rPh>
    <rPh sb="54" eb="55">
      <t>レツ</t>
    </rPh>
    <rPh sb="56" eb="58">
      <t>イチ</t>
    </rPh>
    <rPh sb="59" eb="60">
      <t>モ</t>
    </rPh>
    <rPh sb="74" eb="76">
      <t>セッテイ</t>
    </rPh>
    <rPh sb="77" eb="79">
      <t>ヨウシ</t>
    </rPh>
    <phoneticPr fontId="19"/>
  </si>
  <si>
    <t>●補助票＜床・天井及び建築設備設置面積計算書＞</t>
    <rPh sb="1" eb="3">
      <t>ホジョ</t>
    </rPh>
    <rPh sb="3" eb="4">
      <t>ヒョウ</t>
    </rPh>
    <rPh sb="5" eb="6">
      <t>ユカ</t>
    </rPh>
    <rPh sb="7" eb="9">
      <t>テンジョウ</t>
    </rPh>
    <rPh sb="9" eb="10">
      <t>オヨ</t>
    </rPh>
    <phoneticPr fontId="19"/>
  </si>
  <si>
    <t>階数</t>
    <rPh sb="0" eb="2">
      <t>カイスウ</t>
    </rPh>
    <phoneticPr fontId="19"/>
  </si>
  <si>
    <t>室　　名</t>
    <rPh sb="0" eb="1">
      <t>シツ</t>
    </rPh>
    <rPh sb="3" eb="4">
      <t>メイ</t>
    </rPh>
    <phoneticPr fontId="19"/>
  </si>
  <si>
    <t>気送管</t>
    <rPh sb="0" eb="1">
      <t>キ</t>
    </rPh>
    <rPh sb="1" eb="2">
      <t>ソウ</t>
    </rPh>
    <rPh sb="2" eb="3">
      <t>カン</t>
    </rPh>
    <phoneticPr fontId="8"/>
  </si>
  <si>
    <t>気送管・制御方式</t>
    <rPh sb="0" eb="1">
      <t>キ</t>
    </rPh>
    <rPh sb="1" eb="2">
      <t>ソウ</t>
    </rPh>
    <rPh sb="2" eb="3">
      <t>カン</t>
    </rPh>
    <rPh sb="4" eb="6">
      <t>セイギョ</t>
    </rPh>
    <rPh sb="6" eb="8">
      <t>ホウシキ</t>
    </rPh>
    <phoneticPr fontId="8"/>
  </si>
  <si>
    <t>気送管・方式</t>
    <rPh sb="0" eb="3">
      <t>キソウカン</t>
    </rPh>
    <rPh sb="4" eb="6">
      <t>ホウシキ</t>
    </rPh>
    <phoneticPr fontId="8"/>
  </si>
  <si>
    <t>気送管・型式</t>
    <rPh sb="0" eb="3">
      <t>キソウカン</t>
    </rPh>
    <rPh sb="4" eb="6">
      <t>カタシキ</t>
    </rPh>
    <phoneticPr fontId="8"/>
  </si>
  <si>
    <t>気送管・気送管径</t>
    <rPh sb="0" eb="3">
      <t>キソウカン</t>
    </rPh>
    <rPh sb="4" eb="6">
      <t>キソウ</t>
    </rPh>
    <rPh sb="6" eb="7">
      <t>カン</t>
    </rPh>
    <rPh sb="7" eb="8">
      <t>ケイ</t>
    </rPh>
    <phoneticPr fontId="8"/>
  </si>
  <si>
    <t>［気送管］</t>
    <rPh sb="1" eb="4">
      <t>キソウカン</t>
    </rPh>
    <phoneticPr fontId="8"/>
  </si>
  <si>
    <t>選択方式</t>
    <rPh sb="0" eb="2">
      <t>センタク</t>
    </rPh>
    <rPh sb="2" eb="4">
      <t>ホウシキ</t>
    </rPh>
    <phoneticPr fontId="8"/>
  </si>
  <si>
    <t>無選択方式</t>
    <rPh sb="0" eb="1">
      <t>ム</t>
    </rPh>
    <rPh sb="1" eb="3">
      <t>センタク</t>
    </rPh>
    <rPh sb="3" eb="5">
      <t>ホウシキ</t>
    </rPh>
    <phoneticPr fontId="8"/>
  </si>
  <si>
    <t>自動出発</t>
    <rPh sb="0" eb="2">
      <t>ジドウ</t>
    </rPh>
    <rPh sb="2" eb="4">
      <t>シュッパツ</t>
    </rPh>
    <phoneticPr fontId="8"/>
  </si>
  <si>
    <t>２重投入防止</t>
    <rPh sb="1" eb="2">
      <t>ジュウ</t>
    </rPh>
    <rPh sb="2" eb="4">
      <t>トウニュウ</t>
    </rPh>
    <rPh sb="4" eb="6">
      <t>ボウシ</t>
    </rPh>
    <phoneticPr fontId="8"/>
  </si>
  <si>
    <t>ﾗﾝﾌﾟ表示</t>
    <rPh sb="4" eb="6">
      <t>ヒョウジ</t>
    </rPh>
    <phoneticPr fontId="8"/>
  </si>
  <si>
    <t>水平</t>
    <rPh sb="0" eb="2">
      <t>スイヘイ</t>
    </rPh>
    <phoneticPr fontId="8"/>
  </si>
  <si>
    <t>直上下</t>
    <rPh sb="0" eb="1">
      <t>チョク</t>
    </rPh>
    <rPh sb="1" eb="3">
      <t>ジョウゲ</t>
    </rPh>
    <phoneticPr fontId="8"/>
  </si>
  <si>
    <t>規格型</t>
    <rPh sb="0" eb="2">
      <t>キカク</t>
    </rPh>
    <rPh sb="2" eb="3">
      <t>カタ</t>
    </rPh>
    <phoneticPr fontId="8"/>
  </si>
  <si>
    <t>エレベーター・規格インバータ型・積載量</t>
    <rPh sb="7" eb="9">
      <t>キカク</t>
    </rPh>
    <rPh sb="14" eb="15">
      <t>カタ</t>
    </rPh>
    <rPh sb="16" eb="19">
      <t>セキサイリョウ</t>
    </rPh>
    <phoneticPr fontId="8"/>
  </si>
  <si>
    <t>エレベーター・規格インバータ型・着床数</t>
    <rPh sb="7" eb="9">
      <t>キカク</t>
    </rPh>
    <rPh sb="14" eb="15">
      <t>カタ</t>
    </rPh>
    <rPh sb="16" eb="18">
      <t>チャクショウ</t>
    </rPh>
    <rPh sb="18" eb="19">
      <t>スウ</t>
    </rPh>
    <phoneticPr fontId="8"/>
  </si>
  <si>
    <t>エレベーター・規格インバータ型・速度</t>
    <rPh sb="7" eb="9">
      <t>キカク</t>
    </rPh>
    <rPh sb="14" eb="15">
      <t>カタ</t>
    </rPh>
    <rPh sb="16" eb="18">
      <t>ソクド</t>
    </rPh>
    <phoneticPr fontId="8"/>
  </si>
  <si>
    <t>エレベーター・規格インバータ型・程度</t>
    <rPh sb="7" eb="9">
      <t>キカク</t>
    </rPh>
    <rPh sb="14" eb="15">
      <t>カタ</t>
    </rPh>
    <rPh sb="16" eb="18">
      <t>テイド</t>
    </rPh>
    <phoneticPr fontId="8"/>
  </si>
  <si>
    <t>エレベーター・規格インバータ型・並列運転数</t>
    <rPh sb="7" eb="9">
      <t>キカク</t>
    </rPh>
    <rPh sb="14" eb="15">
      <t>カタ</t>
    </rPh>
    <rPh sb="16" eb="18">
      <t>ヘイレツ</t>
    </rPh>
    <rPh sb="18" eb="20">
      <t>ウンテン</t>
    </rPh>
    <rPh sb="20" eb="21">
      <t>スウ</t>
    </rPh>
    <phoneticPr fontId="8"/>
  </si>
  <si>
    <t>［ＥＶ規格］</t>
    <rPh sb="3" eb="5">
      <t>キカク</t>
    </rPh>
    <phoneticPr fontId="8"/>
  </si>
  <si>
    <t>上等(ｽﾃﾝﾚｽ)</t>
    <rPh sb="0" eb="2">
      <t>ジョウトウ</t>
    </rPh>
    <phoneticPr fontId="8"/>
  </si>
  <si>
    <t>普通（鋼板）</t>
    <rPh sb="0" eb="2">
      <t>フツウ</t>
    </rPh>
    <rPh sb="3" eb="5">
      <t>コウバン</t>
    </rPh>
    <phoneticPr fontId="8"/>
  </si>
  <si>
    <t>３台以上</t>
    <rPh sb="1" eb="4">
      <t>ダイイジョウ</t>
    </rPh>
    <phoneticPr fontId="8"/>
  </si>
  <si>
    <t>２台</t>
    <rPh sb="1" eb="2">
      <t>ダイ</t>
    </rPh>
    <phoneticPr fontId="8"/>
  </si>
  <si>
    <t>３台以上</t>
  </si>
  <si>
    <t>２台</t>
  </si>
  <si>
    <t>中速特注型</t>
    <rPh sb="0" eb="1">
      <t>チュウ</t>
    </rPh>
    <rPh sb="1" eb="2">
      <t>ソク</t>
    </rPh>
    <rPh sb="2" eb="4">
      <t>トクチュウ</t>
    </rPh>
    <rPh sb="4" eb="5">
      <t>カタ</t>
    </rPh>
    <phoneticPr fontId="8"/>
  </si>
  <si>
    <t>エレベーター・特注インバータ型・積載量</t>
    <rPh sb="7" eb="9">
      <t>トクチュウ</t>
    </rPh>
    <rPh sb="14" eb="15">
      <t>カタ</t>
    </rPh>
    <rPh sb="16" eb="19">
      <t>セキサイリョウ</t>
    </rPh>
    <phoneticPr fontId="8"/>
  </si>
  <si>
    <t>エレベーター・特注インバータ型・着床数</t>
    <rPh sb="7" eb="9">
      <t>トクチュウ</t>
    </rPh>
    <rPh sb="14" eb="15">
      <t>カタ</t>
    </rPh>
    <rPh sb="16" eb="18">
      <t>チャクショウ</t>
    </rPh>
    <rPh sb="18" eb="19">
      <t>スウ</t>
    </rPh>
    <phoneticPr fontId="8"/>
  </si>
  <si>
    <t>エレベーター・特注インバータ型・速度</t>
    <rPh sb="7" eb="9">
      <t>トクチュウ</t>
    </rPh>
    <rPh sb="14" eb="15">
      <t>カタ</t>
    </rPh>
    <rPh sb="16" eb="18">
      <t>ソクド</t>
    </rPh>
    <phoneticPr fontId="8"/>
  </si>
  <si>
    <t>エレベーター・特注インバータ型・程度</t>
    <rPh sb="7" eb="9">
      <t>トクチュウ</t>
    </rPh>
    <rPh sb="14" eb="15">
      <t>カタ</t>
    </rPh>
    <rPh sb="16" eb="18">
      <t>テイド</t>
    </rPh>
    <phoneticPr fontId="8"/>
  </si>
  <si>
    <t>エレベーター・特注インバータ型・並列運転数</t>
    <rPh sb="7" eb="9">
      <t>トクチュウ</t>
    </rPh>
    <rPh sb="14" eb="15">
      <t>カタ</t>
    </rPh>
    <rPh sb="16" eb="18">
      <t>ヘイレツ</t>
    </rPh>
    <rPh sb="18" eb="20">
      <t>ウンテン</t>
    </rPh>
    <rPh sb="20" eb="21">
      <t>スウ</t>
    </rPh>
    <phoneticPr fontId="8"/>
  </si>
  <si>
    <t>［ＥＶ特注］</t>
    <rPh sb="3" eb="5">
      <t>トクチュウ</t>
    </rPh>
    <phoneticPr fontId="8"/>
  </si>
  <si>
    <t>上等(ｽﾃﾝﾚｽ)</t>
  </si>
  <si>
    <t>普通（鋼板）</t>
  </si>
  <si>
    <t>エレベーター・高速特注インバータ型・並列運転数</t>
    <rPh sb="7" eb="9">
      <t>コウソク</t>
    </rPh>
    <rPh sb="9" eb="11">
      <t>トクチュウ</t>
    </rPh>
    <rPh sb="16" eb="17">
      <t>カタ</t>
    </rPh>
    <rPh sb="18" eb="20">
      <t>ヘイレツ</t>
    </rPh>
    <rPh sb="20" eb="22">
      <t>ウンテン</t>
    </rPh>
    <rPh sb="22" eb="23">
      <t>スウ</t>
    </rPh>
    <phoneticPr fontId="8"/>
  </si>
  <si>
    <t>［ＥＶ高速特注］</t>
    <rPh sb="3" eb="5">
      <t>コウソク</t>
    </rPh>
    <rPh sb="5" eb="7">
      <t>トクチュウ</t>
    </rPh>
    <phoneticPr fontId="8"/>
  </si>
  <si>
    <t>ﾎｰﾑｴﾚﾍﾞｰﾀｰ</t>
  </si>
  <si>
    <t>ホームエレベーター・積載量</t>
    <rPh sb="10" eb="13">
      <t>セキサイリョウ</t>
    </rPh>
    <phoneticPr fontId="8"/>
  </si>
  <si>
    <t>ホームエレベーター・着床数</t>
    <rPh sb="10" eb="12">
      <t>チャクショウ</t>
    </rPh>
    <rPh sb="12" eb="13">
      <t>スウ</t>
    </rPh>
    <phoneticPr fontId="8"/>
  </si>
  <si>
    <t>ホームエレベーター・程度</t>
    <rPh sb="10" eb="12">
      <t>テイド</t>
    </rPh>
    <phoneticPr fontId="8"/>
  </si>
  <si>
    <t>［ホームＥＶ］</t>
    <phoneticPr fontId="8"/>
  </si>
  <si>
    <t>寝台用ｴﾚﾍﾞｰﾀｰ</t>
    <rPh sb="0" eb="2">
      <t>シンダイ</t>
    </rPh>
    <rPh sb="2" eb="3">
      <t>ヨウ</t>
    </rPh>
    <phoneticPr fontId="8"/>
  </si>
  <si>
    <t>寝台用エレベーター・積載量</t>
    <rPh sb="0" eb="2">
      <t>シンダイ</t>
    </rPh>
    <rPh sb="2" eb="3">
      <t>ヨウ</t>
    </rPh>
    <rPh sb="10" eb="13">
      <t>セキサイリョウ</t>
    </rPh>
    <phoneticPr fontId="8"/>
  </si>
  <si>
    <t>寝台用エレベーター・着床数</t>
    <rPh sb="0" eb="2">
      <t>シンダイ</t>
    </rPh>
    <rPh sb="2" eb="3">
      <t>ヨウ</t>
    </rPh>
    <rPh sb="10" eb="12">
      <t>チャクショウ</t>
    </rPh>
    <rPh sb="12" eb="13">
      <t>スウ</t>
    </rPh>
    <phoneticPr fontId="8"/>
  </si>
  <si>
    <t>寝台用エレベーター・速度</t>
    <rPh sb="0" eb="2">
      <t>シンダイ</t>
    </rPh>
    <rPh sb="2" eb="3">
      <t>ヨウ</t>
    </rPh>
    <rPh sb="10" eb="12">
      <t>ソクド</t>
    </rPh>
    <phoneticPr fontId="8"/>
  </si>
  <si>
    <t>寝台用エレベーター・程度</t>
    <rPh sb="0" eb="2">
      <t>シンダイ</t>
    </rPh>
    <rPh sb="2" eb="3">
      <t>ヨウ</t>
    </rPh>
    <rPh sb="10" eb="12">
      <t>テイド</t>
    </rPh>
    <phoneticPr fontId="8"/>
  </si>
  <si>
    <t>寝台用エレベーター・並列運転数</t>
    <rPh sb="0" eb="2">
      <t>シンダイ</t>
    </rPh>
    <rPh sb="2" eb="3">
      <t>ヨウ</t>
    </rPh>
    <rPh sb="10" eb="12">
      <t>ヘイレツ</t>
    </rPh>
    <rPh sb="12" eb="14">
      <t>ウンテン</t>
    </rPh>
    <rPh sb="14" eb="15">
      <t>スウ</t>
    </rPh>
    <phoneticPr fontId="8"/>
  </si>
  <si>
    <t>［寝台ＥＶ］</t>
    <rPh sb="1" eb="3">
      <t>シンダイ</t>
    </rPh>
    <phoneticPr fontId="8"/>
  </si>
  <si>
    <t>人荷用エレベーター</t>
    <rPh sb="0" eb="2">
      <t>ヒトニ</t>
    </rPh>
    <rPh sb="2" eb="3">
      <t>ヨウ</t>
    </rPh>
    <phoneticPr fontId="8"/>
  </si>
  <si>
    <t>人荷用エレベーター・積載量</t>
    <rPh sb="0" eb="2">
      <t>ヒトニ</t>
    </rPh>
    <rPh sb="2" eb="3">
      <t>ヨウ</t>
    </rPh>
    <rPh sb="10" eb="13">
      <t>セキサイリョウ</t>
    </rPh>
    <phoneticPr fontId="8"/>
  </si>
  <si>
    <t>人荷用エレベーター・着床数</t>
    <rPh sb="0" eb="2">
      <t>ヒトニ</t>
    </rPh>
    <rPh sb="2" eb="3">
      <t>ヨウ</t>
    </rPh>
    <rPh sb="10" eb="12">
      <t>チャクショウ</t>
    </rPh>
    <rPh sb="12" eb="13">
      <t>スウ</t>
    </rPh>
    <phoneticPr fontId="8"/>
  </si>
  <si>
    <t>人荷用エレベーター・速度</t>
    <rPh sb="0" eb="2">
      <t>ヒトニ</t>
    </rPh>
    <rPh sb="2" eb="3">
      <t>ヨウ</t>
    </rPh>
    <rPh sb="10" eb="12">
      <t>ソクド</t>
    </rPh>
    <phoneticPr fontId="8"/>
  </si>
  <si>
    <t>人荷用エレベーター・程度</t>
    <rPh sb="0" eb="2">
      <t>ヒトニ</t>
    </rPh>
    <rPh sb="2" eb="3">
      <t>ヨウ</t>
    </rPh>
    <rPh sb="10" eb="12">
      <t>テイド</t>
    </rPh>
    <phoneticPr fontId="8"/>
  </si>
  <si>
    <t>［人荷ＥＶ］</t>
    <rPh sb="1" eb="2">
      <t>ヒト</t>
    </rPh>
    <rPh sb="2" eb="3">
      <t>ニ</t>
    </rPh>
    <phoneticPr fontId="8"/>
  </si>
  <si>
    <t>上等(ステンレス)</t>
  </si>
  <si>
    <t>自動車用電動</t>
    <rPh sb="0" eb="3">
      <t>ジドウシャ</t>
    </rPh>
    <rPh sb="3" eb="6">
      <t>ヨウデンドウ</t>
    </rPh>
    <phoneticPr fontId="8"/>
  </si>
  <si>
    <t>自動車用エレベーター・電動式・積載量</t>
    <rPh sb="0" eb="3">
      <t>ジドウシャ</t>
    </rPh>
    <rPh sb="3" eb="4">
      <t>ヨウ</t>
    </rPh>
    <rPh sb="11" eb="14">
      <t>デンドウシキ</t>
    </rPh>
    <rPh sb="15" eb="18">
      <t>セキサイリョウ</t>
    </rPh>
    <phoneticPr fontId="8"/>
  </si>
  <si>
    <t>自動車用エレベーター・電動式・着床数</t>
    <rPh sb="0" eb="3">
      <t>ジドウシャ</t>
    </rPh>
    <rPh sb="3" eb="4">
      <t>ヨウ</t>
    </rPh>
    <rPh sb="11" eb="14">
      <t>デンドウシキ</t>
    </rPh>
    <rPh sb="15" eb="17">
      <t>チャクショウ</t>
    </rPh>
    <rPh sb="17" eb="18">
      <t>スウ</t>
    </rPh>
    <phoneticPr fontId="8"/>
  </si>
  <si>
    <t>自動車用エレベーター・電動式・速度</t>
    <rPh sb="0" eb="3">
      <t>ジドウシャ</t>
    </rPh>
    <rPh sb="3" eb="4">
      <t>ヨウ</t>
    </rPh>
    <rPh sb="11" eb="14">
      <t>デンドウシキ</t>
    </rPh>
    <rPh sb="15" eb="17">
      <t>ソクド</t>
    </rPh>
    <phoneticPr fontId="8"/>
  </si>
  <si>
    <t>自動車用エレベーター・電動式・型別</t>
    <rPh sb="0" eb="3">
      <t>ジドウシャ</t>
    </rPh>
    <rPh sb="3" eb="4">
      <t>ヨウ</t>
    </rPh>
    <rPh sb="11" eb="14">
      <t>デンドウシキ</t>
    </rPh>
    <rPh sb="15" eb="16">
      <t>カタ</t>
    </rPh>
    <rPh sb="16" eb="17">
      <t>ベツ</t>
    </rPh>
    <phoneticPr fontId="8"/>
  </si>
  <si>
    <t>自動車用エレベーター・電動式・程度</t>
    <rPh sb="0" eb="3">
      <t>ジドウシャ</t>
    </rPh>
    <rPh sb="3" eb="4">
      <t>ヨウ</t>
    </rPh>
    <rPh sb="11" eb="14">
      <t>デンドウシキ</t>
    </rPh>
    <rPh sb="15" eb="17">
      <t>テイド</t>
    </rPh>
    <phoneticPr fontId="8"/>
  </si>
  <si>
    <t>［自動車電動ＥＶ］</t>
    <rPh sb="1" eb="4">
      <t>ジドウシャ</t>
    </rPh>
    <rPh sb="4" eb="6">
      <t>デンドウ</t>
    </rPh>
    <phoneticPr fontId="8"/>
  </si>
  <si>
    <t>全自動,直流</t>
    <rPh sb="0" eb="3">
      <t>ゼンジドウ</t>
    </rPh>
    <rPh sb="4" eb="6">
      <t>チョクリュウ</t>
    </rPh>
    <phoneticPr fontId="8"/>
  </si>
  <si>
    <t>全自動,交流</t>
    <rPh sb="0" eb="3">
      <t>ゼンジドウ</t>
    </rPh>
    <rPh sb="4" eb="6">
      <t>コウリュウ</t>
    </rPh>
    <phoneticPr fontId="8"/>
  </si>
  <si>
    <t>手動,交流</t>
    <rPh sb="0" eb="2">
      <t>シュドウ</t>
    </rPh>
    <rPh sb="3" eb="5">
      <t>コウリュウ</t>
    </rPh>
    <phoneticPr fontId="8"/>
  </si>
  <si>
    <t>全自動,直流</t>
  </si>
  <si>
    <t>全自動,交流</t>
  </si>
  <si>
    <t>手動,交流</t>
  </si>
  <si>
    <t>自動車用油圧</t>
    <rPh sb="0" eb="3">
      <t>ジドウシャ</t>
    </rPh>
    <rPh sb="3" eb="4">
      <t>ヨウ</t>
    </rPh>
    <rPh sb="4" eb="6">
      <t>ユアツ</t>
    </rPh>
    <phoneticPr fontId="8"/>
  </si>
  <si>
    <t>自動車用エレベーター・油圧式・積載量</t>
    <rPh sb="0" eb="3">
      <t>ジドウシャ</t>
    </rPh>
    <rPh sb="3" eb="4">
      <t>ヨウ</t>
    </rPh>
    <rPh sb="11" eb="13">
      <t>ユアツ</t>
    </rPh>
    <rPh sb="13" eb="14">
      <t>デンドウシキ</t>
    </rPh>
    <rPh sb="15" eb="18">
      <t>セキサイリョウ</t>
    </rPh>
    <phoneticPr fontId="8"/>
  </si>
  <si>
    <t>自動車用エレベーター・油圧式・速度</t>
    <rPh sb="0" eb="3">
      <t>ジドウシャ</t>
    </rPh>
    <rPh sb="3" eb="4">
      <t>ヨウ</t>
    </rPh>
    <rPh sb="11" eb="13">
      <t>ユアツ</t>
    </rPh>
    <rPh sb="13" eb="14">
      <t>デンドウシキ</t>
    </rPh>
    <rPh sb="15" eb="17">
      <t>ソクド</t>
    </rPh>
    <phoneticPr fontId="8"/>
  </si>
  <si>
    <t>自動車用エレベーター・油圧式・程度</t>
    <rPh sb="0" eb="3">
      <t>ジドウシャ</t>
    </rPh>
    <rPh sb="3" eb="4">
      <t>ヨウ</t>
    </rPh>
    <rPh sb="11" eb="13">
      <t>ユアツ</t>
    </rPh>
    <rPh sb="13" eb="14">
      <t>デンドウシキ</t>
    </rPh>
    <rPh sb="15" eb="17">
      <t>テイド</t>
    </rPh>
    <phoneticPr fontId="8"/>
  </si>
  <si>
    <t>［自動車油圧ＥＶ］</t>
    <rPh sb="1" eb="4">
      <t>ジドウシャ</t>
    </rPh>
    <rPh sb="4" eb="6">
      <t>ユアツ</t>
    </rPh>
    <phoneticPr fontId="8"/>
  </si>
  <si>
    <t>小荷物専用昇降機・積載量</t>
    <rPh sb="0" eb="3">
      <t>コニモツ</t>
    </rPh>
    <rPh sb="3" eb="5">
      <t>センヨウ</t>
    </rPh>
    <rPh sb="5" eb="8">
      <t>ショウコウキ</t>
    </rPh>
    <rPh sb="9" eb="12">
      <t>セキサイリョウ</t>
    </rPh>
    <phoneticPr fontId="8"/>
  </si>
  <si>
    <t>小荷物専用昇降機・着床数</t>
    <rPh sb="0" eb="3">
      <t>コニモツ</t>
    </rPh>
    <rPh sb="3" eb="5">
      <t>センヨウ</t>
    </rPh>
    <rPh sb="5" eb="8">
      <t>ショウコウキ</t>
    </rPh>
    <rPh sb="9" eb="11">
      <t>チャクショウ</t>
    </rPh>
    <rPh sb="11" eb="12">
      <t>スウ</t>
    </rPh>
    <phoneticPr fontId="8"/>
  </si>
  <si>
    <t>小荷物専用昇降機・速度</t>
    <rPh sb="0" eb="3">
      <t>コニモツ</t>
    </rPh>
    <rPh sb="3" eb="5">
      <t>センヨウ</t>
    </rPh>
    <rPh sb="5" eb="8">
      <t>ショウコウキ</t>
    </rPh>
    <rPh sb="9" eb="11">
      <t>ソクド</t>
    </rPh>
    <phoneticPr fontId="8"/>
  </si>
  <si>
    <t>小荷物専用昇降機・程度</t>
    <rPh sb="0" eb="3">
      <t>コニモツ</t>
    </rPh>
    <rPh sb="3" eb="5">
      <t>センヨウ</t>
    </rPh>
    <rPh sb="5" eb="8">
      <t>ショウコウキ</t>
    </rPh>
    <rPh sb="9" eb="11">
      <t>テイド</t>
    </rPh>
    <phoneticPr fontId="8"/>
  </si>
  <si>
    <t>［小荷物専用昇降機］</t>
    <rPh sb="1" eb="4">
      <t>コニモツ</t>
    </rPh>
    <rPh sb="4" eb="6">
      <t>センヨウ</t>
    </rPh>
    <rPh sb="6" eb="9">
      <t>ショウコウキ</t>
    </rPh>
    <phoneticPr fontId="8"/>
  </si>
  <si>
    <t>　</t>
  </si>
  <si>
    <t>ｽﾃﾝﾚｽ製</t>
    <rPh sb="5" eb="6">
      <t>セイ</t>
    </rPh>
    <phoneticPr fontId="24"/>
  </si>
  <si>
    <t>鉄板製</t>
    <rPh sb="0" eb="2">
      <t>テッパン</t>
    </rPh>
    <rPh sb="2" eb="3">
      <t>セイ</t>
    </rPh>
    <phoneticPr fontId="24"/>
  </si>
  <si>
    <t>内部木製</t>
    <rPh sb="0" eb="2">
      <t>ナイブ</t>
    </rPh>
    <rPh sb="2" eb="4">
      <t>モクセイ</t>
    </rPh>
    <phoneticPr fontId="24"/>
  </si>
  <si>
    <t>欄干透明</t>
    <rPh sb="0" eb="2">
      <t>ランカン</t>
    </rPh>
    <rPh sb="2" eb="4">
      <t>トウメイ</t>
    </rPh>
    <phoneticPr fontId="8"/>
  </si>
  <si>
    <t>欄干ｽﾃﾝﾚｽ</t>
    <rPh sb="0" eb="2">
      <t>ランカン</t>
    </rPh>
    <phoneticPr fontId="24"/>
  </si>
  <si>
    <t>家屋所在地</t>
  </si>
  <si>
    <t>家屋番号等</t>
  </si>
  <si>
    <t>主体</t>
    <rPh sb="0" eb="1">
      <t>シュ</t>
    </rPh>
    <rPh sb="1" eb="2">
      <t>カラダ</t>
    </rPh>
    <phoneticPr fontId="8"/>
  </si>
  <si>
    <t>屋根</t>
    <rPh sb="0" eb="1">
      <t>ヤ</t>
    </rPh>
    <rPh sb="1" eb="2">
      <t>ネ</t>
    </rPh>
    <phoneticPr fontId="8"/>
  </si>
  <si>
    <t>階数</t>
    <rPh sb="0" eb="1">
      <t>カイ</t>
    </rPh>
    <rPh sb="1" eb="2">
      <t>スウ</t>
    </rPh>
    <phoneticPr fontId="8"/>
  </si>
  <si>
    <t>地階</t>
    <rPh sb="0" eb="2">
      <t>チカイ</t>
    </rPh>
    <phoneticPr fontId="8"/>
  </si>
  <si>
    <t>取得者住所</t>
  </si>
  <si>
    <t>取得年月日</t>
  </si>
  <si>
    <t>構造</t>
  </si>
  <si>
    <t>Ｓ</t>
  </si>
  <si>
    <t>・</t>
  </si>
  <si>
    <t>３Ｆ</t>
  </si>
  <si>
    <t>なし</t>
  </si>
  <si>
    <t>取得者氏名</t>
  </si>
  <si>
    <t>調査年月日</t>
  </si>
  <si>
    <t>事務所・店舗・百貨店</t>
  </si>
  <si>
    <t>床面積</t>
  </si>
  <si>
    <t>延床面積</t>
  </si>
  <si>
    <t>建床面積</t>
  </si>
  <si>
    <t>１Ｆ</t>
  </si>
  <si>
    <t>２Ｆ</t>
  </si>
  <si>
    <t>４Ｆ</t>
  </si>
  <si>
    <t>５Ｆ</t>
  </si>
  <si>
    <t>６Ｆ</t>
  </si>
  <si>
    <t>７Ｆ</t>
  </si>
  <si>
    <t>８Ｆ</t>
  </si>
  <si>
    <t>９Ｆ</t>
  </si>
  <si>
    <t>１０Ｆ</t>
  </si>
  <si>
    <t>住宅部面積</t>
  </si>
  <si>
    <t>11Ｆ</t>
  </si>
  <si>
    <t>12Ｆ</t>
  </si>
  <si>
    <t>13Ｆ</t>
  </si>
  <si>
    <t>14Ｆ</t>
  </si>
  <si>
    <t>15Ｆ</t>
  </si>
  <si>
    <t>16Ｆ</t>
  </si>
  <si>
    <t>[Ｂ１Ｆ]</t>
    <phoneticPr fontId="8"/>
  </si>
  <si>
    <t>[Ｂ２Ｆ]</t>
  </si>
  <si>
    <t>[Ｂ３Ｆ]</t>
  </si>
  <si>
    <t>[Ｂ４Ｆ]</t>
  </si>
  <si>
    <t>印刷方法について</t>
    <rPh sb="0" eb="2">
      <t>インサツ</t>
    </rPh>
    <rPh sb="2" eb="4">
      <t>ホウホウ</t>
    </rPh>
    <phoneticPr fontId="8"/>
  </si>
  <si>
    <t>主体構造部／明確</t>
  </si>
  <si>
    <t>評　点　項　目</t>
  </si>
  <si>
    <t>標準評点数</t>
  </si>
  <si>
    <t>数量（単位）</t>
  </si>
  <si>
    <t>合計評点数</t>
  </si>
  <si>
    <t>規模</t>
    <rPh sb="0" eb="2">
      <t>キボ</t>
    </rPh>
    <phoneticPr fontId="8"/>
  </si>
  <si>
    <t>工事形態</t>
  </si>
  <si>
    <t>補正係数</t>
  </si>
  <si>
    <t>鉄骨等評点数</t>
    <rPh sb="0" eb="2">
      <t>テッコツ</t>
    </rPh>
    <rPh sb="2" eb="3">
      <t>ナド</t>
    </rPh>
    <phoneticPr fontId="8"/>
  </si>
  <si>
    <t>鉄骨</t>
    <rPh sb="0" eb="2">
      <t>テッコツ</t>
    </rPh>
    <phoneticPr fontId="8"/>
  </si>
  <si>
    <t>ｔ</t>
  </si>
  <si>
    <t>　胴縁控除（ｔ）</t>
  </si>
  <si>
    <t>　母屋控除（ｔ）</t>
  </si>
  <si>
    <t>計算値</t>
  </si>
  <si>
    <t>×5kg=</t>
    <phoneticPr fontId="8"/>
  </si>
  <si>
    <t>母屋</t>
    <phoneticPr fontId="8"/>
  </si>
  <si>
    <t>㎡(母屋㎡)÷</t>
    <phoneticPr fontId="8"/>
  </si>
  <si>
    <t>軽量鉄骨評点数</t>
    <rPh sb="0" eb="2">
      <t>ケイリョウ</t>
    </rPh>
    <rPh sb="2" eb="4">
      <t>テッコツ</t>
    </rPh>
    <phoneticPr fontId="8"/>
  </si>
  <si>
    <t>軽量鉄骨</t>
    <rPh sb="0" eb="2">
      <t>ケイリョウ</t>
    </rPh>
    <rPh sb="2" eb="4">
      <t>テッコツ</t>
    </rPh>
    <phoneticPr fontId="8"/>
  </si>
  <si>
    <t>複雑</t>
  </si>
  <si>
    <t>軽量鉄骨 ［亜鉛めっき］（ｔ）</t>
    <phoneticPr fontId="8"/>
  </si>
  <si>
    <t>評 点 数</t>
    <phoneticPr fontId="8"/>
  </si>
  <si>
    <t>－</t>
  </si>
  <si>
    <t>鉄筋等評点数</t>
    <rPh sb="0" eb="2">
      <t>テッキン</t>
    </rPh>
    <rPh sb="2" eb="3">
      <t>ナド</t>
    </rPh>
    <phoneticPr fontId="8"/>
  </si>
  <si>
    <t>部分別評点数</t>
    <rPh sb="0" eb="2">
      <t>ブブン</t>
    </rPh>
    <rPh sb="2" eb="3">
      <t>ベツ</t>
    </rPh>
    <rPh sb="3" eb="4">
      <t>ヒョウ</t>
    </rPh>
    <rPh sb="4" eb="6">
      <t>テンスウ</t>
    </rPh>
    <phoneticPr fontId="8"/>
  </si>
  <si>
    <t>主体構造部／不明確</t>
  </si>
  <si>
    <t>－</t>
    <phoneticPr fontId="8"/>
  </si>
  <si>
    <t>評 点 数</t>
    <phoneticPr fontId="8"/>
  </si>
  <si>
    <t>部分別評点数</t>
  </si>
  <si>
    <t>事務所・店舗・百貨店</t>
    <rPh sb="0" eb="3">
      <t>ジムショ</t>
    </rPh>
    <rPh sb="4" eb="6">
      <t>テンポ</t>
    </rPh>
    <rPh sb="7" eb="10">
      <t>ヒャッカテン</t>
    </rPh>
    <phoneticPr fontId="8"/>
  </si>
  <si>
    <t>住宅・アパート</t>
    <rPh sb="0" eb="2">
      <t>ジュウタク</t>
    </rPh>
    <phoneticPr fontId="8"/>
  </si>
  <si>
    <t>病院・ホテル</t>
    <rPh sb="0" eb="2">
      <t>ビョウイン</t>
    </rPh>
    <phoneticPr fontId="8"/>
  </si>
  <si>
    <t>(延床㎡)</t>
    <rPh sb="1" eb="2">
      <t>ノベ</t>
    </rPh>
    <rPh sb="2" eb="3">
      <t>ユカ</t>
    </rPh>
    <phoneticPr fontId="8"/>
  </si>
  <si>
    <t>合計評点数</t>
    <rPh sb="0" eb="2">
      <t>ゴウケイ</t>
    </rPh>
    <rPh sb="2" eb="3">
      <t>ヒョウ</t>
    </rPh>
    <rPh sb="3" eb="5">
      <t>テンスウ</t>
    </rPh>
    <phoneticPr fontId="9"/>
  </si>
  <si>
    <t>動力配線</t>
    <rPh sb="0" eb="2">
      <t>ドウリョク</t>
    </rPh>
    <rPh sb="2" eb="4">
      <t>ハイセン</t>
    </rPh>
    <phoneticPr fontId="8"/>
  </si>
  <si>
    <t>操作方式</t>
    <rPh sb="0" eb="2">
      <t>ソウサ</t>
    </rPh>
    <rPh sb="2" eb="4">
      <t>ホウシキ</t>
    </rPh>
    <phoneticPr fontId="8"/>
  </si>
  <si>
    <t>程度</t>
    <rPh sb="0" eb="2">
      <t>テイド</t>
    </rPh>
    <phoneticPr fontId="8"/>
  </si>
  <si>
    <t>動力負荷</t>
    <rPh sb="0" eb="2">
      <t>ドウリョク</t>
    </rPh>
    <rPh sb="2" eb="4">
      <t>フカ</t>
    </rPh>
    <phoneticPr fontId="8"/>
  </si>
  <si>
    <t>多い</t>
  </si>
  <si>
    <t>動力合計</t>
    <rPh sb="0" eb="2">
      <t>ドウリョク</t>
    </rPh>
    <rPh sb="2" eb="4">
      <t>ゴウケイ</t>
    </rPh>
    <phoneticPr fontId="8"/>
  </si>
  <si>
    <t>ＥＶ</t>
    <phoneticPr fontId="8"/>
  </si>
  <si>
    <t>軽量鉄骨 （ｔ）</t>
    <phoneticPr fontId="8"/>
  </si>
  <si>
    <t>工場・倉庫・市場</t>
    <rPh sb="0" eb="2">
      <t>コウジョウ</t>
    </rPh>
    <rPh sb="3" eb="5">
      <t>ソウコ</t>
    </rPh>
    <rPh sb="6" eb="8">
      <t>イチバ</t>
    </rPh>
    <phoneticPr fontId="8"/>
  </si>
  <si>
    <t>劇場型建物</t>
    <rPh sb="0" eb="3">
      <t>ゲキジョウガタ</t>
    </rPh>
    <rPh sb="3" eb="5">
      <t>タテモノ</t>
    </rPh>
    <phoneticPr fontId="8"/>
  </si>
  <si>
    <t>鉄骨 ［耐火被覆有/塗装無］</t>
  </si>
  <si>
    <t>鉄骨 ［耐火被覆有/塗装有］</t>
  </si>
  <si>
    <t>鉄骨 ［耐火被覆無/塗装無］</t>
  </si>
  <si>
    <t>鉄骨 ［耐火被覆無/塗装有］</t>
    <phoneticPr fontId="8"/>
  </si>
  <si>
    <t>鉄骨 ［耐火被覆無/亜鉛めっき］</t>
  </si>
  <si>
    <t>鉄筋コンクリート</t>
  </si>
  <si>
    <t>不能</t>
    <rPh sb="0" eb="2">
      <t>フノウ</t>
    </rPh>
    <phoneticPr fontId="8"/>
  </si>
  <si>
    <t xml:space="preserve">軽量鉄骨 </t>
    <phoneticPr fontId="8"/>
  </si>
  <si>
    <t>軽量鉄骨 ［亜鉛めっき］</t>
  </si>
  <si>
    <t>階層数</t>
  </si>
  <si>
    <t>階　高</t>
    <phoneticPr fontId="8"/>
  </si>
  <si>
    <t>柱　間</t>
    <phoneticPr fontId="8"/>
  </si>
  <si>
    <t>装　備</t>
    <phoneticPr fontId="8"/>
  </si>
  <si>
    <t>壁面積大小</t>
  </si>
  <si>
    <t>地　階</t>
    <phoneticPr fontId="8"/>
  </si>
  <si>
    <t>軒　高</t>
    <phoneticPr fontId="8"/>
  </si>
  <si>
    <t>程　度</t>
    <rPh sb="0" eb="1">
      <t>ホド</t>
    </rPh>
    <rPh sb="2" eb="3">
      <t>ド</t>
    </rPh>
    <phoneticPr fontId="8"/>
  </si>
  <si>
    <t>F</t>
    <phoneticPr fontId="8"/>
  </si>
  <si>
    <t>m</t>
    <phoneticPr fontId="8"/>
  </si>
  <si>
    <t>ｔ</t>
    <phoneticPr fontId="8"/>
  </si>
  <si>
    <t>普通</t>
  </si>
  <si>
    <t>基　礎　工　事</t>
    <rPh sb="0" eb="1">
      <t>モト</t>
    </rPh>
    <rPh sb="2" eb="3">
      <t>イシズエ</t>
    </rPh>
    <rPh sb="4" eb="5">
      <t>コウ</t>
    </rPh>
    <rPh sb="6" eb="7">
      <t>コト</t>
    </rPh>
    <phoneticPr fontId="8"/>
  </si>
  <si>
    <t>基 礎</t>
    <phoneticPr fontId="8"/>
  </si>
  <si>
    <t>評点項目</t>
  </si>
  <si>
    <t>地階の有無</t>
    <rPh sb="0" eb="1">
      <t>チ</t>
    </rPh>
    <rPh sb="1" eb="2">
      <t>カイ</t>
    </rPh>
    <rPh sb="3" eb="5">
      <t>ウム</t>
    </rPh>
    <phoneticPr fontId="8"/>
  </si>
  <si>
    <t>根切土量</t>
  </si>
  <si>
    <t>地　　階</t>
    <phoneticPr fontId="8"/>
  </si>
  <si>
    <t>地　　盤</t>
    <phoneticPr fontId="8"/>
  </si>
  <si>
    <t>敷　　地</t>
    <phoneticPr fontId="8"/>
  </si>
  <si>
    <t>評 点 数</t>
    <phoneticPr fontId="8"/>
  </si>
  <si>
    <t>根伐評点数</t>
    <rPh sb="0" eb="1">
      <t>ネ</t>
    </rPh>
    <rPh sb="1" eb="2">
      <t>バツ</t>
    </rPh>
    <rPh sb="2" eb="4">
      <t>ヒョウテン</t>
    </rPh>
    <rPh sb="4" eb="5">
      <t>カズ</t>
    </rPh>
    <phoneticPr fontId="8"/>
  </si>
  <si>
    <t>根 伐</t>
    <rPh sb="2" eb="3">
      <t>キ</t>
    </rPh>
    <phoneticPr fontId="8"/>
  </si>
  <si>
    <t>根伐工事</t>
    <rPh sb="0" eb="1">
      <t>ネ</t>
    </rPh>
    <rPh sb="1" eb="2">
      <t>キ</t>
    </rPh>
    <rPh sb="2" eb="4">
      <t>コウジ</t>
    </rPh>
    <phoneticPr fontId="8"/>
  </si>
  <si>
    <t>㎡</t>
  </si>
  <si>
    <t>あり</t>
    <phoneticPr fontId="8"/>
  </si>
  <si>
    <t>深い</t>
  </si>
  <si>
    <t>B2F</t>
  </si>
  <si>
    <t>軟弱</t>
  </si>
  <si>
    <t>密集</t>
  </si>
  <si>
    <t>なし</t>
    <phoneticPr fontId="8"/>
  </si>
  <si>
    <t>B1F</t>
  </si>
  <si>
    <t>浅い</t>
  </si>
  <si>
    <t>堅牢</t>
  </si>
  <si>
    <t>根伐土量（m3）</t>
    <rPh sb="0" eb="1">
      <t>ネ</t>
    </rPh>
    <rPh sb="1" eb="2">
      <t>バツ</t>
    </rPh>
    <rPh sb="2" eb="3">
      <t>ツチ</t>
    </rPh>
    <rPh sb="3" eb="4">
      <t>リョウ</t>
    </rPh>
    <phoneticPr fontId="8"/>
  </si>
  <si>
    <t>建床面積</t>
    <rPh sb="0" eb="1">
      <t>タ</t>
    </rPh>
    <rPh sb="1" eb="2">
      <t>ユカ</t>
    </rPh>
    <rPh sb="2" eb="4">
      <t>メンセキ</t>
    </rPh>
    <phoneticPr fontId="8"/>
  </si>
  <si>
    <t>←</t>
    <phoneticPr fontId="8"/>
  </si>
  <si>
    <t>計算値</t>
    <rPh sb="0" eb="3">
      <t>ケイサンチ</t>
    </rPh>
    <phoneticPr fontId="8"/>
  </si>
  <si>
    <t>施工量多少</t>
    <phoneticPr fontId="8"/>
  </si>
  <si>
    <t>施工の程度</t>
  </si>
  <si>
    <t>階　　数</t>
    <phoneticPr fontId="8"/>
  </si>
  <si>
    <t>－</t>
    <phoneticPr fontId="8"/>
  </si>
  <si>
    <t>布基礎評点数</t>
    <rPh sb="0" eb="1">
      <t>ヌノ</t>
    </rPh>
    <rPh sb="1" eb="3">
      <t>キソ</t>
    </rPh>
    <rPh sb="3" eb="4">
      <t>ヒョウ</t>
    </rPh>
    <rPh sb="4" eb="6">
      <t>テンスウ</t>
    </rPh>
    <phoneticPr fontId="8"/>
  </si>
  <si>
    <t>1.20m</t>
    <phoneticPr fontId="8"/>
  </si>
  <si>
    <t>良い</t>
  </si>
  <si>
    <t>3階</t>
    <rPh sb="1" eb="2">
      <t>カイ</t>
    </rPh>
    <phoneticPr fontId="8"/>
  </si>
  <si>
    <t>悪い</t>
  </si>
  <si>
    <t>基礎延長（m）</t>
    <rPh sb="0" eb="2">
      <t>キソ</t>
    </rPh>
    <rPh sb="2" eb="4">
      <t>エンチョウ</t>
    </rPh>
    <phoneticPr fontId="8"/>
  </si>
  <si>
    <t>m</t>
    <phoneticPr fontId="8"/>
  </si>
  <si>
    <t>ｍ</t>
    <phoneticPr fontId="8"/>
  </si>
  <si>
    <t>施工の程度</t>
    <rPh sb="0" eb="2">
      <t>セコウ</t>
    </rPh>
    <rPh sb="3" eb="4">
      <t>ホド</t>
    </rPh>
    <rPh sb="4" eb="5">
      <t>ド</t>
    </rPh>
    <phoneticPr fontId="8"/>
  </si>
  <si>
    <t>個　　数</t>
    <rPh sb="0" eb="1">
      <t>コ</t>
    </rPh>
    <rPh sb="3" eb="4">
      <t>カズ</t>
    </rPh>
    <phoneticPr fontId="8"/>
  </si>
  <si>
    <t>独立基礎評点数</t>
    <rPh sb="0" eb="2">
      <t>ドクリツ</t>
    </rPh>
    <rPh sb="2" eb="4">
      <t>キソ</t>
    </rPh>
    <rPh sb="4" eb="6">
      <t>ヒョウテン</t>
    </rPh>
    <rPh sb="6" eb="7">
      <t>スウ</t>
    </rPh>
    <phoneticPr fontId="8"/>
  </si>
  <si>
    <t>個</t>
  </si>
  <si>
    <t>良い</t>
    <rPh sb="0" eb="1">
      <t>ヨ</t>
    </rPh>
    <phoneticPr fontId="19"/>
  </si>
  <si>
    <t>普通</t>
    <rPh sb="0" eb="2">
      <t>フツウ</t>
    </rPh>
    <phoneticPr fontId="19"/>
  </si>
  <si>
    <t>悪い</t>
    <rPh sb="0" eb="1">
      <t>ワル</t>
    </rPh>
    <phoneticPr fontId="19"/>
  </si>
  <si>
    <t>杭　打　地　業</t>
    <rPh sb="0" eb="1">
      <t>クイ</t>
    </rPh>
    <rPh sb="2" eb="3">
      <t>ウ</t>
    </rPh>
    <rPh sb="4" eb="5">
      <t>チ</t>
    </rPh>
    <rPh sb="6" eb="7">
      <t>ギョウ</t>
    </rPh>
    <phoneticPr fontId="8"/>
  </si>
  <si>
    <t>基 礎</t>
    <rPh sb="0" eb="1">
      <t>モト</t>
    </rPh>
    <rPh sb="2" eb="3">
      <t>イシズエ</t>
    </rPh>
    <phoneticPr fontId="8"/>
  </si>
  <si>
    <t>評点項目</t>
    <rPh sb="0" eb="2">
      <t>ヒョウテン</t>
    </rPh>
    <rPh sb="2" eb="4">
      <t>コウモク</t>
    </rPh>
    <phoneticPr fontId="8"/>
  </si>
  <si>
    <t>本数</t>
    <rPh sb="0" eb="1">
      <t>ホン</t>
    </rPh>
    <rPh sb="1" eb="2">
      <t>カズ</t>
    </rPh>
    <phoneticPr fontId="8"/>
  </si>
  <si>
    <t>直径(cm)</t>
    <rPh sb="0" eb="2">
      <t>チョッケイ</t>
    </rPh>
    <phoneticPr fontId="8"/>
  </si>
  <si>
    <t>杭長(m)</t>
    <rPh sb="0" eb="1">
      <t>クイ</t>
    </rPh>
    <rPh sb="1" eb="2">
      <t>ナガ</t>
    </rPh>
    <phoneticPr fontId="8"/>
  </si>
  <si>
    <r>
      <t>直径</t>
    </r>
    <r>
      <rPr>
        <vertAlign val="superscript"/>
        <sz val="9"/>
        <rFont val="ＭＳ Ｐゴシック"/>
        <family val="3"/>
        <charset val="128"/>
      </rPr>
      <t>２</t>
    </r>
    <r>
      <rPr>
        <sz val="9"/>
        <rFont val="ＭＳ Ｐゴシック"/>
        <family val="3"/>
        <charset val="128"/>
      </rPr>
      <t>×杭長</t>
    </r>
    <rPh sb="0" eb="2">
      <t>チョッケイ</t>
    </rPh>
    <rPh sb="4" eb="5">
      <t>クイ</t>
    </rPh>
    <rPh sb="5" eb="6">
      <t>ナガ</t>
    </rPh>
    <phoneticPr fontId="8"/>
  </si>
  <si>
    <t>評 点 数</t>
    <phoneticPr fontId="8"/>
  </si>
  <si>
    <t>本　　数</t>
    <rPh sb="0" eb="1">
      <t>ホン</t>
    </rPh>
    <rPh sb="3" eb="4">
      <t>カズ</t>
    </rPh>
    <phoneticPr fontId="8"/>
  </si>
  <si>
    <t>合計評点数</t>
    <rPh sb="0" eb="2">
      <t>ゴウケイ</t>
    </rPh>
    <rPh sb="2" eb="4">
      <t>ヒョウテン</t>
    </rPh>
    <rPh sb="4" eb="5">
      <t>スウ</t>
    </rPh>
    <phoneticPr fontId="8"/>
  </si>
  <si>
    <t>杭 打</t>
    <rPh sb="0" eb="1">
      <t>クイ</t>
    </rPh>
    <rPh sb="2" eb="3">
      <t>ウチ</t>
    </rPh>
    <phoneticPr fontId="8"/>
  </si>
  <si>
    <t>cm</t>
    <phoneticPr fontId="8"/>
  </si>
  <si>
    <t>ｍ</t>
    <phoneticPr fontId="8"/>
  </si>
  <si>
    <t>増点</t>
    <rPh sb="0" eb="1">
      <t>ゾウ</t>
    </rPh>
    <rPh sb="1" eb="2">
      <t>テン</t>
    </rPh>
    <phoneticPr fontId="8"/>
  </si>
  <si>
    <t>cm</t>
    <phoneticPr fontId="8"/>
  </si>
  <si>
    <t>ｍ</t>
    <phoneticPr fontId="8"/>
  </si>
  <si>
    <t>屋　根　構　造</t>
    <rPh sb="0" eb="1">
      <t>ヤ</t>
    </rPh>
    <rPh sb="2" eb="3">
      <t>ネ</t>
    </rPh>
    <phoneticPr fontId="8"/>
  </si>
  <si>
    <t>資材費</t>
    <rPh sb="0" eb="3">
      <t>シザイヒ</t>
    </rPh>
    <phoneticPr fontId="8"/>
  </si>
  <si>
    <t>労務費</t>
    <rPh sb="0" eb="3">
      <t>ロウムヒ</t>
    </rPh>
    <phoneticPr fontId="8"/>
  </si>
  <si>
    <t>下地等</t>
    <rPh sb="0" eb="2">
      <t>シタジ</t>
    </rPh>
    <rPh sb="2" eb="3">
      <t>ナド</t>
    </rPh>
    <phoneticPr fontId="8"/>
  </si>
  <si>
    <t>下地入替</t>
    <rPh sb="0" eb="2">
      <t>シタジ</t>
    </rPh>
    <rPh sb="2" eb="4">
      <t>イレカエ</t>
    </rPh>
    <phoneticPr fontId="8"/>
  </si>
  <si>
    <t>標準評点</t>
  </si>
  <si>
    <r>
      <t>評 点</t>
    </r>
    <r>
      <rPr>
        <sz val="9"/>
        <rFont val="ＭＳ Ｐゴシック"/>
        <family val="3"/>
        <charset val="128"/>
      </rPr>
      <t xml:space="preserve"> </t>
    </r>
    <r>
      <rPr>
        <sz val="9"/>
        <rFont val="ＭＳ Ｐゴシック"/>
        <family val="3"/>
        <charset val="128"/>
      </rPr>
      <t>数</t>
    </r>
    <phoneticPr fontId="8"/>
  </si>
  <si>
    <t>面積（㎡）</t>
    <rPh sb="0" eb="2">
      <t>メンセキ</t>
    </rPh>
    <phoneticPr fontId="8"/>
  </si>
  <si>
    <t>屋根構造</t>
    <rPh sb="0" eb="1">
      <t>ヤ</t>
    </rPh>
    <rPh sb="1" eb="2">
      <t>ネ</t>
    </rPh>
    <rPh sb="2" eb="3">
      <t>カマエ</t>
    </rPh>
    <rPh sb="3" eb="4">
      <t>ヅクリ</t>
    </rPh>
    <phoneticPr fontId="8"/>
  </si>
  <si>
    <t>◆</t>
  </si>
  <si>
    <t>無し</t>
    <rPh sb="0" eb="1">
      <t>ナ</t>
    </rPh>
    <phoneticPr fontId="22"/>
  </si>
  <si>
    <t>+</t>
  </si>
  <si>
    <t>＋</t>
  </si>
  <si>
    <t>◇</t>
  </si>
  <si>
    <t>（自由作成）</t>
    <rPh sb="1" eb="3">
      <t>ジユウ</t>
    </rPh>
    <rPh sb="3" eb="5">
      <t>サクセイ</t>
    </rPh>
    <phoneticPr fontId="8"/>
  </si>
  <si>
    <t>床　　構　　造</t>
    <rPh sb="0" eb="1">
      <t>ユカ</t>
    </rPh>
    <phoneticPr fontId="8"/>
  </si>
  <si>
    <t>床 構 造</t>
    <rPh sb="0" eb="1">
      <t>ユカ</t>
    </rPh>
    <rPh sb="2" eb="3">
      <t>カマエ</t>
    </rPh>
    <rPh sb="4" eb="5">
      <t>ヅクリ</t>
    </rPh>
    <phoneticPr fontId="8"/>
  </si>
  <si>
    <t>+</t>
    <phoneticPr fontId="19"/>
  </si>
  <si>
    <t>+</t>
    <phoneticPr fontId="19"/>
  </si>
  <si>
    <t>+</t>
    <phoneticPr fontId="19"/>
  </si>
  <si>
    <t>+</t>
    <phoneticPr fontId="19"/>
  </si>
  <si>
    <t>+</t>
    <phoneticPr fontId="19"/>
  </si>
  <si>
    <t>(金網含む)</t>
    <rPh sb="1" eb="3">
      <t>カナアミ</t>
    </rPh>
    <rPh sb="3" eb="4">
      <t>フク</t>
    </rPh>
    <phoneticPr fontId="8"/>
  </si>
  <si>
    <t>+</t>
    <phoneticPr fontId="19"/>
  </si>
  <si>
    <t>外周壁骨組</t>
    <rPh sb="0" eb="2">
      <t>ガイシュウ</t>
    </rPh>
    <rPh sb="2" eb="3">
      <t>ヘキ</t>
    </rPh>
    <rPh sb="3" eb="4">
      <t>ホネ</t>
    </rPh>
    <rPh sb="4" eb="5">
      <t>クミ</t>
    </rPh>
    <phoneticPr fontId="8"/>
  </si>
  <si>
    <t>施工の程度</t>
    <rPh sb="0" eb="2">
      <t>セコウ</t>
    </rPh>
    <rPh sb="3" eb="5">
      <t>テイド</t>
    </rPh>
    <phoneticPr fontId="8"/>
  </si>
  <si>
    <t>ﾕﾆｯﾄﾊﾞｽ</t>
    <phoneticPr fontId="8"/>
  </si>
  <si>
    <t>型式</t>
    <rPh sb="0" eb="2">
      <t>カタシキ</t>
    </rPh>
    <phoneticPr fontId="8"/>
  </si>
  <si>
    <t>大きさ
計算値</t>
    <rPh sb="0" eb="1">
      <t>オオ</t>
    </rPh>
    <rPh sb="4" eb="7">
      <t>ケイサンチ</t>
    </rPh>
    <phoneticPr fontId="8"/>
  </si>
  <si>
    <t>外 周 壁
骨　　組</t>
    <rPh sb="0" eb="1">
      <t>ソト</t>
    </rPh>
    <rPh sb="2" eb="3">
      <t>シュウ</t>
    </rPh>
    <rPh sb="4" eb="5">
      <t>ヘキ</t>
    </rPh>
    <rPh sb="6" eb="7">
      <t>ホネ</t>
    </rPh>
    <rPh sb="9" eb="10">
      <t>クミ</t>
    </rPh>
    <phoneticPr fontId="8"/>
  </si>
  <si>
    <t>無し</t>
    <rPh sb="0" eb="1">
      <t>ナ</t>
    </rPh>
    <phoneticPr fontId="11"/>
  </si>
  <si>
    <t>+</t>
    <phoneticPr fontId="19"/>
  </si>
  <si>
    <t>+</t>
    <phoneticPr fontId="19"/>
  </si>
  <si>
    <t>◇</t>
    <phoneticPr fontId="8"/>
  </si>
  <si>
    <t>◇</t>
    <phoneticPr fontId="8"/>
  </si>
  <si>
    <t>間仕切骨組</t>
    <rPh sb="0" eb="3">
      <t>マジキリ</t>
    </rPh>
    <rPh sb="3" eb="4">
      <t>ホネ</t>
    </rPh>
    <rPh sb="4" eb="5">
      <t>クミ</t>
    </rPh>
    <phoneticPr fontId="8"/>
  </si>
  <si>
    <t>間 仕 切
骨　　組</t>
    <rPh sb="0" eb="1">
      <t>アイダ</t>
    </rPh>
    <rPh sb="2" eb="3">
      <t>ツコウ</t>
    </rPh>
    <rPh sb="4" eb="5">
      <t>キリ</t>
    </rPh>
    <rPh sb="6" eb="7">
      <t>ホネ</t>
    </rPh>
    <rPh sb="9" eb="10">
      <t>クミ</t>
    </rPh>
    <phoneticPr fontId="8"/>
  </si>
  <si>
    <t>+</t>
    <phoneticPr fontId="19"/>
  </si>
  <si>
    <t>+</t>
    <phoneticPr fontId="19"/>
  </si>
  <si>
    <t>+</t>
    <phoneticPr fontId="19"/>
  </si>
  <si>
    <t>+</t>
    <phoneticPr fontId="19"/>
  </si>
  <si>
    <t>◇</t>
    <phoneticPr fontId="8"/>
  </si>
  <si>
    <t>+</t>
    <phoneticPr fontId="19"/>
  </si>
  <si>
    <t>◆</t>
    <phoneticPr fontId="8"/>
  </si>
  <si>
    <t>+</t>
    <phoneticPr fontId="19"/>
  </si>
  <si>
    <t>無し</t>
    <rPh sb="0" eb="1">
      <t>ナ</t>
    </rPh>
    <phoneticPr fontId="0"/>
  </si>
  <si>
    <t>+</t>
    <phoneticPr fontId="19"/>
  </si>
  <si>
    <t>+</t>
    <phoneticPr fontId="19"/>
  </si>
  <si>
    <t>+</t>
    <phoneticPr fontId="19"/>
  </si>
  <si>
    <t>+</t>
    <phoneticPr fontId="19"/>
  </si>
  <si>
    <t>+</t>
    <phoneticPr fontId="19"/>
  </si>
  <si>
    <t>補正項目</t>
  </si>
  <si>
    <t>補正率</t>
  </si>
  <si>
    <t>+</t>
    <phoneticPr fontId="19"/>
  </si>
  <si>
    <t>◇</t>
    <phoneticPr fontId="8"/>
  </si>
  <si>
    <t>断熱</t>
    <rPh sb="0" eb="2">
      <t>ダンネツ</t>
    </rPh>
    <phoneticPr fontId="8"/>
  </si>
  <si>
    <t>断熱材 上</t>
    <rPh sb="4" eb="5">
      <t>ウエ</t>
    </rPh>
    <phoneticPr fontId="22"/>
  </si>
  <si>
    <t>断熱材 中</t>
    <rPh sb="4" eb="5">
      <t>チュウ</t>
    </rPh>
    <phoneticPr fontId="22"/>
  </si>
  <si>
    <t>断熱材 並</t>
    <rPh sb="4" eb="5">
      <t>ナ</t>
    </rPh>
    <phoneticPr fontId="22"/>
  </si>
  <si>
    <t>無し</t>
    <rPh sb="0" eb="1">
      <t>ナ</t>
    </rPh>
    <phoneticPr fontId="8"/>
  </si>
  <si>
    <t>+</t>
    <phoneticPr fontId="19"/>
  </si>
  <si>
    <t>+</t>
    <phoneticPr fontId="19"/>
  </si>
  <si>
    <t>床　　仕　　上</t>
    <rPh sb="0" eb="1">
      <t>ユカ</t>
    </rPh>
    <rPh sb="3" eb="4">
      <t>ツコウ</t>
    </rPh>
    <rPh sb="6" eb="7">
      <t>ジョウ</t>
    </rPh>
    <phoneticPr fontId="8"/>
  </si>
  <si>
    <t>床 仕 上</t>
    <rPh sb="0" eb="1">
      <t>ユカ</t>
    </rPh>
    <rPh sb="2" eb="3">
      <t>ツコウ</t>
    </rPh>
    <rPh sb="4" eb="5">
      <t>ウエ</t>
    </rPh>
    <phoneticPr fontId="8"/>
  </si>
  <si>
    <t>無し</t>
    <rPh sb="0" eb="1">
      <t>ナ</t>
    </rPh>
    <phoneticPr fontId="17"/>
  </si>
  <si>
    <t>◇</t>
    <phoneticPr fontId="8"/>
  </si>
  <si>
    <t>天　井　仕　上</t>
    <rPh sb="0" eb="1">
      <t>テン</t>
    </rPh>
    <rPh sb="2" eb="3">
      <t>セイ</t>
    </rPh>
    <rPh sb="4" eb="5">
      <t>ツコウ</t>
    </rPh>
    <rPh sb="6" eb="7">
      <t>ジョウ</t>
    </rPh>
    <phoneticPr fontId="8"/>
  </si>
  <si>
    <t>天井仕上</t>
    <rPh sb="0" eb="1">
      <t>テン</t>
    </rPh>
    <rPh sb="1" eb="2">
      <t>イ</t>
    </rPh>
    <rPh sb="2" eb="3">
      <t>ツコウ</t>
    </rPh>
    <rPh sb="3" eb="4">
      <t>ジョウ</t>
    </rPh>
    <phoneticPr fontId="8"/>
  </si>
  <si>
    <t>+</t>
    <phoneticPr fontId="19"/>
  </si>
  <si>
    <t>インターホン・程度</t>
    <rPh sb="7" eb="9">
      <t>テイド</t>
    </rPh>
    <phoneticPr fontId="8"/>
  </si>
  <si>
    <t>［インターホン］</t>
    <phoneticPr fontId="8"/>
  </si>
  <si>
    <t>拡声器配線</t>
    <rPh sb="0" eb="3">
      <t>カクセイキ</t>
    </rPh>
    <rPh sb="3" eb="5">
      <t>ハイセン</t>
    </rPh>
    <phoneticPr fontId="8"/>
  </si>
  <si>
    <t>拡声器配線・器具数</t>
    <rPh sb="0" eb="3">
      <t>カクセイキ</t>
    </rPh>
    <rPh sb="3" eb="5">
      <t>ハイセン</t>
    </rPh>
    <rPh sb="6" eb="8">
      <t>キグ</t>
    </rPh>
    <rPh sb="8" eb="9">
      <t>スウ</t>
    </rPh>
    <phoneticPr fontId="8"/>
  </si>
  <si>
    <t>拡声器配線・程度</t>
    <rPh sb="0" eb="3">
      <t>カクセイキ</t>
    </rPh>
    <rPh sb="3" eb="5">
      <t>ハイセン</t>
    </rPh>
    <rPh sb="6" eb="8">
      <t>テイド</t>
    </rPh>
    <phoneticPr fontId="8"/>
  </si>
  <si>
    <t>+</t>
    <phoneticPr fontId="19"/>
  </si>
  <si>
    <t>屋　根　仕　上</t>
    <rPh sb="0" eb="1">
      <t>ヤ</t>
    </rPh>
    <rPh sb="2" eb="3">
      <t>ネ</t>
    </rPh>
    <rPh sb="4" eb="5">
      <t>ツコウ</t>
    </rPh>
    <rPh sb="6" eb="7">
      <t>ジョウ</t>
    </rPh>
    <phoneticPr fontId="8"/>
  </si>
  <si>
    <t>屋根仕上</t>
    <rPh sb="0" eb="1">
      <t>ヤ</t>
    </rPh>
    <rPh sb="1" eb="2">
      <t>ネ</t>
    </rPh>
    <rPh sb="2" eb="3">
      <t>ツコウ</t>
    </rPh>
    <rPh sb="3" eb="4">
      <t>ジョウ</t>
    </rPh>
    <phoneticPr fontId="8"/>
  </si>
  <si>
    <t>+</t>
    <phoneticPr fontId="19"/>
  </si>
  <si>
    <t>空調・中央熱源方式・ﾍﾟﾘﾒｰﾀｰにﾌｧﾝｺｲﾙの有無</t>
    <rPh sb="0" eb="2">
      <t>クウチョウ</t>
    </rPh>
    <rPh sb="3" eb="5">
      <t>チュウオウ</t>
    </rPh>
    <rPh sb="5" eb="7">
      <t>ネツゲン</t>
    </rPh>
    <rPh sb="7" eb="9">
      <t>ホウシキ</t>
    </rPh>
    <rPh sb="25" eb="27">
      <t>ウム</t>
    </rPh>
    <phoneticPr fontId="8"/>
  </si>
  <si>
    <t>中央式給湯</t>
    <rPh sb="0" eb="3">
      <t>チュウオウシキ</t>
    </rPh>
    <rPh sb="3" eb="5">
      <t>キュウトウ</t>
    </rPh>
    <phoneticPr fontId="8"/>
  </si>
  <si>
    <t>中央式給湯・配置</t>
    <rPh sb="0" eb="3">
      <t>チュウオウシキ</t>
    </rPh>
    <rPh sb="3" eb="5">
      <t>キュウトウ</t>
    </rPh>
    <rPh sb="6" eb="8">
      <t>ハイチ</t>
    </rPh>
    <phoneticPr fontId="8"/>
  </si>
  <si>
    <t>中央式給湯・管材</t>
    <rPh sb="0" eb="3">
      <t>チュウオウシキ</t>
    </rPh>
    <rPh sb="3" eb="5">
      <t>キュウトウ</t>
    </rPh>
    <rPh sb="6" eb="8">
      <t>カンザイ</t>
    </rPh>
    <phoneticPr fontId="8"/>
  </si>
  <si>
    <t>中央式給湯・程度</t>
    <rPh sb="0" eb="3">
      <t>チュウオウシキ</t>
    </rPh>
    <rPh sb="3" eb="5">
      <t>キュウトウ</t>
    </rPh>
    <rPh sb="6" eb="8">
      <t>テイド</t>
    </rPh>
    <phoneticPr fontId="8"/>
  </si>
  <si>
    <t>中央式給湯・建物の規模</t>
    <rPh sb="0" eb="3">
      <t>チュウオウシキ</t>
    </rPh>
    <rPh sb="3" eb="5">
      <t>キュウトウ</t>
    </rPh>
    <rPh sb="6" eb="8">
      <t>タテモノ</t>
    </rPh>
    <rPh sb="9" eb="11">
      <t>キボ</t>
    </rPh>
    <phoneticPr fontId="8"/>
  </si>
  <si>
    <t>［中央給湯］</t>
    <rPh sb="1" eb="3">
      <t>チュウオウ</t>
    </rPh>
    <rPh sb="3" eb="5">
      <t>キュウトウ</t>
    </rPh>
    <phoneticPr fontId="8"/>
  </si>
  <si>
    <t>ｽﾃﾝﾚｽ製槽</t>
    <rPh sb="5" eb="6">
      <t>セイ</t>
    </rPh>
    <rPh sb="6" eb="7">
      <t>ソウ</t>
    </rPh>
    <phoneticPr fontId="8"/>
  </si>
  <si>
    <t>ｽﾃﾝﾚｽ貼槽</t>
    <rPh sb="5" eb="6">
      <t>ハ</t>
    </rPh>
    <rPh sb="6" eb="7">
      <t>ソウ</t>
    </rPh>
    <phoneticPr fontId="8"/>
  </si>
  <si>
    <t>鉄製槽</t>
    <rPh sb="0" eb="2">
      <t>テツセイ</t>
    </rPh>
    <rPh sb="2" eb="3">
      <t>ソウ</t>
    </rPh>
    <phoneticPr fontId="8"/>
  </si>
  <si>
    <t>天窓</t>
  </si>
  <si>
    <t>方　　　式</t>
  </si>
  <si>
    <t>大きさ</t>
  </si>
  <si>
    <t>程　度</t>
  </si>
  <si>
    <t>評 点 数</t>
  </si>
  <si>
    <t>個　　数</t>
  </si>
  <si>
    <t>cm</t>
  </si>
  <si>
    <t>×</t>
  </si>
  <si>
    <t>＝</t>
  </si>
  <si>
    <t>固　　定　　式</t>
  </si>
  <si>
    <t>開　　閉　　式</t>
  </si>
  <si>
    <t>建　具・設　備</t>
    <rPh sb="0" eb="1">
      <t>ケン</t>
    </rPh>
    <rPh sb="2" eb="3">
      <t>グ</t>
    </rPh>
    <rPh sb="4" eb="5">
      <t>セツ</t>
    </rPh>
    <rPh sb="6" eb="7">
      <t>ソナエ</t>
    </rPh>
    <phoneticPr fontId="8"/>
  </si>
  <si>
    <t>建　　　　　具</t>
    <rPh sb="0" eb="1">
      <t>ケン</t>
    </rPh>
    <rPh sb="6" eb="7">
      <t>グ</t>
    </rPh>
    <phoneticPr fontId="8"/>
  </si>
  <si>
    <t>特　殊　設　備</t>
    <rPh sb="0" eb="1">
      <t>トク</t>
    </rPh>
    <rPh sb="2" eb="3">
      <t>コト</t>
    </rPh>
    <rPh sb="4" eb="5">
      <t>セツ</t>
    </rPh>
    <rPh sb="6" eb="7">
      <t>ソナエ</t>
    </rPh>
    <phoneticPr fontId="8"/>
  </si>
  <si>
    <t>80cm*80cm</t>
    <phoneticPr fontId="8"/>
  </si>
  <si>
    <t>160cm*80cm</t>
  </si>
  <si>
    <t>120cm*80cm</t>
  </si>
  <si>
    <t>80cm*80cm</t>
  </si>
  <si>
    <t>円/㎡</t>
    <rPh sb="0" eb="1">
      <t>エン</t>
    </rPh>
    <phoneticPr fontId="19"/>
  </si>
  <si>
    <t>　　◆見積拾補助表◆</t>
    <rPh sb="3" eb="5">
      <t>ミツ</t>
    </rPh>
    <rPh sb="5" eb="6">
      <t>ヒロ</t>
    </rPh>
    <rPh sb="6" eb="8">
      <t>ホジョ</t>
    </rPh>
    <rPh sb="8" eb="9">
      <t>ヒョウ</t>
    </rPh>
    <phoneticPr fontId="19"/>
  </si>
  <si>
    <t>主体基礎</t>
    <rPh sb="0" eb="1">
      <t>シュ</t>
    </rPh>
    <rPh sb="1" eb="2">
      <t>カラダ</t>
    </rPh>
    <rPh sb="2" eb="3">
      <t>モト</t>
    </rPh>
    <rPh sb="3" eb="4">
      <t>イシズエ</t>
    </rPh>
    <phoneticPr fontId="19"/>
  </si>
  <si>
    <t>鉄骨</t>
    <phoneticPr fontId="19"/>
  </si>
  <si>
    <t>見積</t>
    <rPh sb="0" eb="2">
      <t>ミツ</t>
    </rPh>
    <phoneticPr fontId="19"/>
  </si>
  <si>
    <t>＋</t>
    <phoneticPr fontId="19"/>
  </si>
  <si>
    <t>＝</t>
    <phoneticPr fontId="19"/>
  </si>
  <si>
    <t>軽量鉄骨</t>
    <phoneticPr fontId="19"/>
  </si>
  <si>
    <t>鉄筋コンクリート等</t>
    <rPh sb="0" eb="2">
      <t>テッキン</t>
    </rPh>
    <rPh sb="8" eb="9">
      <t>ナド</t>
    </rPh>
    <phoneticPr fontId="19"/>
  </si>
  <si>
    <t>根伐工事</t>
    <rPh sb="0" eb="1">
      <t>ネ</t>
    </rPh>
    <rPh sb="1" eb="2">
      <t>キ</t>
    </rPh>
    <rPh sb="2" eb="4">
      <t>コウジ</t>
    </rPh>
    <phoneticPr fontId="19"/>
  </si>
  <si>
    <t>布（ベタ）基礎</t>
    <rPh sb="0" eb="1">
      <t>ヌノ</t>
    </rPh>
    <rPh sb="5" eb="7">
      <t>キソ</t>
    </rPh>
    <phoneticPr fontId="8"/>
  </si>
  <si>
    <t>独立基礎</t>
    <rPh sb="0" eb="2">
      <t>ドクリツ</t>
    </rPh>
    <rPh sb="2" eb="4">
      <t>キソ</t>
    </rPh>
    <phoneticPr fontId="8"/>
  </si>
  <si>
    <t>杭打事業</t>
    <rPh sb="0" eb="2">
      <t>クイウ</t>
    </rPh>
    <rPh sb="2" eb="4">
      <t>ジギョウ</t>
    </rPh>
    <phoneticPr fontId="8"/>
  </si>
  <si>
    <t>１種換気</t>
    <rPh sb="1" eb="2">
      <t>シュ</t>
    </rPh>
    <rPh sb="2" eb="4">
      <t>カンキ</t>
    </rPh>
    <phoneticPr fontId="8"/>
  </si>
  <si>
    <t>2､3種換気</t>
    <rPh sb="3" eb="4">
      <t>シュ</t>
    </rPh>
    <rPh sb="4" eb="6">
      <t>カンキ</t>
    </rPh>
    <phoneticPr fontId="8"/>
  </si>
  <si>
    <t>ｼﾛｯｺﾌｧﾝ</t>
  </si>
  <si>
    <t>軸流ﾌｧﾝ</t>
    <rPh sb="0" eb="1">
      <t>ジク</t>
    </rPh>
    <rPh sb="1" eb="2">
      <t>リュウ</t>
    </rPh>
    <phoneticPr fontId="8"/>
  </si>
  <si>
    <t>複雑</t>
    <rPh sb="0" eb="2">
      <t>フクザツ</t>
    </rPh>
    <phoneticPr fontId="8"/>
  </si>
  <si>
    <t>簡素</t>
    <rPh sb="0" eb="2">
      <t>カンソ</t>
    </rPh>
    <phoneticPr fontId="8"/>
  </si>
  <si>
    <t>×</t>
    <phoneticPr fontId="8"/>
  </si>
  <si>
    <t>簡素</t>
  </si>
  <si>
    <t>換気・程度</t>
    <rPh sb="0" eb="2">
      <t>カンキ</t>
    </rPh>
    <rPh sb="3" eb="5">
      <t>テイド</t>
    </rPh>
    <phoneticPr fontId="8"/>
  </si>
  <si>
    <t>×</t>
    <phoneticPr fontId="8"/>
  </si>
  <si>
    <t>×</t>
    <phoneticPr fontId="8"/>
  </si>
  <si>
    <t>換気扇・大きさ</t>
    <rPh sb="0" eb="3">
      <t>カンキセン</t>
    </rPh>
    <rPh sb="4" eb="5">
      <t>オオ</t>
    </rPh>
    <phoneticPr fontId="8"/>
  </si>
  <si>
    <t>［換気扇］</t>
    <rPh sb="1" eb="4">
      <t>カンキセン</t>
    </rPh>
    <phoneticPr fontId="8"/>
  </si>
  <si>
    <t>ﾚﾝｼﾞﾌｰﾄﾞﾌｧﾝ</t>
  </si>
  <si>
    <t>レンジフードファン・程度</t>
    <rPh sb="10" eb="12">
      <t>テイド</t>
    </rPh>
    <phoneticPr fontId="8"/>
  </si>
  <si>
    <t>［レンジフード］</t>
    <phoneticPr fontId="8"/>
  </si>
  <si>
    <t>一般機械排煙</t>
    <rPh sb="0" eb="2">
      <t>イッパン</t>
    </rPh>
    <rPh sb="2" eb="6">
      <t>キカイハイエン</t>
    </rPh>
    <phoneticPr fontId="8"/>
  </si>
  <si>
    <t>一般機械排煙・程度</t>
    <rPh sb="0" eb="2">
      <t>イッパン</t>
    </rPh>
    <rPh sb="2" eb="6">
      <t>キカイハイエン</t>
    </rPh>
    <rPh sb="7" eb="9">
      <t>テイド</t>
    </rPh>
    <phoneticPr fontId="8"/>
  </si>
  <si>
    <t>［一般機械排煙］</t>
    <rPh sb="1" eb="3">
      <t>イッパン</t>
    </rPh>
    <rPh sb="3" eb="5">
      <t>キカイ</t>
    </rPh>
    <rPh sb="5" eb="7">
      <t>ハイエン</t>
    </rPh>
    <phoneticPr fontId="8"/>
  </si>
  <si>
    <t>－</t>
    <phoneticPr fontId="8"/>
  </si>
  <si>
    <t>×</t>
    <phoneticPr fontId="8"/>
  </si>
  <si>
    <t>附室排煙</t>
    <rPh sb="0" eb="2">
      <t>フシツ</t>
    </rPh>
    <rPh sb="2" eb="4">
      <t>ハイエン</t>
    </rPh>
    <phoneticPr fontId="8"/>
  </si>
  <si>
    <t>附室排煙・程度</t>
    <rPh sb="0" eb="2">
      <t>フシツ</t>
    </rPh>
    <rPh sb="2" eb="4">
      <t>ハイエン</t>
    </rPh>
    <rPh sb="5" eb="7">
      <t>テイド</t>
    </rPh>
    <phoneticPr fontId="8"/>
  </si>
  <si>
    <t>［附室排煙］</t>
    <rPh sb="1" eb="2">
      <t>フ</t>
    </rPh>
    <rPh sb="2" eb="3">
      <t>シツ</t>
    </rPh>
    <rPh sb="3" eb="5">
      <t>ハイエン</t>
    </rPh>
    <phoneticPr fontId="8"/>
  </si>
  <si>
    <t>ベンチレーター</t>
  </si>
  <si>
    <t>ベンチレーター・換気口内径</t>
    <rPh sb="8" eb="11">
      <t>カンキコウ</t>
    </rPh>
    <rPh sb="11" eb="13">
      <t>ナイケイ</t>
    </rPh>
    <phoneticPr fontId="8"/>
  </si>
  <si>
    <t>ベンチレーター・換気方式</t>
    <rPh sb="8" eb="10">
      <t>カンキ</t>
    </rPh>
    <rPh sb="10" eb="12">
      <t>ホウシキ</t>
    </rPh>
    <phoneticPr fontId="8"/>
  </si>
  <si>
    <t>［ベンチレーター］</t>
    <phoneticPr fontId="8"/>
  </si>
  <si>
    <t>機械換気</t>
    <rPh sb="0" eb="2">
      <t>キカイ</t>
    </rPh>
    <rPh sb="2" eb="4">
      <t>カンキ</t>
    </rPh>
    <phoneticPr fontId="8"/>
  </si>
  <si>
    <t>自然換気</t>
    <rPh sb="0" eb="2">
      <t>シゼン</t>
    </rPh>
    <rPh sb="2" eb="4">
      <t>カンキ</t>
    </rPh>
    <phoneticPr fontId="8"/>
  </si>
  <si>
    <t>×</t>
    <phoneticPr fontId="8"/>
  </si>
  <si>
    <t>火災報知・感知方式</t>
    <rPh sb="0" eb="2">
      <t>カサイ</t>
    </rPh>
    <rPh sb="2" eb="4">
      <t>ホウチ</t>
    </rPh>
    <rPh sb="5" eb="7">
      <t>カンチ</t>
    </rPh>
    <rPh sb="7" eb="9">
      <t>ホウシキ</t>
    </rPh>
    <phoneticPr fontId="8"/>
  </si>
  <si>
    <t>火災報知・間仕切</t>
    <rPh sb="0" eb="2">
      <t>カサイ</t>
    </rPh>
    <rPh sb="2" eb="4">
      <t>ホウチ</t>
    </rPh>
    <rPh sb="5" eb="8">
      <t>マジキ</t>
    </rPh>
    <phoneticPr fontId="8"/>
  </si>
  <si>
    <t>火災報知・程度</t>
    <rPh sb="0" eb="2">
      <t>カサイ</t>
    </rPh>
    <rPh sb="2" eb="4">
      <t>ホウチ</t>
    </rPh>
    <rPh sb="5" eb="7">
      <t>テイド</t>
    </rPh>
    <phoneticPr fontId="8"/>
  </si>
  <si>
    <t>外周壁骨組</t>
    <rPh sb="0" eb="2">
      <t>ガイシュウ</t>
    </rPh>
    <rPh sb="2" eb="3">
      <t>ヘキ</t>
    </rPh>
    <rPh sb="3" eb="5">
      <t>ホネグ</t>
    </rPh>
    <phoneticPr fontId="8"/>
  </si>
  <si>
    <t>外周壁合計</t>
    <rPh sb="0" eb="2">
      <t>ガイシュウ</t>
    </rPh>
    <rPh sb="2" eb="3">
      <t>ヘキ</t>
    </rPh>
    <rPh sb="3" eb="5">
      <t>ゴウケイ</t>
    </rPh>
    <phoneticPr fontId="8"/>
  </si>
  <si>
    <t>外周壁骨組
（予備）</t>
    <rPh sb="0" eb="2">
      <t>ガイシュウ</t>
    </rPh>
    <rPh sb="2" eb="3">
      <t>ヘキ</t>
    </rPh>
    <rPh sb="3" eb="5">
      <t>ホネグ</t>
    </rPh>
    <rPh sb="7" eb="9">
      <t>ヨビ</t>
    </rPh>
    <phoneticPr fontId="8"/>
  </si>
  <si>
    <t>外部仕上</t>
    <rPh sb="0" eb="2">
      <t>ガイブ</t>
    </rPh>
    <rPh sb="2" eb="4">
      <t>シア</t>
    </rPh>
    <phoneticPr fontId="8"/>
  </si>
  <si>
    <t>外部仕上合計</t>
    <rPh sb="0" eb="2">
      <t>ガイブ</t>
    </rPh>
    <rPh sb="2" eb="4">
      <t>シア</t>
    </rPh>
    <rPh sb="4" eb="6">
      <t>ゴウケイ</t>
    </rPh>
    <phoneticPr fontId="8"/>
  </si>
  <si>
    <t>外部仕上
（予備）</t>
    <rPh sb="0" eb="2">
      <t>ガイブ</t>
    </rPh>
    <rPh sb="2" eb="4">
      <t>シア</t>
    </rPh>
    <rPh sb="6" eb="8">
      <t>ヨビ</t>
    </rPh>
    <phoneticPr fontId="8"/>
  </si>
  <si>
    <t>間仕切合計面積</t>
    <rPh sb="0" eb="3">
      <t>マジキ</t>
    </rPh>
    <rPh sb="3" eb="5">
      <t>ゴウケイ</t>
    </rPh>
    <rPh sb="5" eb="6">
      <t>メン</t>
    </rPh>
    <rPh sb="6" eb="7">
      <t>セキ</t>
    </rPh>
    <phoneticPr fontId="6"/>
  </si>
  <si>
    <t>（部屋名等自由入力）</t>
    <rPh sb="1" eb="3">
      <t>ヘヤ</t>
    </rPh>
    <rPh sb="3" eb="4">
      <t>メイ</t>
    </rPh>
    <rPh sb="4" eb="5">
      <t>ナド</t>
    </rPh>
    <rPh sb="5" eb="7">
      <t>ジユウ</t>
    </rPh>
    <rPh sb="7" eb="9">
      <t>ニュウリョク</t>
    </rPh>
    <phoneticPr fontId="19"/>
  </si>
  <si>
    <t>横</t>
    <rPh sb="0" eb="1">
      <t>ヨコ</t>
    </rPh>
    <phoneticPr fontId="19"/>
  </si>
  <si>
    <t>高さ</t>
    <rPh sb="0" eb="1">
      <t>タカ</t>
    </rPh>
    <phoneticPr fontId="19"/>
  </si>
  <si>
    <t>縦</t>
    <rPh sb="0" eb="1">
      <t>タテ</t>
    </rPh>
    <phoneticPr fontId="19"/>
  </si>
  <si>
    <t>評 点 項 目</t>
    <rPh sb="0" eb="1">
      <t>ヒョウ</t>
    </rPh>
    <rPh sb="2" eb="3">
      <t>テン</t>
    </rPh>
    <rPh sb="4" eb="5">
      <t>コウ</t>
    </rPh>
    <rPh sb="6" eb="7">
      <t>メ</t>
    </rPh>
    <phoneticPr fontId="19"/>
  </si>
  <si>
    <t>単位当面積</t>
    <rPh sb="0" eb="2">
      <t>タンイ</t>
    </rPh>
    <rPh sb="2" eb="3">
      <t>トウ</t>
    </rPh>
    <rPh sb="3" eb="5">
      <t>メンセキ</t>
    </rPh>
    <phoneticPr fontId="6"/>
  </si>
  <si>
    <t>独立基礎
（個）</t>
    <rPh sb="0" eb="2">
      <t>ドクリツ</t>
    </rPh>
    <rPh sb="2" eb="4">
      <t>キソ</t>
    </rPh>
    <rPh sb="6" eb="7">
      <t>コ</t>
    </rPh>
    <phoneticPr fontId="8"/>
  </si>
  <si>
    <t>個　　　　　　数</t>
    <rPh sb="0" eb="1">
      <t>コ</t>
    </rPh>
    <rPh sb="7" eb="8">
      <t>カズ</t>
    </rPh>
    <phoneticPr fontId="8"/>
  </si>
  <si>
    <t>独立基礎合計</t>
    <rPh sb="0" eb="2">
      <t>ドクリツ</t>
    </rPh>
    <rPh sb="2" eb="4">
      <t>キソ</t>
    </rPh>
    <rPh sb="4" eb="5">
      <t>ゴウ</t>
    </rPh>
    <rPh sb="5" eb="6">
      <t>ケイ</t>
    </rPh>
    <phoneticPr fontId="8"/>
  </si>
  <si>
    <t>＋</t>
    <phoneticPr fontId="8"/>
  </si>
  <si>
    <t>＝</t>
    <phoneticPr fontId="8"/>
  </si>
  <si>
    <t>屋根構造</t>
    <rPh sb="0" eb="2">
      <t>ヤネ</t>
    </rPh>
    <rPh sb="2" eb="4">
      <t>コウゾウ</t>
    </rPh>
    <phoneticPr fontId="8"/>
  </si>
  <si>
    <t>（名称自由入力）</t>
    <rPh sb="1" eb="3">
      <t>メイショウ</t>
    </rPh>
    <rPh sb="3" eb="5">
      <t>ジユウ</t>
    </rPh>
    <rPh sb="5" eb="7">
      <t>ニュウリョク</t>
    </rPh>
    <phoneticPr fontId="8"/>
  </si>
  <si>
    <t>横</t>
    <rPh sb="0" eb="1">
      <t>ヨコ</t>
    </rPh>
    <phoneticPr fontId="8"/>
  </si>
  <si>
    <t>縦</t>
    <rPh sb="0" eb="1">
      <t>タテ</t>
    </rPh>
    <phoneticPr fontId="8"/>
  </si>
  <si>
    <t>面積</t>
    <rPh sb="0" eb="2">
      <t>メンセキ</t>
    </rPh>
    <phoneticPr fontId="19"/>
  </si>
  <si>
    <t>構造名称</t>
    <rPh sb="0" eb="2">
      <t>コウゾウ</t>
    </rPh>
    <rPh sb="2" eb="4">
      <t>メイショウ</t>
    </rPh>
    <phoneticPr fontId="19"/>
  </si>
  <si>
    <t>面　　積</t>
    <rPh sb="0" eb="1">
      <t>メン</t>
    </rPh>
    <rPh sb="3" eb="4">
      <t>セキ</t>
    </rPh>
    <phoneticPr fontId="6"/>
  </si>
  <si>
    <t>建具開口</t>
    <rPh sb="0" eb="2">
      <t>タテグ</t>
    </rPh>
    <rPh sb="2" eb="4">
      <t>カイコウ</t>
    </rPh>
    <phoneticPr fontId="6"/>
  </si>
  <si>
    <t>屋根構造合計</t>
    <rPh sb="0" eb="2">
      <t>ヤネ</t>
    </rPh>
    <rPh sb="2" eb="4">
      <t>コウゾウ</t>
    </rPh>
    <rPh sb="4" eb="6">
      <t>ゴウケイ</t>
    </rPh>
    <phoneticPr fontId="8"/>
  </si>
  <si>
    <t>構造面積</t>
    <rPh sb="0" eb="2">
      <t>コウゾウ</t>
    </rPh>
    <rPh sb="2" eb="4">
      <t>メンセキ</t>
    </rPh>
    <phoneticPr fontId="6"/>
  </si>
  <si>
    <t>屋根構造
（予備）</t>
    <rPh sb="0" eb="2">
      <t>ヤネ</t>
    </rPh>
    <rPh sb="2" eb="4">
      <t>コウゾウ</t>
    </rPh>
    <rPh sb="6" eb="8">
      <t>ヨビ</t>
    </rPh>
    <phoneticPr fontId="8"/>
  </si>
  <si>
    <t>屋根仕上</t>
    <rPh sb="0" eb="2">
      <t>ヤネ</t>
    </rPh>
    <rPh sb="2" eb="4">
      <t>シアゲ</t>
    </rPh>
    <phoneticPr fontId="8"/>
  </si>
  <si>
    <t>仕上名称</t>
    <rPh sb="0" eb="2">
      <t>シア</t>
    </rPh>
    <rPh sb="2" eb="4">
      <t>メイショウ</t>
    </rPh>
    <phoneticPr fontId="19"/>
  </si>
  <si>
    <t>屋根仕上合計</t>
    <rPh sb="0" eb="2">
      <t>ヤネ</t>
    </rPh>
    <rPh sb="2" eb="4">
      <t>シアゲ</t>
    </rPh>
    <rPh sb="4" eb="6">
      <t>ゴウケイ</t>
    </rPh>
    <phoneticPr fontId="8"/>
  </si>
  <si>
    <t>仕上面積</t>
    <rPh sb="0" eb="2">
      <t>シア</t>
    </rPh>
    <rPh sb="2" eb="4">
      <t>メンセキ</t>
    </rPh>
    <phoneticPr fontId="6"/>
  </si>
  <si>
    <t>屋根仕上
（予備）</t>
    <rPh sb="0" eb="2">
      <t>ヤネ</t>
    </rPh>
    <rPh sb="2" eb="4">
      <t>シアゲ</t>
    </rPh>
    <rPh sb="6" eb="8">
      <t>ヨビ</t>
    </rPh>
    <phoneticPr fontId="8"/>
  </si>
  <si>
    <t>3種換気程度</t>
    <rPh sb="1" eb="2">
      <t>シュ</t>
    </rPh>
    <rPh sb="2" eb="4">
      <t>カンキ</t>
    </rPh>
    <rPh sb="4" eb="6">
      <t>テイド</t>
    </rPh>
    <phoneticPr fontId="8"/>
  </si>
  <si>
    <t>中央熱源冷房</t>
    <rPh sb="0" eb="2">
      <t>チュウオウ</t>
    </rPh>
    <rPh sb="2" eb="4">
      <t>ネツゲン</t>
    </rPh>
    <rPh sb="4" eb="6">
      <t>レイボウ</t>
    </rPh>
    <phoneticPr fontId="8"/>
  </si>
  <si>
    <t>中央熱源冷房・ﾍﾟﾘﾒｰﾀｰにﾌｧﾝｺｲﾙの有無</t>
    <rPh sb="0" eb="2">
      <t>チュウオウ</t>
    </rPh>
    <rPh sb="2" eb="4">
      <t>ネツゲン</t>
    </rPh>
    <rPh sb="4" eb="6">
      <t>レイボウ</t>
    </rPh>
    <rPh sb="22" eb="24">
      <t>ウム</t>
    </rPh>
    <phoneticPr fontId="8"/>
  </si>
  <si>
    <t>中央熱源冷房・冷房能力の大小</t>
    <rPh sb="0" eb="2">
      <t>チュウオウ</t>
    </rPh>
    <rPh sb="2" eb="4">
      <t>ネツゲン</t>
    </rPh>
    <rPh sb="4" eb="6">
      <t>レイボウ</t>
    </rPh>
    <rPh sb="7" eb="9">
      <t>レイボウ</t>
    </rPh>
    <rPh sb="9" eb="11">
      <t>ノウリョク</t>
    </rPh>
    <rPh sb="12" eb="14">
      <t>ダイショウ</t>
    </rPh>
    <phoneticPr fontId="8"/>
  </si>
  <si>
    <t>中央熱源冷房・ゾーニングの大小</t>
    <rPh sb="0" eb="2">
      <t>チュウオウ</t>
    </rPh>
    <rPh sb="2" eb="4">
      <t>ネツゲン</t>
    </rPh>
    <rPh sb="4" eb="6">
      <t>レイボウ</t>
    </rPh>
    <rPh sb="13" eb="15">
      <t>ダイショウ</t>
    </rPh>
    <phoneticPr fontId="8"/>
  </si>
  <si>
    <t>中央熱源冷房・ダクト方式</t>
    <rPh sb="0" eb="2">
      <t>チュウオウ</t>
    </rPh>
    <rPh sb="2" eb="4">
      <t>ネツゲン</t>
    </rPh>
    <rPh sb="4" eb="6">
      <t>レイボウ</t>
    </rPh>
    <rPh sb="10" eb="12">
      <t>ホウシキ</t>
    </rPh>
    <phoneticPr fontId="8"/>
  </si>
  <si>
    <t>中央熱源冷房・制御方式の程度</t>
    <rPh sb="0" eb="2">
      <t>チュウオウ</t>
    </rPh>
    <rPh sb="2" eb="4">
      <t>ネツゲン</t>
    </rPh>
    <rPh sb="4" eb="6">
      <t>レイボウ</t>
    </rPh>
    <rPh sb="7" eb="9">
      <t>セイギョ</t>
    </rPh>
    <rPh sb="9" eb="11">
      <t>ホウシキ</t>
    </rPh>
    <rPh sb="12" eb="14">
      <t>テイド</t>
    </rPh>
    <phoneticPr fontId="8"/>
  </si>
  <si>
    <t>中央熱源冷房・建物の規模</t>
    <rPh sb="0" eb="2">
      <t>チュウオウ</t>
    </rPh>
    <rPh sb="2" eb="4">
      <t>ネツゲン</t>
    </rPh>
    <rPh sb="4" eb="6">
      <t>レイボウ</t>
    </rPh>
    <rPh sb="7" eb="9">
      <t>タテモノ</t>
    </rPh>
    <rPh sb="10" eb="12">
      <t>キボ</t>
    </rPh>
    <phoneticPr fontId="8"/>
  </si>
  <si>
    <t>［熱源冷房］</t>
    <rPh sb="1" eb="3">
      <t>ネツゲン</t>
    </rPh>
    <rPh sb="3" eb="5">
      <t>レイボウ</t>
    </rPh>
    <phoneticPr fontId="8"/>
  </si>
  <si>
    <t>中央熱源直接暖房・形式</t>
    <rPh sb="0" eb="2">
      <t>チュウオウ</t>
    </rPh>
    <rPh sb="2" eb="4">
      <t>ネツゲン</t>
    </rPh>
    <rPh sb="4" eb="6">
      <t>チョクセツ</t>
    </rPh>
    <rPh sb="6" eb="8">
      <t>ダンボウ</t>
    </rPh>
    <rPh sb="9" eb="10">
      <t>カタチ</t>
    </rPh>
    <rPh sb="10" eb="11">
      <t>カタシキ</t>
    </rPh>
    <phoneticPr fontId="8"/>
  </si>
  <si>
    <t>中央熱源直接暖房・建物の規模</t>
    <rPh sb="0" eb="2">
      <t>チュウオウ</t>
    </rPh>
    <rPh sb="2" eb="4">
      <t>ネツゲン</t>
    </rPh>
    <rPh sb="4" eb="6">
      <t>チョクセツ</t>
    </rPh>
    <rPh sb="6" eb="8">
      <t>ダンボウ</t>
    </rPh>
    <rPh sb="9" eb="11">
      <t>タテモノ</t>
    </rPh>
    <rPh sb="12" eb="14">
      <t>キボ</t>
    </rPh>
    <phoneticPr fontId="8"/>
  </si>
  <si>
    <t>［直接暖房］</t>
    <rPh sb="1" eb="3">
      <t>チョクセツ</t>
    </rPh>
    <rPh sb="3" eb="5">
      <t>ダンボウ</t>
    </rPh>
    <phoneticPr fontId="8"/>
  </si>
  <si>
    <t>ﾌｧﾝｺｲﾙ</t>
  </si>
  <si>
    <t>ｺﾝﾍﾞｸﾀｰ</t>
  </si>
  <si>
    <t>放熱器</t>
    <rPh sb="0" eb="3">
      <t>ホウネツキ</t>
    </rPh>
    <phoneticPr fontId="8"/>
  </si>
  <si>
    <t>中央熱源温風暖房</t>
    <rPh sb="0" eb="2">
      <t>チュウオウ</t>
    </rPh>
    <rPh sb="2" eb="4">
      <t>ネツゲン</t>
    </rPh>
    <rPh sb="4" eb="6">
      <t>オンプウ</t>
    </rPh>
    <rPh sb="6" eb="8">
      <t>ダンボウ</t>
    </rPh>
    <phoneticPr fontId="8"/>
  </si>
  <si>
    <t>中央熱源温風暖房・ゾーニングの大小</t>
    <rPh sb="0" eb="2">
      <t>チュウオウ</t>
    </rPh>
    <rPh sb="2" eb="4">
      <t>ネツゲン</t>
    </rPh>
    <rPh sb="4" eb="6">
      <t>オンプウ</t>
    </rPh>
    <rPh sb="6" eb="8">
      <t>ダンボウ</t>
    </rPh>
    <rPh sb="15" eb="17">
      <t>ダイショウ</t>
    </rPh>
    <phoneticPr fontId="8"/>
  </si>
  <si>
    <t>中央熱源温風暖房・ダクトの有無</t>
    <rPh sb="0" eb="2">
      <t>チュウオウ</t>
    </rPh>
    <rPh sb="2" eb="4">
      <t>ネツゲン</t>
    </rPh>
    <rPh sb="4" eb="6">
      <t>オンプウ</t>
    </rPh>
    <rPh sb="6" eb="8">
      <t>ダンボウ</t>
    </rPh>
    <rPh sb="13" eb="15">
      <t>ウム</t>
    </rPh>
    <phoneticPr fontId="8"/>
  </si>
  <si>
    <t>中央熱源温風暖房・建物の規模</t>
    <rPh sb="0" eb="2">
      <t>チュウオウ</t>
    </rPh>
    <rPh sb="2" eb="4">
      <t>ネツゲン</t>
    </rPh>
    <rPh sb="4" eb="6">
      <t>オンプウ</t>
    </rPh>
    <rPh sb="6" eb="8">
      <t>ダンボウ</t>
    </rPh>
    <rPh sb="9" eb="11">
      <t>タテモノ</t>
    </rPh>
    <rPh sb="12" eb="14">
      <t>キボ</t>
    </rPh>
    <phoneticPr fontId="8"/>
  </si>
  <si>
    <t>［温風暖房］</t>
    <rPh sb="1" eb="3">
      <t>オンプウ</t>
    </rPh>
    <rPh sb="3" eb="5">
      <t>ダンボウ</t>
    </rPh>
    <phoneticPr fontId="8"/>
  </si>
  <si>
    <t>床暖房</t>
    <rPh sb="0" eb="3">
      <t>ユカダンボウ</t>
    </rPh>
    <phoneticPr fontId="8"/>
  </si>
  <si>
    <t>床暖房・程度</t>
    <rPh sb="0" eb="1">
      <t>ユカ</t>
    </rPh>
    <rPh sb="1" eb="3">
      <t>ダンボウ</t>
    </rPh>
    <rPh sb="4" eb="6">
      <t>テイド</t>
    </rPh>
    <phoneticPr fontId="8"/>
  </si>
  <si>
    <t>［床暖房］</t>
    <rPh sb="1" eb="2">
      <t>ユカ</t>
    </rPh>
    <rPh sb="2" eb="4">
      <t>ダンボウ</t>
    </rPh>
    <phoneticPr fontId="8"/>
  </si>
  <si>
    <t>換気・機能</t>
    <rPh sb="0" eb="2">
      <t>カンキ</t>
    </rPh>
    <rPh sb="3" eb="5">
      <t>キノウ</t>
    </rPh>
    <phoneticPr fontId="8"/>
  </si>
  <si>
    <t>換気・送風機の種類（程度）</t>
    <rPh sb="0" eb="2">
      <t>カンキ</t>
    </rPh>
    <rPh sb="3" eb="6">
      <t>ソウフウキ</t>
    </rPh>
    <rPh sb="7" eb="9">
      <t>シュルイ</t>
    </rPh>
    <rPh sb="10" eb="12">
      <t>テイド</t>
    </rPh>
    <phoneticPr fontId="8"/>
  </si>
  <si>
    <t>換気・ダクト</t>
    <rPh sb="0" eb="2">
      <t>カンキ</t>
    </rPh>
    <phoneticPr fontId="8"/>
  </si>
  <si>
    <t>［換気設備］</t>
    <rPh sb="1" eb="3">
      <t>カンキ</t>
    </rPh>
    <rPh sb="3" eb="5">
      <t>セツビ</t>
    </rPh>
    <phoneticPr fontId="8"/>
  </si>
  <si>
    <t>計　　算　　式</t>
    <rPh sb="0" eb="1">
      <t>ケイ</t>
    </rPh>
    <rPh sb="3" eb="4">
      <t>ザン</t>
    </rPh>
    <rPh sb="6" eb="7">
      <t>シキ</t>
    </rPh>
    <phoneticPr fontId="19"/>
  </si>
  <si>
    <t>室
数</t>
    <rPh sb="0" eb="1">
      <t>シツ</t>
    </rPh>
    <rPh sb="2" eb="3">
      <t>カズ</t>
    </rPh>
    <phoneticPr fontId="19"/>
  </si>
  <si>
    <t>床面積</t>
    <rPh sb="0" eb="1">
      <t>ユカ</t>
    </rPh>
    <rPh sb="1" eb="3">
      <t>メンセキ</t>
    </rPh>
    <phoneticPr fontId="19"/>
  </si>
  <si>
    <t>高速特注型</t>
    <rPh sb="0" eb="2">
      <t>コウソク</t>
    </rPh>
    <rPh sb="2" eb="4">
      <t>トクチュウ</t>
    </rPh>
    <rPh sb="4" eb="5">
      <t>カタ</t>
    </rPh>
    <phoneticPr fontId="8"/>
  </si>
  <si>
    <t>エレベーター・高速特注インバータ型・積載量</t>
    <rPh sb="7" eb="9">
      <t>コウソク</t>
    </rPh>
    <rPh sb="9" eb="11">
      <t>トクチュウ</t>
    </rPh>
    <rPh sb="16" eb="17">
      <t>カタ</t>
    </rPh>
    <rPh sb="18" eb="21">
      <t>セキサイリョウ</t>
    </rPh>
    <phoneticPr fontId="8"/>
  </si>
  <si>
    <t>エレベーター・高速特注インバータ型・着床数</t>
    <rPh sb="7" eb="9">
      <t>コウソク</t>
    </rPh>
    <rPh sb="9" eb="11">
      <t>トクチュウ</t>
    </rPh>
    <rPh sb="16" eb="17">
      <t>カタ</t>
    </rPh>
    <rPh sb="18" eb="20">
      <t>チャクショウ</t>
    </rPh>
    <rPh sb="20" eb="21">
      <t>スウ</t>
    </rPh>
    <phoneticPr fontId="8"/>
  </si>
  <si>
    <t>エレベーター・高速特注インバータ型・速度</t>
    <rPh sb="7" eb="9">
      <t>コウソク</t>
    </rPh>
    <rPh sb="9" eb="11">
      <t>トクチュウ</t>
    </rPh>
    <rPh sb="16" eb="17">
      <t>カタ</t>
    </rPh>
    <rPh sb="18" eb="20">
      <t>ソクド</t>
    </rPh>
    <phoneticPr fontId="8"/>
  </si>
  <si>
    <t>エレベーター・高速特注インバータ型・程度</t>
    <rPh sb="7" eb="9">
      <t>コウソク</t>
    </rPh>
    <rPh sb="9" eb="11">
      <t>トクチュウ</t>
    </rPh>
    <rPh sb="16" eb="17">
      <t>カタ</t>
    </rPh>
    <rPh sb="18" eb="20">
      <t>テイド</t>
    </rPh>
    <phoneticPr fontId="8"/>
  </si>
  <si>
    <t>［泡消火］</t>
    <rPh sb="1" eb="2">
      <t>アワ</t>
    </rPh>
    <rPh sb="2" eb="4">
      <t>ショウカ</t>
    </rPh>
    <phoneticPr fontId="8"/>
  </si>
  <si>
    <t>スプリンクラー</t>
  </si>
  <si>
    <t>スプリンクラー・建物の規模</t>
    <rPh sb="8" eb="10">
      <t>タテモノ</t>
    </rPh>
    <rPh sb="11" eb="13">
      <t>キボ</t>
    </rPh>
    <phoneticPr fontId="8"/>
  </si>
  <si>
    <t>［スプリンクラー］</t>
    <phoneticPr fontId="8"/>
  </si>
  <si>
    <t>建　具</t>
    <rPh sb="0" eb="1">
      <t>ケン</t>
    </rPh>
    <rPh sb="2" eb="3">
      <t>グ</t>
    </rPh>
    <phoneticPr fontId="8"/>
  </si>
  <si>
    <t>◆　建具自由作成　◆</t>
    <rPh sb="2" eb="4">
      <t>タテグ</t>
    </rPh>
    <rPh sb="4" eb="6">
      <t>ジユウ</t>
    </rPh>
    <rPh sb="6" eb="8">
      <t>サクセイ</t>
    </rPh>
    <phoneticPr fontId="8"/>
  </si>
  <si>
    <t>（建具自由作成１）</t>
    <rPh sb="1" eb="3">
      <t>タテグ</t>
    </rPh>
    <rPh sb="3" eb="5">
      <t>ジユウ</t>
    </rPh>
    <rPh sb="5" eb="7">
      <t>サクセイ</t>
    </rPh>
    <phoneticPr fontId="8"/>
  </si>
  <si>
    <t>（建具自由作成２）</t>
    <rPh sb="1" eb="3">
      <t>タテグ</t>
    </rPh>
    <rPh sb="3" eb="5">
      <t>ジユウ</t>
    </rPh>
    <rPh sb="5" eb="7">
      <t>サクセイ</t>
    </rPh>
    <phoneticPr fontId="8"/>
  </si>
  <si>
    <t>（建具自由作成３）</t>
    <rPh sb="1" eb="3">
      <t>タテグ</t>
    </rPh>
    <rPh sb="3" eb="5">
      <t>ジユウ</t>
    </rPh>
    <rPh sb="5" eb="7">
      <t>サクセイ</t>
    </rPh>
    <phoneticPr fontId="8"/>
  </si>
  <si>
    <t>（建具自由作成４）</t>
    <rPh sb="1" eb="3">
      <t>タテグ</t>
    </rPh>
    <rPh sb="3" eb="5">
      <t>ジユウ</t>
    </rPh>
    <rPh sb="5" eb="7">
      <t>サクセイ</t>
    </rPh>
    <phoneticPr fontId="8"/>
  </si>
  <si>
    <t>（建具自由作成５）</t>
    <rPh sb="1" eb="3">
      <t>タテグ</t>
    </rPh>
    <rPh sb="3" eb="5">
      <t>ジユウ</t>
    </rPh>
    <rPh sb="5" eb="7">
      <t>サクセイ</t>
    </rPh>
    <phoneticPr fontId="8"/>
  </si>
  <si>
    <t>［網戸名称］</t>
    <rPh sb="3" eb="5">
      <t>メイショウ</t>
    </rPh>
    <phoneticPr fontId="8"/>
  </si>
  <si>
    <t>標準評点数</t>
    <phoneticPr fontId="8"/>
  </si>
  <si>
    <t>評 点 数</t>
    <phoneticPr fontId="8"/>
  </si>
  <si>
    <t>備　　考</t>
    <phoneticPr fontId="8"/>
  </si>
  <si>
    <t>用途</t>
    <phoneticPr fontId="8"/>
  </si>
  <si>
    <t>区分</t>
    <phoneticPr fontId="8"/>
  </si>
  <si>
    <t>適用基準</t>
    <phoneticPr fontId="8"/>
  </si>
  <si>
    <t>あり</t>
    <phoneticPr fontId="19"/>
  </si>
  <si>
    <t>なし</t>
    <phoneticPr fontId="19"/>
  </si>
  <si>
    <t>組</t>
    <rPh sb="0" eb="1">
      <t>クミ</t>
    </rPh>
    <phoneticPr fontId="19"/>
  </si>
  <si>
    <t>計算単位</t>
    <rPh sb="0" eb="2">
      <t>ケイサン</t>
    </rPh>
    <rPh sb="2" eb="4">
      <t>タンイ</t>
    </rPh>
    <phoneticPr fontId="8"/>
  </si>
  <si>
    <t>階段手摺等特殊装飾</t>
  </si>
  <si>
    <t>舞台</t>
  </si>
  <si>
    <t>固定椅子 並</t>
  </si>
  <si>
    <t>金庫扉角型</t>
  </si>
  <si>
    <t>カウンター 黒みかげ石練付板</t>
  </si>
  <si>
    <t>カウンター デコラ</t>
  </si>
  <si>
    <t>カウンター 木製</t>
  </si>
  <si>
    <t>造り付け家具 デコラ</t>
  </si>
  <si>
    <t>※「固定椅子」は計算単位が「席数」のため、個数に席数(例：３連椅子１組⇒３席）を入力してください。（大きさは不要です）</t>
    <rPh sb="2" eb="4">
      <t>コテイ</t>
    </rPh>
    <rPh sb="4" eb="6">
      <t>イス</t>
    </rPh>
    <rPh sb="8" eb="10">
      <t>ケイサン</t>
    </rPh>
    <rPh sb="10" eb="12">
      <t>タンイ</t>
    </rPh>
    <rPh sb="14" eb="16">
      <t>セキスウ</t>
    </rPh>
    <rPh sb="21" eb="23">
      <t>コスウ</t>
    </rPh>
    <rPh sb="24" eb="26">
      <t>セキスウ</t>
    </rPh>
    <rPh sb="27" eb="28">
      <t>レイ</t>
    </rPh>
    <rPh sb="30" eb="31">
      <t>レン</t>
    </rPh>
    <rPh sb="31" eb="33">
      <t>イス</t>
    </rPh>
    <rPh sb="34" eb="35">
      <t>クミ</t>
    </rPh>
    <rPh sb="37" eb="38">
      <t>セキ</t>
    </rPh>
    <rPh sb="40" eb="42">
      <t>ニュウリョク</t>
    </rPh>
    <rPh sb="50" eb="51">
      <t>オオ</t>
    </rPh>
    <rPh sb="54" eb="56">
      <t>フヨウ</t>
    </rPh>
    <phoneticPr fontId="19"/>
  </si>
  <si>
    <t>計算単位</t>
    <rPh sb="0" eb="2">
      <t>ケイサン</t>
    </rPh>
    <rPh sb="2" eb="4">
      <t>タンイ</t>
    </rPh>
    <phoneticPr fontId="19"/>
  </si>
  <si>
    <t>扉厚</t>
    <rPh sb="0" eb="1">
      <t>トビラ</t>
    </rPh>
    <rPh sb="1" eb="2">
      <t>アツ</t>
    </rPh>
    <phoneticPr fontId="8"/>
  </si>
  <si>
    <t>開閉装置等</t>
    <rPh sb="0" eb="2">
      <t>カイヘイ</t>
    </rPh>
    <rPh sb="2" eb="4">
      <t>ソウチ</t>
    </rPh>
    <rPh sb="4" eb="5">
      <t>トウ</t>
    </rPh>
    <phoneticPr fontId="19"/>
  </si>
  <si>
    <t>［加算名称］</t>
    <rPh sb="1" eb="3">
      <t>カサン</t>
    </rPh>
    <rPh sb="3" eb="5">
      <t>メイショウ</t>
    </rPh>
    <phoneticPr fontId="8"/>
  </si>
  <si>
    <t>(加算自由作成１）</t>
    <rPh sb="1" eb="3">
      <t>カサン</t>
    </rPh>
    <rPh sb="3" eb="5">
      <t>ジユウ</t>
    </rPh>
    <rPh sb="5" eb="7">
      <t>サクセイ</t>
    </rPh>
    <phoneticPr fontId="8"/>
  </si>
  <si>
    <t>(加算自由作成２）</t>
    <phoneticPr fontId="8"/>
  </si>
  <si>
    <t>ｶﾒﾗ付</t>
    <rPh sb="3" eb="4">
      <t>ツキ</t>
    </rPh>
    <phoneticPr fontId="19"/>
  </si>
  <si>
    <t>(調書シートで選択）</t>
    <rPh sb="1" eb="3">
      <t>チョウショ</t>
    </rPh>
    <rPh sb="7" eb="9">
      <t>センタク</t>
    </rPh>
    <phoneticPr fontId="8"/>
  </si>
  <si>
    <t>住宅の形式(その他）</t>
    <rPh sb="0" eb="2">
      <t>ジュウタク</t>
    </rPh>
    <rPh sb="3" eb="5">
      <t>ケイシキ</t>
    </rPh>
    <rPh sb="8" eb="9">
      <t>タ</t>
    </rPh>
    <phoneticPr fontId="8"/>
  </si>
  <si>
    <t>集合型・CB</t>
    <rPh sb="0" eb="3">
      <t>シュウゴウガタ</t>
    </rPh>
    <phoneticPr fontId="19"/>
  </si>
  <si>
    <t>上限</t>
    <rPh sb="0" eb="2">
      <t>ジョウゲン</t>
    </rPh>
    <phoneticPr fontId="8"/>
  </si>
  <si>
    <t>下限</t>
    <rPh sb="0" eb="2">
      <t>カゲン</t>
    </rPh>
    <phoneticPr fontId="8"/>
  </si>
  <si>
    <t>コンクリートブロック ［臥梁共］（㎡）</t>
    <rPh sb="14" eb="15">
      <t>トモ</t>
    </rPh>
    <phoneticPr fontId="8"/>
  </si>
  <si>
    <t>なし(別調書使用）</t>
    <rPh sb="3" eb="4">
      <t>ベツ</t>
    </rPh>
    <rPh sb="4" eb="6">
      <t>チョウショ</t>
    </rPh>
    <rPh sb="6" eb="8">
      <t>シヨウ</t>
    </rPh>
    <phoneticPr fontId="8"/>
  </si>
  <si>
    <t>古材</t>
  </si>
  <si>
    <t>不能</t>
    <rPh sb="0" eb="2">
      <t>フノウ</t>
    </rPh>
    <phoneticPr fontId="8"/>
  </si>
  <si>
    <r>
      <t>m</t>
    </r>
    <r>
      <rPr>
        <vertAlign val="superscript"/>
        <sz val="9"/>
        <rFont val="ＭＳ Ｐ明朝"/>
        <family val="1"/>
        <charset val="128"/>
      </rPr>
      <t>3</t>
    </r>
    <phoneticPr fontId="8"/>
  </si>
  <si>
    <r>
      <t>コンクリート ［無筋用］（m</t>
    </r>
    <r>
      <rPr>
        <vertAlign val="superscript"/>
        <sz val="9"/>
        <rFont val="ＭＳ Ｐ明朝"/>
        <family val="1"/>
        <charset val="128"/>
      </rPr>
      <t>3</t>
    </r>
    <r>
      <rPr>
        <sz val="9"/>
        <rFont val="ＭＳ Ｐ明朝"/>
        <family val="1"/>
        <charset val="128"/>
      </rPr>
      <t>）</t>
    </r>
    <rPh sb="8" eb="9">
      <t>ム</t>
    </rPh>
    <rPh sb="9" eb="10">
      <t>スジ</t>
    </rPh>
    <rPh sb="10" eb="11">
      <t>ヨウ</t>
    </rPh>
    <phoneticPr fontId="8"/>
  </si>
  <si>
    <r>
      <t>コンクリート[屋根・床構造用]（m</t>
    </r>
    <r>
      <rPr>
        <vertAlign val="superscript"/>
        <sz val="9"/>
        <rFont val="ＭＳ Ｐ明朝"/>
        <family val="1"/>
        <charset val="128"/>
      </rPr>
      <t>3</t>
    </r>
    <r>
      <rPr>
        <sz val="9"/>
        <rFont val="ＭＳ Ｐ明朝"/>
        <family val="1"/>
        <charset val="128"/>
      </rPr>
      <t>）</t>
    </r>
    <rPh sb="7" eb="9">
      <t>ヤネ</t>
    </rPh>
    <rPh sb="10" eb="11">
      <t>ユカ</t>
    </rPh>
    <rPh sb="11" eb="13">
      <t>コウゾウ</t>
    </rPh>
    <rPh sb="13" eb="14">
      <t>ヨウ</t>
    </rPh>
    <phoneticPr fontId="8"/>
  </si>
  <si>
    <r>
      <t>軽量コンクリート[鉄筋用]（m</t>
    </r>
    <r>
      <rPr>
        <vertAlign val="superscript"/>
        <sz val="9"/>
        <rFont val="ＭＳ Ｐ明朝"/>
        <family val="1"/>
        <charset val="128"/>
      </rPr>
      <t>3</t>
    </r>
    <r>
      <rPr>
        <sz val="9"/>
        <rFont val="ＭＳ Ｐ明朝"/>
        <family val="1"/>
        <charset val="128"/>
      </rPr>
      <t>）</t>
    </r>
    <rPh sb="9" eb="11">
      <t>テッキン</t>
    </rPh>
    <rPh sb="11" eb="12">
      <t>ヨウ</t>
    </rPh>
    <phoneticPr fontId="8"/>
  </si>
  <si>
    <r>
      <t>プレキャストコンクリート（m</t>
    </r>
    <r>
      <rPr>
        <vertAlign val="superscript"/>
        <sz val="9"/>
        <rFont val="ＭＳ Ｐ明朝"/>
        <family val="1"/>
        <charset val="128"/>
      </rPr>
      <t>3</t>
    </r>
    <r>
      <rPr>
        <sz val="9"/>
        <rFont val="ＭＳ Ｐ明朝"/>
        <family val="1"/>
        <charset val="128"/>
      </rPr>
      <t>）</t>
    </r>
    <phoneticPr fontId="8"/>
  </si>
  <si>
    <t>溶接金網（㎡）</t>
    <rPh sb="0" eb="2">
      <t>ヨウセツ</t>
    </rPh>
    <rPh sb="2" eb="4">
      <t>カナアミ</t>
    </rPh>
    <phoneticPr fontId="8"/>
  </si>
  <si>
    <t>㎡</t>
    <phoneticPr fontId="8"/>
  </si>
  <si>
    <t>根伐土量/面積</t>
    <rPh sb="0" eb="1">
      <t>ネ</t>
    </rPh>
    <rPh sb="1" eb="2">
      <t>バツ</t>
    </rPh>
    <rPh sb="2" eb="3">
      <t>ツチ</t>
    </rPh>
    <rPh sb="3" eb="4">
      <t>リョウ</t>
    </rPh>
    <rPh sb="5" eb="7">
      <t>メンセキ</t>
    </rPh>
    <phoneticPr fontId="8"/>
  </si>
  <si>
    <r>
      <t>根伐土量（m</t>
    </r>
    <r>
      <rPr>
        <vertAlign val="superscript"/>
        <sz val="9"/>
        <rFont val="ＭＳ Ｐゴシック"/>
        <family val="3"/>
        <charset val="128"/>
      </rPr>
      <t>3</t>
    </r>
    <r>
      <rPr>
        <sz val="9"/>
        <rFont val="ＭＳ Ｐゴシック"/>
        <family val="3"/>
        <charset val="128"/>
      </rPr>
      <t>）</t>
    </r>
    <rPh sb="0" eb="1">
      <t>ネ</t>
    </rPh>
    <rPh sb="1" eb="2">
      <t>バツ</t>
    </rPh>
    <rPh sb="2" eb="3">
      <t>ツチ</t>
    </rPh>
    <rPh sb="3" eb="4">
      <t>リョウ</t>
    </rPh>
    <phoneticPr fontId="8"/>
  </si>
  <si>
    <r>
      <t>m</t>
    </r>
    <r>
      <rPr>
        <vertAlign val="superscript"/>
        <sz val="9"/>
        <rFont val="ＭＳ Ｐ明朝"/>
        <family val="1"/>
        <charset val="128"/>
      </rPr>
      <t>3</t>
    </r>
    <phoneticPr fontId="8"/>
  </si>
  <si>
    <t>基礎延長/面積</t>
    <rPh sb="0" eb="2">
      <t>キソ</t>
    </rPh>
    <rPh sb="2" eb="4">
      <t>エンチョウ</t>
    </rPh>
    <rPh sb="5" eb="7">
      <t>メンセキ</t>
    </rPh>
    <phoneticPr fontId="8"/>
  </si>
  <si>
    <t>独立基礎
(根伐り工事を含む）</t>
    <rPh sb="0" eb="2">
      <t>ドクリツ</t>
    </rPh>
    <rPh sb="2" eb="4">
      <t>キソ</t>
    </rPh>
    <phoneticPr fontId="8"/>
  </si>
  <si>
    <t>　既　製　杭</t>
    <rPh sb="1" eb="2">
      <t>キ</t>
    </rPh>
    <rPh sb="3" eb="4">
      <t>セイ</t>
    </rPh>
    <rPh sb="5" eb="6">
      <t>クイ</t>
    </rPh>
    <phoneticPr fontId="8"/>
  </si>
  <si>
    <t>RC基礎延長
（ｍ）</t>
    <rPh sb="2" eb="4">
      <t>キソ</t>
    </rPh>
    <rPh sb="4" eb="6">
      <t>エンチョウ</t>
    </rPh>
    <phoneticPr fontId="8"/>
  </si>
  <si>
    <t>CB基礎評点数</t>
    <rPh sb="2" eb="4">
      <t>キソ</t>
    </rPh>
    <rPh sb="4" eb="6">
      <t>ヒョウテン</t>
    </rPh>
    <rPh sb="6" eb="7">
      <t>スウ</t>
    </rPh>
    <phoneticPr fontId="8"/>
  </si>
  <si>
    <t>ｍ</t>
    <phoneticPr fontId="8"/>
  </si>
  <si>
    <t>延　　長</t>
    <rPh sb="0" eb="1">
      <t>ノベ</t>
    </rPh>
    <rPh sb="3" eb="4">
      <t>チョウ</t>
    </rPh>
    <phoneticPr fontId="8"/>
  </si>
  <si>
    <t>ｺﾝｸﾘｰﾄﾌﾞﾛｯｸ基礎</t>
    <rPh sb="11" eb="13">
      <t>キソ</t>
    </rPh>
    <phoneticPr fontId="8"/>
  </si>
  <si>
    <t>CB基礎延長
（ｍ）</t>
    <rPh sb="2" eb="4">
      <t>キソ</t>
    </rPh>
    <rPh sb="4" eb="6">
      <t>エンチョウ</t>
    </rPh>
    <phoneticPr fontId="8"/>
  </si>
  <si>
    <t>+</t>
    <phoneticPr fontId="42"/>
  </si>
  <si>
    <t>（材工共）</t>
  </si>
  <si>
    <t>―</t>
  </si>
  <si>
    <t>束立床</t>
  </si>
  <si>
    <t>木造90㎜厚</t>
  </si>
  <si>
    <t>鉄骨造100㎜厚</t>
  </si>
  <si>
    <t>繊維板</t>
  </si>
  <si>
    <t>繊維板(RCﾌﾟﾚ)</t>
  </si>
  <si>
    <t>+</t>
    <phoneticPr fontId="42"/>
  </si>
  <si>
    <t>縞鋼板6.0㎜厚</t>
  </si>
  <si>
    <t>縞鋼板4.5㎜厚</t>
  </si>
  <si>
    <t>縞鋼板3.2㎜厚</t>
  </si>
  <si>
    <t>れんが平敷</t>
  </si>
  <si>
    <t>住宅用二重床</t>
  </si>
  <si>
    <t>塗膜防水</t>
  </si>
  <si>
    <t>銅板平板</t>
  </si>
  <si>
    <t>※「金庫扉」「書庫扉」は計算単位が「箇所数」です。大きさの違いは補正で反映するので、個数のみを入力してください。</t>
    <rPh sb="2" eb="4">
      <t>キンコ</t>
    </rPh>
    <rPh sb="4" eb="5">
      <t>トビラ</t>
    </rPh>
    <rPh sb="7" eb="9">
      <t>ショコ</t>
    </rPh>
    <rPh sb="9" eb="10">
      <t>トビラ</t>
    </rPh>
    <rPh sb="12" eb="14">
      <t>ケイサン</t>
    </rPh>
    <rPh sb="14" eb="16">
      <t>タンイ</t>
    </rPh>
    <rPh sb="18" eb="20">
      <t>カショ</t>
    </rPh>
    <rPh sb="20" eb="21">
      <t>スウ</t>
    </rPh>
    <rPh sb="25" eb="26">
      <t>オオ</t>
    </rPh>
    <rPh sb="29" eb="30">
      <t>チガ</t>
    </rPh>
    <rPh sb="32" eb="34">
      <t>ホセイ</t>
    </rPh>
    <rPh sb="35" eb="37">
      <t>ハンエイ</t>
    </rPh>
    <rPh sb="42" eb="44">
      <t>コスウ</t>
    </rPh>
    <rPh sb="47" eb="49">
      <t>ニュウリョク</t>
    </rPh>
    <phoneticPr fontId="19"/>
  </si>
  <si>
    <t>程度</t>
    <rPh sb="0" eb="2">
      <t>テイド</t>
    </rPh>
    <phoneticPr fontId="8"/>
  </si>
  <si>
    <t>種類</t>
    <rPh sb="0" eb="2">
      <t>シュルイ</t>
    </rPh>
    <phoneticPr fontId="8"/>
  </si>
  <si>
    <t>補正</t>
    <rPh sb="0" eb="2">
      <t>ホセイ</t>
    </rPh>
    <phoneticPr fontId="8"/>
  </si>
  <si>
    <t>自動扉開閉装置 引分</t>
    <rPh sb="3" eb="5">
      <t>カイヘイ</t>
    </rPh>
    <rPh sb="5" eb="7">
      <t>ソウチ</t>
    </rPh>
    <phoneticPr fontId="8"/>
  </si>
  <si>
    <t>自動扉開閉装置 片引</t>
    <rPh sb="3" eb="5">
      <t>カイヘイ</t>
    </rPh>
    <rPh sb="5" eb="7">
      <t>ソウチ</t>
    </rPh>
    <phoneticPr fontId="8"/>
  </si>
  <si>
    <t>窓区分</t>
    <rPh sb="0" eb="1">
      <t>マド</t>
    </rPh>
    <rPh sb="1" eb="3">
      <t>クブン</t>
    </rPh>
    <phoneticPr fontId="8"/>
  </si>
  <si>
    <t>-</t>
  </si>
  <si>
    <t>-</t>
    <phoneticPr fontId="8"/>
  </si>
  <si>
    <t>（ｶﾞﾗｽ自由作成６）</t>
    <rPh sb="5" eb="7">
      <t>ジユウ</t>
    </rPh>
    <rPh sb="7" eb="9">
      <t>サクセイ</t>
    </rPh>
    <phoneticPr fontId="8"/>
  </si>
  <si>
    <t>（ｶﾞﾗｽ自由作成５）</t>
    <rPh sb="5" eb="7">
      <t>ジユウ</t>
    </rPh>
    <rPh sb="7" eb="9">
      <t>サクセイ</t>
    </rPh>
    <phoneticPr fontId="8"/>
  </si>
  <si>
    <t>（ｶﾞﾗｽ自由作成４）</t>
    <rPh sb="5" eb="7">
      <t>ジユウ</t>
    </rPh>
    <rPh sb="7" eb="9">
      <t>サクセイ</t>
    </rPh>
    <phoneticPr fontId="8"/>
  </si>
  <si>
    <t>（ｶﾞﾗｽ自由作成３）</t>
    <rPh sb="5" eb="7">
      <t>ジユウ</t>
    </rPh>
    <rPh sb="7" eb="9">
      <t>サクセイ</t>
    </rPh>
    <phoneticPr fontId="8"/>
  </si>
  <si>
    <t>ステンドグラス</t>
  </si>
  <si>
    <t>鉛入 鉛当量3.0mmPb</t>
  </si>
  <si>
    <t>鉛入 鉛当量2.0mmPb</t>
  </si>
  <si>
    <t>鉛入 鉛当量1.5mmPb</t>
  </si>
  <si>
    <t>面　積</t>
    <phoneticPr fontId="8"/>
  </si>
  <si>
    <t>ｻｯｼ等面積の1/2</t>
    <rPh sb="2" eb="3">
      <t>トウ</t>
    </rPh>
    <rPh sb="3" eb="5">
      <t>メンセキ</t>
    </rPh>
    <phoneticPr fontId="8"/>
  </si>
  <si>
    <t>扉 ｽﾃﾝﾚｽ製 上</t>
  </si>
  <si>
    <t>扉 ｽﾃﾝﾚｽ製 中</t>
  </si>
  <si>
    <t>扉 ｽﾃﾝﾚｽ製 並</t>
  </si>
  <si>
    <t>ふすま 上</t>
  </si>
  <si>
    <t>ふすま 並</t>
  </si>
  <si>
    <t>障子 上</t>
  </si>
  <si>
    <t>障子 並</t>
  </si>
  <si>
    <t>雨戸･ｼｬｯﾀｰ 中</t>
  </si>
  <si>
    <t>雨戸･ｼｬｯﾀｰ 並</t>
  </si>
  <si>
    <t>ﾙｰﾊﾞｰ･面格子 ｽﾃﾝﾚｽ製 特</t>
  </si>
  <si>
    <t>ﾙｰﾊﾞｰ･面格子 ｽﾃﾝﾚｽ製 上</t>
  </si>
  <si>
    <t>ﾙｰﾊﾞｰ･面格子 ｽﾃﾝﾚｽ製 中</t>
  </si>
  <si>
    <t>ﾙｰﾊﾞｰ･面格子 ｽﾃﾝﾚｽ製 並</t>
  </si>
  <si>
    <t>ﾙｰﾊﾞｰ･面格子 ｱﾙﾐ製 特</t>
  </si>
  <si>
    <t>ﾙｰﾊﾞｰ･面格子 ｱﾙﾐ製 上</t>
  </si>
  <si>
    <t>ﾙｰﾊﾞｰ･面格子 ｱﾙﾐ製 中</t>
  </si>
  <si>
    <t>ﾙｰﾊﾞｰ･面格子 ｱﾙﾐ製 並</t>
  </si>
  <si>
    <t>ﾙｰﾊﾞｰ･面格子 鋼製 特</t>
  </si>
  <si>
    <t>ﾙｰﾊﾞｰ･面格子 鋼製 上</t>
  </si>
  <si>
    <t>ﾙｰﾊﾞｰ･面格子 鋼製 中</t>
  </si>
  <si>
    <t>ﾙｰﾊﾞｰ･面格子 鋼製 並</t>
  </si>
  <si>
    <t>ｼｬｯﾀｰ 軽量ｼｬｯﾀｰ</t>
  </si>
  <si>
    <t>ｼｬｯﾀｰ 重量ｼｬｯﾀｰ</t>
  </si>
  <si>
    <t>ｼｬｯﾀｰ ｸﾞﾘﾙｼｬｯﾀｰ</t>
  </si>
  <si>
    <t>ｼｬｯﾀｰ ﾎｰﾙﾃﾞｨﾝｸﾞｹﾞｰﾄ</t>
  </si>
  <si>
    <t>ｼｬｯﾀｰ ｵｰﾊﾞｰﾍｯﾄﾞﾄﾞｱ</t>
  </si>
  <si>
    <t>ｱｺｰﾃﾞｨｵﾝﾄﾞｱ(ｱﾙﾐ縁)</t>
  </si>
  <si>
    <t>ｼｰﾄｼｬｯﾀｰ</t>
  </si>
  <si>
    <t>ｽﾗｲﾃﾞｨﾝｸﾞｳｫｰﾙ 特</t>
  </si>
  <si>
    <t>ｽﾗｲﾃﾞｨﾝｸﾞｳｫｰﾙ 上</t>
  </si>
  <si>
    <t>ｽﾗｲﾃﾞｨﾝｸﾞｳｫｰﾙ 中</t>
  </si>
  <si>
    <t>ｽﾗｲﾃﾞｨﾝｸﾞｳｫｰﾙ 並</t>
  </si>
  <si>
    <t>ｶﾞﾗｽﾌﾞﾛｯｸ 透明115×115×95(㎜)</t>
  </si>
  <si>
    <t>ｶﾞﾗｽﾌﾞﾛｯｸ 透明145×145×95(㎜)</t>
  </si>
  <si>
    <t>ｶﾞﾗｽﾌﾞﾛｯｸ 透明190×190×95(㎜)</t>
  </si>
  <si>
    <t>ｶﾞﾗｽﾌﾞﾛｯｸ 色物145×145×95(㎜)</t>
  </si>
  <si>
    <t>5割程度ガラス扉となっているもの</t>
  </si>
  <si>
    <t>直角格子</t>
  </si>
  <si>
    <t>一方向格子</t>
  </si>
  <si>
    <t>サッシ併設の、雨戸の役割をする電動シャッター</t>
    <rPh sb="3" eb="5">
      <t>ヘイセツ</t>
    </rPh>
    <rPh sb="7" eb="9">
      <t>アマド</t>
    </rPh>
    <rPh sb="15" eb="17">
      <t>デンドウ</t>
    </rPh>
    <phoneticPr fontId="8"/>
  </si>
  <si>
    <t>サッシ併設の、雨戸の役割をする手動シャッター</t>
    <rPh sb="3" eb="5">
      <t>ヘイセツ</t>
    </rPh>
    <rPh sb="7" eb="9">
      <t>アマド</t>
    </rPh>
    <rPh sb="15" eb="17">
      <t>シュドウ</t>
    </rPh>
    <phoneticPr fontId="8"/>
  </si>
  <si>
    <t>可動ルーバー庇（２４基準の特殊設備「ルーバー」）</t>
    <rPh sb="10" eb="12">
      <t>キジュン</t>
    </rPh>
    <phoneticPr fontId="8"/>
  </si>
  <si>
    <t>密な井桁格子（２４基準の特殊設備「グリル」）</t>
    <phoneticPr fontId="8"/>
  </si>
  <si>
    <t>可動ルーバー庇（２４基準の特殊設備「ルーバー」）</t>
    <phoneticPr fontId="8"/>
  </si>
  <si>
    <t>◆　サッシ　◆</t>
    <phoneticPr fontId="8"/>
  </si>
  <si>
    <t>◆　ドア　◆</t>
    <phoneticPr fontId="8"/>
  </si>
  <si>
    <t>◆　シャッター　◆</t>
    <phoneticPr fontId="8"/>
  </si>
  <si>
    <t>◆　その他　◆</t>
    <rPh sb="4" eb="5">
      <t>ホカ</t>
    </rPh>
    <phoneticPr fontId="8"/>
  </si>
  <si>
    <t>(参考）程度補正の想定資材等</t>
    <rPh sb="1" eb="3">
      <t>サンコウ</t>
    </rPh>
    <rPh sb="4" eb="6">
      <t>テイド</t>
    </rPh>
    <rPh sb="6" eb="8">
      <t>ホセイ</t>
    </rPh>
    <rPh sb="9" eb="11">
      <t>ソウテイ</t>
    </rPh>
    <rPh sb="11" eb="13">
      <t>シザイ</t>
    </rPh>
    <rPh sb="13" eb="14">
      <t>トウ</t>
    </rPh>
    <phoneticPr fontId="8"/>
  </si>
  <si>
    <t>大荒雪見障子　スプルス</t>
    <phoneticPr fontId="8"/>
  </si>
  <si>
    <t>障子戸規格品　無地障子　スプルス</t>
    <phoneticPr fontId="8"/>
  </si>
  <si>
    <t>雨戸･ｼｬｯﾀｰ 上</t>
    <phoneticPr fontId="8"/>
  </si>
  <si>
    <t>直角格子</t>
    <phoneticPr fontId="8"/>
  </si>
  <si>
    <t>一方向格子</t>
    <phoneticPr fontId="8"/>
  </si>
  <si>
    <t>その他</t>
    <rPh sb="2" eb="3">
      <t>ホカ</t>
    </rPh>
    <phoneticPr fontId="8"/>
  </si>
  <si>
    <t>面積合計</t>
    <rPh sb="0" eb="2">
      <t>メンセキ</t>
    </rPh>
    <rPh sb="2" eb="4">
      <t>ゴウケイ</t>
    </rPh>
    <phoneticPr fontId="8"/>
  </si>
  <si>
    <t>1枚当り
㎡</t>
    <phoneticPr fontId="19"/>
  </si>
  <si>
    <t xml:space="preserve"> サッシ面積計</t>
    <rPh sb="4" eb="6">
      <t>メンセキ</t>
    </rPh>
    <rPh sb="6" eb="7">
      <t>ケイ</t>
    </rPh>
    <phoneticPr fontId="19"/>
  </si>
  <si>
    <t>部分別評点数　建具 計</t>
    <rPh sb="0" eb="2">
      <t>ブブン</t>
    </rPh>
    <rPh sb="2" eb="3">
      <t>ベツ</t>
    </rPh>
    <rPh sb="3" eb="5">
      <t>ヒョウテン</t>
    </rPh>
    <rPh sb="5" eb="6">
      <t>スウ</t>
    </rPh>
    <rPh sb="7" eb="9">
      <t>タテグ</t>
    </rPh>
    <rPh sb="10" eb="11">
      <t>ケイ</t>
    </rPh>
    <phoneticPr fontId="8"/>
  </si>
  <si>
    <t>部分別評点数　特殊設備 計</t>
    <rPh sb="0" eb="2">
      <t>ブブン</t>
    </rPh>
    <rPh sb="2" eb="3">
      <t>ベツ</t>
    </rPh>
    <rPh sb="3" eb="5">
      <t>ヒョウテン</t>
    </rPh>
    <rPh sb="5" eb="6">
      <t>スウ</t>
    </rPh>
    <rPh sb="7" eb="9">
      <t>トクシュ</t>
    </rPh>
    <rPh sb="9" eb="11">
      <t>セツビ</t>
    </rPh>
    <rPh sb="12" eb="13">
      <t>ケイ</t>
    </rPh>
    <phoneticPr fontId="8"/>
  </si>
  <si>
    <t>ｼｬｯﾀｰ開閉装置 手動</t>
    <rPh sb="5" eb="7">
      <t>カイヘイ</t>
    </rPh>
    <rPh sb="7" eb="9">
      <t>ソウチ</t>
    </rPh>
    <phoneticPr fontId="8"/>
  </si>
  <si>
    <t>ｼｬｯﾀｰ開閉装置 電動</t>
    <rPh sb="5" eb="7">
      <t>カイヘイ</t>
    </rPh>
    <rPh sb="7" eb="9">
      <t>ソウチ</t>
    </rPh>
    <phoneticPr fontId="8"/>
  </si>
  <si>
    <t>ｼｬｯﾀｰ開閉装置 煙感知器連動 電動</t>
    <rPh sb="5" eb="7">
      <t>カイヘイ</t>
    </rPh>
    <rPh sb="7" eb="9">
      <t>ソウチ</t>
    </rPh>
    <rPh sb="17" eb="19">
      <t>デンドウ</t>
    </rPh>
    <phoneticPr fontId="8"/>
  </si>
  <si>
    <t>ロックウール吹付</t>
    <rPh sb="6" eb="8">
      <t>フキツ</t>
    </rPh>
    <phoneticPr fontId="22"/>
  </si>
  <si>
    <t>断熱等</t>
    <rPh sb="0" eb="2">
      <t>ダンネツ</t>
    </rPh>
    <rPh sb="2" eb="3">
      <t>トウ</t>
    </rPh>
    <phoneticPr fontId="8"/>
  </si>
  <si>
    <t>部分別</t>
  </si>
  <si>
    <t>評点数</t>
    <phoneticPr fontId="42"/>
  </si>
  <si>
    <t>下地の内容</t>
  </si>
  <si>
    <t>外部仕上</t>
  </si>
  <si>
    <t>モルタル・取付金物等</t>
  </si>
  <si>
    <t>型枠　上・モルタル</t>
  </si>
  <si>
    <t>型枠　並・モルタル</t>
  </si>
  <si>
    <t>モルタル</t>
  </si>
  <si>
    <t>モルタル・取付金物</t>
  </si>
  <si>
    <t>内部仕上</t>
  </si>
  <si>
    <t>床仕上</t>
  </si>
  <si>
    <t>直仕上下地</t>
  </si>
  <si>
    <t>乾式二重床</t>
  </si>
  <si>
    <t>フェルト</t>
  </si>
  <si>
    <t>直仕上下地・フェルト</t>
  </si>
  <si>
    <t>天井仕上</t>
  </si>
  <si>
    <t>軽鉄天井下地</t>
  </si>
  <si>
    <t>軽鉄天井下地・石膏ボード等</t>
  </si>
  <si>
    <t>天井下地・天井裏仕上げ</t>
  </si>
  <si>
    <t>屋根仕上</t>
  </si>
  <si>
    <t>均しモルタル</t>
  </si>
  <si>
    <t>均しモルタル・アスファルト防水6層等</t>
  </si>
  <si>
    <t>木造下地（瓦棒等）</t>
  </si>
  <si>
    <t>木造下地</t>
  </si>
  <si>
    <t>下地一覧</t>
    <rPh sb="0" eb="2">
      <t>シタジ</t>
    </rPh>
    <rPh sb="2" eb="4">
      <t>イチラン</t>
    </rPh>
    <phoneticPr fontId="8"/>
  </si>
  <si>
    <t>加算評点項目</t>
    <rPh sb="0" eb="2">
      <t>カサン</t>
    </rPh>
    <rPh sb="2" eb="4">
      <t>ヒョウテン</t>
    </rPh>
    <rPh sb="4" eb="6">
      <t>コウモク</t>
    </rPh>
    <phoneticPr fontId="8"/>
  </si>
  <si>
    <t>減点補正率・下限</t>
    <rPh sb="0" eb="2">
      <t>ゲンテン</t>
    </rPh>
    <rPh sb="2" eb="4">
      <t>ホセイ</t>
    </rPh>
    <rPh sb="4" eb="5">
      <t>リツ</t>
    </rPh>
    <rPh sb="6" eb="8">
      <t>カゲン</t>
    </rPh>
    <phoneticPr fontId="8"/>
  </si>
  <si>
    <r>
      <t>◆建築設備（個別方式）</t>
    </r>
    <r>
      <rPr>
        <sz val="9"/>
        <rFont val="HG創英角ｺﾞｼｯｸUB"/>
        <family val="3"/>
        <charset val="128"/>
      </rPr>
      <t/>
    </r>
    <phoneticPr fontId="5"/>
  </si>
  <si>
    <t>※基準設定は事・店・百、病・ホのみ</t>
    <rPh sb="1" eb="3">
      <t>キジュン</t>
    </rPh>
    <rPh sb="3" eb="5">
      <t>セッテイ</t>
    </rPh>
    <rPh sb="6" eb="7">
      <t>ジ</t>
    </rPh>
    <rPh sb="8" eb="9">
      <t>ミセ</t>
    </rPh>
    <rPh sb="10" eb="11">
      <t>ヒャク</t>
    </rPh>
    <rPh sb="12" eb="13">
      <t>ビョウ</t>
    </rPh>
    <phoneticPr fontId="8"/>
  </si>
  <si>
    <t>他基準は、転用（駐車場面積が計算単位のため、そのまま）</t>
    <rPh sb="0" eb="1">
      <t>ホカ</t>
    </rPh>
    <rPh sb="1" eb="3">
      <t>キジュン</t>
    </rPh>
    <rPh sb="5" eb="7">
      <t>テンヨウ</t>
    </rPh>
    <rPh sb="8" eb="11">
      <t>チュウシャジョウ</t>
    </rPh>
    <rPh sb="11" eb="13">
      <t>メンセキ</t>
    </rPh>
    <rPh sb="14" eb="16">
      <t>ケイサン</t>
    </rPh>
    <rPh sb="16" eb="18">
      <t>タンイ</t>
    </rPh>
    <phoneticPr fontId="8"/>
  </si>
  <si>
    <t>ドアホン</t>
    <phoneticPr fontId="8"/>
  </si>
  <si>
    <t>［ドアホン］</t>
    <phoneticPr fontId="8"/>
  </si>
  <si>
    <t>ドアホン・程度</t>
    <rPh sb="5" eb="7">
      <t>テイド</t>
    </rPh>
    <phoneticPr fontId="8"/>
  </si>
  <si>
    <t>インター
ホン</t>
    <phoneticPr fontId="8"/>
  </si>
  <si>
    <t>ドアホン</t>
    <phoneticPr fontId="8"/>
  </si>
  <si>
    <t>カメラ付</t>
  </si>
  <si>
    <t>カメラ付</t>
    <rPh sb="3" eb="4">
      <t>ツ</t>
    </rPh>
    <phoneticPr fontId="8"/>
  </si>
  <si>
    <t>通話型</t>
    <rPh sb="0" eb="2">
      <t>ツウワ</t>
    </rPh>
    <rPh sb="2" eb="3">
      <t>ガタ</t>
    </rPh>
    <phoneticPr fontId="8"/>
  </si>
  <si>
    <t>台</t>
    <rPh sb="0" eb="1">
      <t>ダイ</t>
    </rPh>
    <phoneticPr fontId="8"/>
  </si>
  <si>
    <t>インターホン・配置</t>
    <rPh sb="7" eb="9">
      <t>ハイチ</t>
    </rPh>
    <phoneticPr fontId="8"/>
  </si>
  <si>
    <t>-</t>
    <phoneticPr fontId="8"/>
  </si>
  <si>
    <t>計算値</t>
    <rPh sb="0" eb="3">
      <t>ケイサンチ</t>
    </rPh>
    <phoneticPr fontId="8"/>
  </si>
  <si>
    <t>※住・アには設定なし。他基準転用(共同住宅と類似する病・ホより）</t>
    <rPh sb="1" eb="2">
      <t>ジュウ</t>
    </rPh>
    <rPh sb="6" eb="8">
      <t>セッテイ</t>
    </rPh>
    <rPh sb="11" eb="12">
      <t>ホカ</t>
    </rPh>
    <rPh sb="12" eb="14">
      <t>キジュン</t>
    </rPh>
    <rPh sb="14" eb="16">
      <t>テンヨウ</t>
    </rPh>
    <rPh sb="17" eb="19">
      <t>キョウドウ</t>
    </rPh>
    <rPh sb="19" eb="21">
      <t>ジュウタク</t>
    </rPh>
    <rPh sb="22" eb="24">
      <t>ルイジ</t>
    </rPh>
    <rPh sb="26" eb="27">
      <t>ビョウ</t>
    </rPh>
    <phoneticPr fontId="8"/>
  </si>
  <si>
    <t>［監視カメラ］</t>
    <rPh sb="1" eb="3">
      <t>カンシ</t>
    </rPh>
    <phoneticPr fontId="8"/>
  </si>
  <si>
    <t>※工・倉・市は設定なし。他用途転用。</t>
    <rPh sb="1" eb="2">
      <t>コウ</t>
    </rPh>
    <rPh sb="3" eb="4">
      <t>クラ</t>
    </rPh>
    <rPh sb="5" eb="6">
      <t>イチ</t>
    </rPh>
    <rPh sb="7" eb="9">
      <t>セッテイ</t>
    </rPh>
    <rPh sb="12" eb="13">
      <t>ホカ</t>
    </rPh>
    <rPh sb="13" eb="15">
      <t>ヨウト</t>
    </rPh>
    <rPh sb="15" eb="17">
      <t>テンヨウ</t>
    </rPh>
    <phoneticPr fontId="8"/>
  </si>
  <si>
    <t>被覆銅管</t>
  </si>
  <si>
    <t>被覆銅管</t>
    <rPh sb="0" eb="2">
      <t>ヒフク</t>
    </rPh>
    <rPh sb="2" eb="4">
      <t>ドウカン</t>
    </rPh>
    <phoneticPr fontId="8"/>
  </si>
  <si>
    <t>ｽﾃﾝﾚｽ鋼管</t>
  </si>
  <si>
    <t>ｽﾃﾝﾚｽ鋼管</t>
    <rPh sb="5" eb="7">
      <t>コウカン</t>
    </rPh>
    <phoneticPr fontId="8"/>
  </si>
  <si>
    <t>※工・倉・市に設定なし。状況類似の基準がないため転用せず。</t>
    <rPh sb="1" eb="2">
      <t>コウ</t>
    </rPh>
    <rPh sb="3" eb="4">
      <t>クラ</t>
    </rPh>
    <rPh sb="5" eb="6">
      <t>イチ</t>
    </rPh>
    <rPh sb="7" eb="9">
      <t>セッテイ</t>
    </rPh>
    <rPh sb="12" eb="14">
      <t>ジョウキョウ</t>
    </rPh>
    <rPh sb="14" eb="16">
      <t>ルイジ</t>
    </rPh>
    <rPh sb="17" eb="19">
      <t>キジュン</t>
    </rPh>
    <rPh sb="24" eb="26">
      <t>テンヨウ</t>
    </rPh>
    <phoneticPr fontId="8"/>
  </si>
  <si>
    <t>※住・ア、病・ホのみ設定あり、その他基準は、1個いくらのため、そのまま転用</t>
    <rPh sb="1" eb="2">
      <t>ジュウ</t>
    </rPh>
    <rPh sb="5" eb="6">
      <t>ビョウ</t>
    </rPh>
    <rPh sb="10" eb="12">
      <t>セッテイ</t>
    </rPh>
    <rPh sb="17" eb="18">
      <t>タ</t>
    </rPh>
    <rPh sb="18" eb="20">
      <t>キジュン</t>
    </rPh>
    <rPh sb="23" eb="24">
      <t>コ</t>
    </rPh>
    <rPh sb="35" eb="37">
      <t>テンヨウ</t>
    </rPh>
    <phoneticPr fontId="8"/>
  </si>
  <si>
    <t>※住・アのみ設定あり、その他基準は、1個いくらのため、そのまま転用</t>
    <rPh sb="1" eb="2">
      <t>ジュウ</t>
    </rPh>
    <rPh sb="6" eb="8">
      <t>セッテイ</t>
    </rPh>
    <rPh sb="13" eb="14">
      <t>タ</t>
    </rPh>
    <rPh sb="14" eb="16">
      <t>キジュン</t>
    </rPh>
    <rPh sb="19" eb="20">
      <t>コ</t>
    </rPh>
    <rPh sb="31" eb="33">
      <t>テンヨウ</t>
    </rPh>
    <phoneticPr fontId="8"/>
  </si>
  <si>
    <t>　横（cm）　×　縦（cm）　＝　　　　　</t>
    <rPh sb="1" eb="2">
      <t>ヨコ</t>
    </rPh>
    <rPh sb="9" eb="10">
      <t>タテ</t>
    </rPh>
    <phoneticPr fontId="8"/>
  </si>
  <si>
    <t>　横（cm）　×　縦（cm）　＝　　　　　　</t>
    <rPh sb="1" eb="2">
      <t>ヨコ</t>
    </rPh>
    <rPh sb="9" eb="10">
      <t>タテ</t>
    </rPh>
    <phoneticPr fontId="8"/>
  </si>
  <si>
    <t>給湯器</t>
    <rPh sb="0" eb="3">
      <t>キュウトウキ</t>
    </rPh>
    <phoneticPr fontId="8"/>
  </si>
  <si>
    <t>［給湯器］</t>
    <rPh sb="1" eb="3">
      <t>キュウトウ</t>
    </rPh>
    <rPh sb="3" eb="4">
      <t>キ</t>
    </rPh>
    <phoneticPr fontId="8"/>
  </si>
  <si>
    <t>給湯器・程度</t>
    <rPh sb="0" eb="3">
      <t>キュウトウキ</t>
    </rPh>
    <rPh sb="4" eb="6">
      <t>テイド</t>
    </rPh>
    <phoneticPr fontId="8"/>
  </si>
  <si>
    <t>給湯器・号数</t>
    <rPh sb="0" eb="3">
      <t>キュウトウキ</t>
    </rPh>
    <rPh sb="4" eb="6">
      <t>ゴウスウ</t>
    </rPh>
    <rPh sb="5" eb="6">
      <t>ツイゴウ</t>
    </rPh>
    <phoneticPr fontId="8"/>
  </si>
  <si>
    <t>給湯器・追焚機能の有無</t>
    <rPh sb="0" eb="3">
      <t>キュウトウキ</t>
    </rPh>
    <rPh sb="4" eb="5">
      <t>ツイ</t>
    </rPh>
    <rPh sb="5" eb="6">
      <t>フン</t>
    </rPh>
    <rPh sb="6" eb="8">
      <t>キノウ</t>
    </rPh>
    <rPh sb="9" eb="11">
      <t>ウム</t>
    </rPh>
    <phoneticPr fontId="8"/>
  </si>
  <si>
    <t>あり</t>
    <phoneticPr fontId="8"/>
  </si>
  <si>
    <t>なし</t>
    <phoneticPr fontId="8"/>
  </si>
  <si>
    <t>-</t>
    <phoneticPr fontId="8"/>
  </si>
  <si>
    <t>追焚機能</t>
    <rPh sb="0" eb="1">
      <t>オ</t>
    </rPh>
    <rPh sb="1" eb="2">
      <t>ダ</t>
    </rPh>
    <rPh sb="2" eb="4">
      <t>キノウ</t>
    </rPh>
    <phoneticPr fontId="8"/>
  </si>
  <si>
    <t>※住・ア、LGSのみ設定あり、その他の基準は、1個いくらのため、そのまま転用</t>
    <rPh sb="1" eb="2">
      <t>ジュウ</t>
    </rPh>
    <rPh sb="10" eb="12">
      <t>セッテイ</t>
    </rPh>
    <rPh sb="17" eb="18">
      <t>タ</t>
    </rPh>
    <rPh sb="19" eb="21">
      <t>キジュン</t>
    </rPh>
    <rPh sb="24" eb="25">
      <t>コ</t>
    </rPh>
    <rPh sb="36" eb="38">
      <t>テンヨウ</t>
    </rPh>
    <phoneticPr fontId="8"/>
  </si>
  <si>
    <t>ユニットシャワー・大きさ</t>
    <rPh sb="9" eb="10">
      <t>オオ</t>
    </rPh>
    <phoneticPr fontId="8"/>
  </si>
  <si>
    <t>大きさ
(間口寸法)</t>
    <rPh sb="0" eb="1">
      <t>オオ</t>
    </rPh>
    <rPh sb="5" eb="7">
      <t>マグチ</t>
    </rPh>
    <rPh sb="7" eb="9">
      <t>スンポウ</t>
    </rPh>
    <phoneticPr fontId="8"/>
  </si>
  <si>
    <t>間口寸法</t>
    <rPh sb="0" eb="2">
      <t>マグチ</t>
    </rPh>
    <rPh sb="2" eb="4">
      <t>スンポウ</t>
    </rPh>
    <phoneticPr fontId="8"/>
  </si>
  <si>
    <t>住・ア、LGSの事・店・百のみ設定あり、その他の基準は、1個いくらのため、そのまま転用</t>
    <rPh sb="0" eb="1">
      <t>ジュウ</t>
    </rPh>
    <rPh sb="8" eb="9">
      <t>ジ</t>
    </rPh>
    <rPh sb="10" eb="11">
      <t>テン</t>
    </rPh>
    <rPh sb="12" eb="13">
      <t>ヒャク</t>
    </rPh>
    <rPh sb="15" eb="17">
      <t>セッテイ</t>
    </rPh>
    <rPh sb="22" eb="23">
      <t>タ</t>
    </rPh>
    <rPh sb="24" eb="26">
      <t>キジュン</t>
    </rPh>
    <rPh sb="29" eb="30">
      <t>コ</t>
    </rPh>
    <rPh sb="41" eb="43">
      <t>テンヨウ</t>
    </rPh>
    <phoneticPr fontId="8"/>
  </si>
  <si>
    <t>（住宅のみ使用）</t>
  </si>
  <si>
    <t>（住宅のみ使用）</t>
    <rPh sb="1" eb="3">
      <t>ジュウタク</t>
    </rPh>
    <rPh sb="5" eb="7">
      <t>シヨウ</t>
    </rPh>
    <phoneticPr fontId="8"/>
  </si>
  <si>
    <t>（換気扇・換気口を使用）</t>
    <rPh sb="1" eb="4">
      <t>カンキセン</t>
    </rPh>
    <rPh sb="5" eb="8">
      <t>カンキコウ</t>
    </rPh>
    <rPh sb="9" eb="11">
      <t>シヨウ</t>
    </rPh>
    <phoneticPr fontId="8"/>
  </si>
  <si>
    <t>※LGSの事・店・百（とLGS住・ア、木造）のみ設定あり、その他基準は、1個いくらのため、そのまま転用</t>
    <rPh sb="5" eb="6">
      <t>ジ</t>
    </rPh>
    <rPh sb="7" eb="8">
      <t>テン</t>
    </rPh>
    <rPh sb="9" eb="10">
      <t>ヒャク</t>
    </rPh>
    <rPh sb="15" eb="16">
      <t>ジュウ</t>
    </rPh>
    <rPh sb="19" eb="21">
      <t>モクゾウ</t>
    </rPh>
    <rPh sb="24" eb="26">
      <t>セッテイ</t>
    </rPh>
    <rPh sb="31" eb="32">
      <t>タ</t>
    </rPh>
    <rPh sb="32" eb="34">
      <t>キジュン</t>
    </rPh>
    <rPh sb="37" eb="38">
      <t>コ</t>
    </rPh>
    <rPh sb="49" eb="51">
      <t>テンヨウ</t>
    </rPh>
    <phoneticPr fontId="8"/>
  </si>
  <si>
    <t>一般機械排煙</t>
    <rPh sb="0" eb="2">
      <t>イッパン</t>
    </rPh>
    <rPh sb="2" eb="4">
      <t>キカイ</t>
    </rPh>
    <rPh sb="4" eb="6">
      <t>ハイエン</t>
    </rPh>
    <phoneticPr fontId="8"/>
  </si>
  <si>
    <t>(排煙口数)</t>
    <rPh sb="1" eb="3">
      <t>ハイエン</t>
    </rPh>
    <rPh sb="3" eb="5">
      <t>クチカズ</t>
    </rPh>
    <phoneticPr fontId="8"/>
  </si>
  <si>
    <t>※基準上は補正なし。</t>
    <rPh sb="1" eb="3">
      <t>キジュン</t>
    </rPh>
    <rPh sb="3" eb="4">
      <t>ジョウ</t>
    </rPh>
    <rPh sb="5" eb="7">
      <t>ホセイ</t>
    </rPh>
    <phoneticPr fontId="8"/>
  </si>
  <si>
    <t>※工・倉・市のみ設定。他基準の場合で一部に倉庫的部分がある場合は、１台いくらなので、工倉市転用</t>
    <rPh sb="1" eb="2">
      <t>コウ</t>
    </rPh>
    <rPh sb="3" eb="4">
      <t>クラ</t>
    </rPh>
    <rPh sb="5" eb="6">
      <t>イチ</t>
    </rPh>
    <rPh sb="8" eb="10">
      <t>セッテイ</t>
    </rPh>
    <rPh sb="11" eb="12">
      <t>ホカ</t>
    </rPh>
    <rPh sb="12" eb="14">
      <t>キジュン</t>
    </rPh>
    <rPh sb="15" eb="17">
      <t>バアイ</t>
    </rPh>
    <rPh sb="18" eb="20">
      <t>イチブ</t>
    </rPh>
    <rPh sb="21" eb="23">
      <t>ソウコ</t>
    </rPh>
    <rPh sb="23" eb="24">
      <t>テキ</t>
    </rPh>
    <rPh sb="24" eb="26">
      <t>ブブン</t>
    </rPh>
    <rPh sb="29" eb="31">
      <t>バアイ</t>
    </rPh>
    <rPh sb="34" eb="35">
      <t>ダイ</t>
    </rPh>
    <rPh sb="42" eb="43">
      <t>コウ</t>
    </rPh>
    <rPh sb="43" eb="44">
      <t>クラ</t>
    </rPh>
    <rPh sb="44" eb="45">
      <t>イチ</t>
    </rPh>
    <rPh sb="45" eb="47">
      <t>テンヨウ</t>
    </rPh>
    <phoneticPr fontId="8"/>
  </si>
  <si>
    <t>※２７基準から計算単位変更（延床面積→対象床面積）ので注意</t>
    <rPh sb="3" eb="5">
      <t>キジュン</t>
    </rPh>
    <rPh sb="7" eb="9">
      <t>ケイサン</t>
    </rPh>
    <rPh sb="9" eb="11">
      <t>タンイ</t>
    </rPh>
    <rPh sb="11" eb="13">
      <t>ヘンコウ</t>
    </rPh>
    <rPh sb="14" eb="16">
      <t>ノベユカ</t>
    </rPh>
    <rPh sb="16" eb="18">
      <t>メンセキ</t>
    </rPh>
    <rPh sb="19" eb="21">
      <t>タイショウ</t>
    </rPh>
    <rPh sb="21" eb="22">
      <t>ユカ</t>
    </rPh>
    <rPh sb="22" eb="24">
      <t>メンセキ</t>
    </rPh>
    <rPh sb="27" eb="29">
      <t>チュウイ</t>
    </rPh>
    <phoneticPr fontId="8"/>
  </si>
  <si>
    <t>増点補正率・上限</t>
    <rPh sb="0" eb="1">
      <t>ゾウ</t>
    </rPh>
    <rPh sb="1" eb="2">
      <t>テン</t>
    </rPh>
    <rPh sb="2" eb="4">
      <t>ホセイ</t>
    </rPh>
    <rPh sb="4" eb="5">
      <t>リツ</t>
    </rPh>
    <rPh sb="6" eb="8">
      <t>ジョウゲン</t>
    </rPh>
    <phoneticPr fontId="8"/>
  </si>
  <si>
    <t>火災報知</t>
    <rPh sb="0" eb="2">
      <t>カサイ</t>
    </rPh>
    <rPh sb="2" eb="4">
      <t>ホウチ</t>
    </rPh>
    <phoneticPr fontId="19"/>
  </si>
  <si>
    <t>網戸 合樹網</t>
    <phoneticPr fontId="8"/>
  </si>
  <si>
    <t>網戸 ｽﾃﾝﾚｽ網</t>
    <phoneticPr fontId="8"/>
  </si>
  <si>
    <t>※明細表の入力の都合上</t>
    <rPh sb="1" eb="4">
      <t>メイサイヒョウ</t>
    </rPh>
    <rPh sb="5" eb="7">
      <t>ニュウリョク</t>
    </rPh>
    <rPh sb="8" eb="11">
      <t>ツゴウジョウ</t>
    </rPh>
    <phoneticPr fontId="8"/>
  </si>
  <si>
    <t>（全）サッシ全面に網戸があるもの</t>
    <rPh sb="1" eb="2">
      <t>ゼン</t>
    </rPh>
    <rPh sb="6" eb="8">
      <t>ゼンメン</t>
    </rPh>
    <rPh sb="9" eb="11">
      <t>アミド</t>
    </rPh>
    <phoneticPr fontId="8"/>
  </si>
  <si>
    <t>（片）サッシの半分に網戸がある（両引の窓）もの</t>
    <rPh sb="1" eb="2">
      <t>カタ</t>
    </rPh>
    <rPh sb="7" eb="9">
      <t>ハンブン</t>
    </rPh>
    <rPh sb="10" eb="12">
      <t>アミド</t>
    </rPh>
    <rPh sb="16" eb="17">
      <t>リョウ</t>
    </rPh>
    <rPh sb="17" eb="18">
      <t>ヒ</t>
    </rPh>
    <rPh sb="19" eb="20">
      <t>マド</t>
    </rPh>
    <phoneticPr fontId="8"/>
  </si>
  <si>
    <t>合樹網(全)</t>
    <rPh sb="0" eb="2">
      <t>ゴウジュ</t>
    </rPh>
    <rPh sb="2" eb="3">
      <t>アミ</t>
    </rPh>
    <phoneticPr fontId="8"/>
  </si>
  <si>
    <t>合樹網(片)</t>
    <rPh sb="0" eb="2">
      <t>ゴウジュ</t>
    </rPh>
    <rPh sb="2" eb="3">
      <t>アミ</t>
    </rPh>
    <phoneticPr fontId="8"/>
  </si>
  <si>
    <t>ｽﾃﾝﾚｽ網(全)</t>
    <rPh sb="5" eb="6">
      <t>アミ</t>
    </rPh>
    <phoneticPr fontId="8"/>
  </si>
  <si>
    <t>ｽﾃﾝﾚｽ網(片)</t>
    <rPh sb="5" eb="6">
      <t>アミ</t>
    </rPh>
    <phoneticPr fontId="8"/>
  </si>
  <si>
    <t>-</t>
    <phoneticPr fontId="8"/>
  </si>
  <si>
    <r>
      <t>規模（m</t>
    </r>
    <r>
      <rPr>
        <vertAlign val="superscript"/>
        <sz val="9"/>
        <rFont val="ＭＳ Ｐゴシック"/>
        <family val="3"/>
        <charset val="128"/>
      </rPr>
      <t>3</t>
    </r>
    <r>
      <rPr>
        <sz val="9"/>
        <rFont val="ＭＳ Ｐゴシック"/>
        <family val="3"/>
        <charset val="128"/>
      </rPr>
      <t>）</t>
    </r>
    <rPh sb="0" eb="2">
      <t>キボ</t>
    </rPh>
    <phoneticPr fontId="8"/>
  </si>
  <si>
    <r>
      <t>m</t>
    </r>
    <r>
      <rPr>
        <vertAlign val="superscript"/>
        <sz val="9"/>
        <rFont val="ＭＳ Ｐ明朝"/>
        <family val="1"/>
        <charset val="128"/>
      </rPr>
      <t>3</t>
    </r>
    <phoneticPr fontId="8"/>
  </si>
  <si>
    <t>※工・倉・市には設定なし。他基準がすべて同点数で、対象範囲を計算単位としているので、そのまま転用</t>
    <rPh sb="1" eb="2">
      <t>コウ</t>
    </rPh>
    <rPh sb="3" eb="4">
      <t>ソウ</t>
    </rPh>
    <rPh sb="5" eb="6">
      <t>イチ</t>
    </rPh>
    <rPh sb="8" eb="10">
      <t>セッテイ</t>
    </rPh>
    <rPh sb="13" eb="14">
      <t>ホカ</t>
    </rPh>
    <rPh sb="14" eb="16">
      <t>キジュン</t>
    </rPh>
    <rPh sb="20" eb="21">
      <t>ドウ</t>
    </rPh>
    <rPh sb="21" eb="23">
      <t>テンスウ</t>
    </rPh>
    <rPh sb="25" eb="27">
      <t>タイショウ</t>
    </rPh>
    <rPh sb="27" eb="29">
      <t>ハンイ</t>
    </rPh>
    <rPh sb="30" eb="32">
      <t>ケイサン</t>
    </rPh>
    <rPh sb="32" eb="34">
      <t>タンイ</t>
    </rPh>
    <rPh sb="46" eb="48">
      <t>テンヨウ</t>
    </rPh>
    <phoneticPr fontId="8"/>
  </si>
  <si>
    <t>水道直結型スプリンクラー</t>
    <rPh sb="0" eb="2">
      <t>スイドウ</t>
    </rPh>
    <rPh sb="2" eb="5">
      <t>チョッケツガタ</t>
    </rPh>
    <phoneticPr fontId="8"/>
  </si>
  <si>
    <t>［水道直結スプリンクラー］</t>
    <rPh sb="1" eb="3">
      <t>スイドウ</t>
    </rPh>
    <rPh sb="3" eb="5">
      <t>チョッケツ</t>
    </rPh>
    <phoneticPr fontId="8"/>
  </si>
  <si>
    <t>水道直結型ｽﾌﾟﾘﾝｸﾗｰ</t>
    <rPh sb="0" eb="5">
      <t>スイドウチョッケツガタ</t>
    </rPh>
    <phoneticPr fontId="8"/>
  </si>
  <si>
    <t>二重投入防止</t>
    <rPh sb="0" eb="1">
      <t>ニ</t>
    </rPh>
    <rPh sb="1" eb="2">
      <t>ジュウ</t>
    </rPh>
    <rPh sb="2" eb="4">
      <t>トウニュウ</t>
    </rPh>
    <rPh sb="4" eb="6">
      <t>ボウシ</t>
    </rPh>
    <phoneticPr fontId="8"/>
  </si>
  <si>
    <t>-</t>
    <phoneticPr fontId="8"/>
  </si>
  <si>
    <t>胴縁計</t>
    <rPh sb="0" eb="1">
      <t>ドウ</t>
    </rPh>
    <rPh sb="1" eb="2">
      <t>フチ</t>
    </rPh>
    <rPh sb="2" eb="3">
      <t>ケイ</t>
    </rPh>
    <phoneticPr fontId="8"/>
  </si>
  <si>
    <t>標準量</t>
    <rPh sb="0" eb="2">
      <t>ヒョウジュン</t>
    </rPh>
    <rPh sb="2" eb="3">
      <t>リョウ</t>
    </rPh>
    <phoneticPr fontId="8"/>
  </si>
  <si>
    <t>外部仕上</t>
    <rPh sb="0" eb="2">
      <t>ガイブ</t>
    </rPh>
    <rPh sb="2" eb="4">
      <t>シアゲ</t>
    </rPh>
    <phoneticPr fontId="8"/>
  </si>
  <si>
    <t>内部仕上</t>
    <rPh sb="0" eb="1">
      <t>ナイ</t>
    </rPh>
    <rPh sb="1" eb="2">
      <t>ブ</t>
    </rPh>
    <rPh sb="2" eb="4">
      <t>シア</t>
    </rPh>
    <phoneticPr fontId="8"/>
  </si>
  <si>
    <t>胴縁控除不要</t>
  </si>
  <si>
    <t>[標準量]</t>
    <rPh sb="1" eb="3">
      <t>ヒョウジュン</t>
    </rPh>
    <rPh sb="3" eb="4">
      <t>リョウ</t>
    </rPh>
    <phoneticPr fontId="8"/>
  </si>
  <si>
    <t>鉄筋コンクリート基礎
(根伐工事を含む）</t>
    <rPh sb="0" eb="2">
      <t>テッキン</t>
    </rPh>
    <rPh sb="8" eb="10">
      <t>キソ</t>
    </rPh>
    <rPh sb="12" eb="14">
      <t>ネギ</t>
    </rPh>
    <rPh sb="14" eb="16">
      <t>コウジ</t>
    </rPh>
    <rPh sb="17" eb="18">
      <t>フク</t>
    </rPh>
    <phoneticPr fontId="8"/>
  </si>
  <si>
    <t>ｺﾝｸﾘｰﾄ土間がある場合は、床構造を別途評点付設</t>
    <rPh sb="6" eb="8">
      <t>ドマ</t>
    </rPh>
    <rPh sb="11" eb="13">
      <t>バアイ</t>
    </rPh>
    <rPh sb="15" eb="16">
      <t>ユカ</t>
    </rPh>
    <rPh sb="16" eb="18">
      <t>コウゾウ</t>
    </rPh>
    <rPh sb="19" eb="21">
      <t>ベット</t>
    </rPh>
    <rPh sb="21" eb="23">
      <t>ヒョウテン</t>
    </rPh>
    <rPh sb="23" eb="25">
      <t>フセツ</t>
    </rPh>
    <phoneticPr fontId="22"/>
  </si>
  <si>
    <t>単位当たり
標準評点数</t>
    <phoneticPr fontId="8"/>
  </si>
  <si>
    <t>※事・店・百、病・ホのみ設定あり。設備数での評価のためそのまま転用</t>
    <rPh sb="1" eb="2">
      <t>ジ</t>
    </rPh>
    <rPh sb="3" eb="4">
      <t>テン</t>
    </rPh>
    <rPh sb="5" eb="6">
      <t>ヒャク</t>
    </rPh>
    <rPh sb="7" eb="8">
      <t>ビョウ</t>
    </rPh>
    <rPh sb="12" eb="14">
      <t>セッテイ</t>
    </rPh>
    <rPh sb="17" eb="19">
      <t>セツビ</t>
    </rPh>
    <rPh sb="19" eb="20">
      <t>スウ</t>
    </rPh>
    <rPh sb="22" eb="24">
      <t>ヒョウカ</t>
    </rPh>
    <rPh sb="31" eb="33">
      <t>テンヨウ</t>
    </rPh>
    <phoneticPr fontId="8"/>
  </si>
  <si>
    <t>※劇場、工・倉・市には設定なし。1基当たりのため、そのまま転用</t>
    <rPh sb="1" eb="3">
      <t>ゲキジョウ</t>
    </rPh>
    <rPh sb="4" eb="5">
      <t>コウ</t>
    </rPh>
    <rPh sb="6" eb="7">
      <t>ソウ</t>
    </rPh>
    <rPh sb="8" eb="9">
      <t>イチ</t>
    </rPh>
    <rPh sb="11" eb="13">
      <t>セッテイ</t>
    </rPh>
    <rPh sb="17" eb="18">
      <t>キ</t>
    </rPh>
    <rPh sb="18" eb="19">
      <t>ア</t>
    </rPh>
    <rPh sb="29" eb="31">
      <t>テンヨウ</t>
    </rPh>
    <phoneticPr fontId="8"/>
  </si>
  <si>
    <t>-</t>
    <phoneticPr fontId="8"/>
  </si>
  <si>
    <t>※病・ホのみ設定あり、その他の基準は、1個いくらのため、そのまま転用</t>
    <rPh sb="1" eb="2">
      <t>ビョウ</t>
    </rPh>
    <rPh sb="6" eb="8">
      <t>セッテイ</t>
    </rPh>
    <rPh sb="13" eb="14">
      <t>タ</t>
    </rPh>
    <rPh sb="15" eb="17">
      <t>キジュン</t>
    </rPh>
    <rPh sb="20" eb="21">
      <t>コ</t>
    </rPh>
    <rPh sb="32" eb="34">
      <t>テンヨウ</t>
    </rPh>
    <phoneticPr fontId="8"/>
  </si>
  <si>
    <t>※事・点・百のみ設定あり、その他の基準は、1個いくらのため、そのまま転用</t>
    <rPh sb="1" eb="2">
      <t>ジ</t>
    </rPh>
    <rPh sb="3" eb="4">
      <t>テン</t>
    </rPh>
    <rPh sb="5" eb="6">
      <t>ヒャク</t>
    </rPh>
    <rPh sb="8" eb="10">
      <t>セッテイ</t>
    </rPh>
    <rPh sb="15" eb="16">
      <t>タ</t>
    </rPh>
    <rPh sb="17" eb="19">
      <t>キジュン</t>
    </rPh>
    <rPh sb="22" eb="23">
      <t>コ</t>
    </rPh>
    <rPh sb="34" eb="36">
      <t>テンヨウ</t>
    </rPh>
    <phoneticPr fontId="8"/>
  </si>
  <si>
    <t>※事・点・百、病・ホのみ設定あり、その他の基準は、1個いくらのため、そのまま転用</t>
    <rPh sb="1" eb="2">
      <t>ジ</t>
    </rPh>
    <rPh sb="3" eb="4">
      <t>テン</t>
    </rPh>
    <rPh sb="5" eb="6">
      <t>ヒャク</t>
    </rPh>
    <rPh sb="7" eb="8">
      <t>ビョウ</t>
    </rPh>
    <rPh sb="12" eb="14">
      <t>セッテイ</t>
    </rPh>
    <rPh sb="19" eb="20">
      <t>タ</t>
    </rPh>
    <rPh sb="21" eb="23">
      <t>キジュン</t>
    </rPh>
    <rPh sb="26" eb="27">
      <t>コ</t>
    </rPh>
    <rPh sb="38" eb="40">
      <t>テンヨウ</t>
    </rPh>
    <phoneticPr fontId="8"/>
  </si>
  <si>
    <t>Ｓ600型</t>
    <rPh sb="4" eb="5">
      <t>ガタ</t>
    </rPh>
    <phoneticPr fontId="8"/>
  </si>
  <si>
    <t>Ｓ1000型</t>
    <rPh sb="5" eb="6">
      <t>ガタ</t>
    </rPh>
    <phoneticPr fontId="8"/>
  </si>
  <si>
    <t>Ｓ６００型</t>
    <rPh sb="4" eb="5">
      <t>ガタ</t>
    </rPh>
    <phoneticPr fontId="8"/>
  </si>
  <si>
    <t>Ｓ１０００型</t>
    <rPh sb="5" eb="6">
      <t>ガタ</t>
    </rPh>
    <phoneticPr fontId="8"/>
  </si>
  <si>
    <t>［Ｓ６００型］</t>
    <rPh sb="5" eb="6">
      <t>ガタ</t>
    </rPh>
    <phoneticPr fontId="8"/>
  </si>
  <si>
    <t>［Ｓ１０００型］</t>
    <rPh sb="6" eb="7">
      <t>ガタ</t>
    </rPh>
    <phoneticPr fontId="8"/>
  </si>
  <si>
    <t>エスカレーター・Ｓ６００型・仕上げ仕様</t>
    <rPh sb="12" eb="13">
      <t>ガタ</t>
    </rPh>
    <rPh sb="14" eb="16">
      <t>シア</t>
    </rPh>
    <rPh sb="17" eb="19">
      <t>シヨウ</t>
    </rPh>
    <phoneticPr fontId="8"/>
  </si>
  <si>
    <t>エスカレーター・Ｓ６００型・階高</t>
    <rPh sb="12" eb="13">
      <t>ガタ</t>
    </rPh>
    <rPh sb="14" eb="16">
      <t>カイダカ</t>
    </rPh>
    <phoneticPr fontId="8"/>
  </si>
  <si>
    <t>エスカレーター・Ｓ１０００型・仕上げ仕様</t>
    <rPh sb="13" eb="14">
      <t>ガタ</t>
    </rPh>
    <rPh sb="15" eb="17">
      <t>シア</t>
    </rPh>
    <rPh sb="18" eb="20">
      <t>シヨウ</t>
    </rPh>
    <phoneticPr fontId="8"/>
  </si>
  <si>
    <t>エスカレーター・Ｓ１０００型・階高</t>
    <rPh sb="13" eb="14">
      <t>ガタ</t>
    </rPh>
    <rPh sb="15" eb="17">
      <t>カイダカ</t>
    </rPh>
    <phoneticPr fontId="8"/>
  </si>
  <si>
    <t>200kg：３人乗り程度</t>
    <rPh sb="7" eb="8">
      <t>ニン</t>
    </rPh>
    <rPh sb="8" eb="9">
      <t>ノ</t>
    </rPh>
    <rPh sb="10" eb="12">
      <t>テイド</t>
    </rPh>
    <phoneticPr fontId="8"/>
  </si>
  <si>
    <t>150kg：２人乗り程度</t>
    <rPh sb="7" eb="8">
      <t>ニン</t>
    </rPh>
    <rPh sb="8" eb="9">
      <t>ノ</t>
    </rPh>
    <rPh sb="10" eb="12">
      <t>テイド</t>
    </rPh>
    <phoneticPr fontId="8"/>
  </si>
  <si>
    <t>(延長ｍ)</t>
    <rPh sb="1" eb="2">
      <t>ノベ</t>
    </rPh>
    <rPh sb="2" eb="3">
      <t>ナガ</t>
    </rPh>
    <phoneticPr fontId="8"/>
  </si>
  <si>
    <t>CB</t>
    <phoneticPr fontId="8"/>
  </si>
  <si>
    <t>SRC
・鉄骨</t>
    <rPh sb="5" eb="7">
      <t>テッコツ</t>
    </rPh>
    <phoneticPr fontId="8"/>
  </si>
  <si>
    <t>SRC
・鉄筋</t>
    <rPh sb="5" eb="7">
      <t>テッキン</t>
    </rPh>
    <phoneticPr fontId="8"/>
  </si>
  <si>
    <t>SRC
・コンクリ</t>
    <phoneticPr fontId="8"/>
  </si>
  <si>
    <t>RC
・鉄筋</t>
    <rPh sb="4" eb="6">
      <t>テッキン</t>
    </rPh>
    <phoneticPr fontId="8"/>
  </si>
  <si>
    <t>RC
・コンクリ</t>
    <phoneticPr fontId="8"/>
  </si>
  <si>
    <t>S
・鉄骨</t>
    <rPh sb="3" eb="5">
      <t>テッコツ</t>
    </rPh>
    <phoneticPr fontId="8"/>
  </si>
  <si>
    <t>屋根構造
・勾配</t>
    <rPh sb="0" eb="2">
      <t>ヤネ</t>
    </rPh>
    <rPh sb="2" eb="4">
      <t>コウゾウ</t>
    </rPh>
    <rPh sb="6" eb="8">
      <t>コウバイ</t>
    </rPh>
    <phoneticPr fontId="8"/>
  </si>
  <si>
    <t>外周壁
骨組</t>
    <rPh sb="0" eb="2">
      <t>ガイシュウ</t>
    </rPh>
    <rPh sb="2" eb="3">
      <t>ヘキ</t>
    </rPh>
    <rPh sb="4" eb="6">
      <t>ホネグ</t>
    </rPh>
    <phoneticPr fontId="8"/>
  </si>
  <si>
    <t>間仕切
骨組</t>
    <rPh sb="0" eb="3">
      <t>マジキ</t>
    </rPh>
    <rPh sb="4" eb="6">
      <t>ホネグ</t>
    </rPh>
    <phoneticPr fontId="8"/>
  </si>
  <si>
    <t>屋根仕上
・勾配屋根</t>
    <rPh sb="0" eb="2">
      <t>ヤネ</t>
    </rPh>
    <rPh sb="2" eb="4">
      <t>シアゲ</t>
    </rPh>
    <rPh sb="6" eb="8">
      <t>コウバイ</t>
    </rPh>
    <rPh sb="8" eb="10">
      <t>ヤネ</t>
    </rPh>
    <phoneticPr fontId="8"/>
  </si>
  <si>
    <t>給湯管・程度</t>
    <rPh sb="0" eb="2">
      <t>キュウトウ</t>
    </rPh>
    <rPh sb="2" eb="3">
      <t>クダ</t>
    </rPh>
    <rPh sb="4" eb="6">
      <t>テイド</t>
    </rPh>
    <phoneticPr fontId="8"/>
  </si>
  <si>
    <t>良い</t>
    <rPh sb="0" eb="1">
      <t>ヨ</t>
    </rPh>
    <phoneticPr fontId="8"/>
  </si>
  <si>
    <t>普通</t>
    <phoneticPr fontId="8"/>
  </si>
  <si>
    <t>給湯管</t>
    <rPh sb="0" eb="2">
      <t>キュウトウ</t>
    </rPh>
    <rPh sb="2" eb="3">
      <t>カン</t>
    </rPh>
    <phoneticPr fontId="8"/>
  </si>
  <si>
    <t>給湯管</t>
    <rPh sb="0" eb="2">
      <t>キュウトウ</t>
    </rPh>
    <rPh sb="2" eb="3">
      <t>カン</t>
    </rPh>
    <phoneticPr fontId="8"/>
  </si>
  <si>
    <t>［給湯管］</t>
    <rPh sb="1" eb="3">
      <t>キュウトウ</t>
    </rPh>
    <rPh sb="3" eb="4">
      <t>カン</t>
    </rPh>
    <phoneticPr fontId="8"/>
  </si>
  <si>
    <t>※給湯器のみの評点のため、配管は下の「給湯管」で評価</t>
    <rPh sb="1" eb="4">
      <t>キュウトウキ</t>
    </rPh>
    <rPh sb="7" eb="9">
      <t>ヒョウテン</t>
    </rPh>
    <rPh sb="13" eb="15">
      <t>ハイカン</t>
    </rPh>
    <rPh sb="16" eb="17">
      <t>シタ</t>
    </rPh>
    <rPh sb="19" eb="21">
      <t>キュウトウ</t>
    </rPh>
    <rPh sb="21" eb="22">
      <t>クダ</t>
    </rPh>
    <rPh sb="24" eb="26">
      <t>ヒョウカ</t>
    </rPh>
    <phoneticPr fontId="8"/>
  </si>
  <si>
    <t>追焚機能</t>
    <rPh sb="2" eb="4">
      <t>キノウ</t>
    </rPh>
    <phoneticPr fontId="19"/>
  </si>
  <si>
    <t>箇所/100㎡</t>
    <rPh sb="0" eb="2">
      <t>カショ</t>
    </rPh>
    <phoneticPr fontId="8"/>
  </si>
  <si>
    <t>100㎡当り</t>
    <rPh sb="4" eb="5">
      <t>ア</t>
    </rPh>
    <phoneticPr fontId="8"/>
  </si>
  <si>
    <t>能力換算</t>
    <rPh sb="0" eb="2">
      <t>ノウリョク</t>
    </rPh>
    <rPh sb="2" eb="4">
      <t>カンサン</t>
    </rPh>
    <phoneticPr fontId="8"/>
  </si>
  <si>
    <t>号数</t>
    <rPh sb="0" eb="2">
      <t>ゴウスウ</t>
    </rPh>
    <phoneticPr fontId="8"/>
  </si>
  <si>
    <t>Kcal/時</t>
    <rPh sb="5" eb="6">
      <t>ジ</t>
    </rPh>
    <phoneticPr fontId="8"/>
  </si>
  <si>
    <t>ｋW</t>
    <phoneticPr fontId="8"/>
  </si>
  <si>
    <t>換算値</t>
    <rPh sb="0" eb="2">
      <t>カンサン</t>
    </rPh>
    <rPh sb="2" eb="3">
      <t>チ</t>
    </rPh>
    <phoneticPr fontId="8"/>
  </si>
  <si>
    <t>給湯器</t>
    <rPh sb="0" eb="3">
      <t>キュウトウキ</t>
    </rPh>
    <phoneticPr fontId="19"/>
  </si>
  <si>
    <t>kW/100㎡</t>
    <phoneticPr fontId="8"/>
  </si>
  <si>
    <t>(ｋW)</t>
    <phoneticPr fontId="8"/>
  </si>
  <si>
    <t>※ボイラ・タンク等及び配管・使用口込</t>
    <rPh sb="8" eb="9">
      <t>トウ</t>
    </rPh>
    <rPh sb="9" eb="10">
      <t>オヨ</t>
    </rPh>
    <rPh sb="11" eb="13">
      <t>ハイカン</t>
    </rPh>
    <rPh sb="14" eb="16">
      <t>シヨウ</t>
    </rPh>
    <rPh sb="16" eb="17">
      <t>クチ</t>
    </rPh>
    <rPh sb="17" eb="18">
      <t>コミ</t>
    </rPh>
    <phoneticPr fontId="8"/>
  </si>
  <si>
    <t>浴室換気
乾燥機</t>
    <rPh sb="0" eb="2">
      <t>ヨクシツ</t>
    </rPh>
    <rPh sb="2" eb="4">
      <t>カンキ</t>
    </rPh>
    <rPh sb="5" eb="8">
      <t>カンソウキ</t>
    </rPh>
    <phoneticPr fontId="8"/>
  </si>
  <si>
    <t>システム
キッチン</t>
    <phoneticPr fontId="8"/>
  </si>
  <si>
    <t>ミ　　ニ
システム
キッチン</t>
    <phoneticPr fontId="8"/>
  </si>
  <si>
    <t>※３局協議により、壁掛式給湯器でも、バス用の給湯器であれば評点付設する。
　 （台所の流しに設置してあるような瞬間湯沸器は評価対象としない。）</t>
    <phoneticPr fontId="8"/>
  </si>
  <si>
    <t>※上：ウィルトンカーペット相当</t>
    <rPh sb="1" eb="2">
      <t>ジョウ</t>
    </rPh>
    <rPh sb="13" eb="15">
      <t>ソウトウ</t>
    </rPh>
    <phoneticPr fontId="22"/>
  </si>
  <si>
    <t>※並：タイルカーペット相当</t>
    <rPh sb="1" eb="2">
      <t>ナミ</t>
    </rPh>
    <rPh sb="11" eb="13">
      <t>ソウトウ</t>
    </rPh>
    <phoneticPr fontId="22"/>
  </si>
  <si>
    <t>※上：二時間耐火程度</t>
    <rPh sb="1" eb="2">
      <t>ジョウ</t>
    </rPh>
    <rPh sb="3" eb="6">
      <t>ニジカン</t>
    </rPh>
    <rPh sb="6" eb="8">
      <t>タイカ</t>
    </rPh>
    <rPh sb="8" eb="10">
      <t>テイド</t>
    </rPh>
    <phoneticPr fontId="22"/>
  </si>
  <si>
    <t>※並：一時間耐火程度</t>
    <rPh sb="1" eb="2">
      <t>ナミ</t>
    </rPh>
    <rPh sb="3" eb="6">
      <t>イチジカン</t>
    </rPh>
    <rPh sb="6" eb="8">
      <t>タイカ</t>
    </rPh>
    <rPh sb="8" eb="10">
      <t>テイド</t>
    </rPh>
    <phoneticPr fontId="22"/>
  </si>
  <si>
    <t>※評点項目名称の頭にある記号の意味は、「◆＝設定済の項目のため、点数チェック不要」、「◇＝自由作成のため点数チェック必要」です。</t>
    <rPh sb="1" eb="3">
      <t>ヒョウテン</t>
    </rPh>
    <rPh sb="3" eb="5">
      <t>コウモク</t>
    </rPh>
    <rPh sb="5" eb="7">
      <t>メイショウ</t>
    </rPh>
    <rPh sb="8" eb="9">
      <t>アタマ</t>
    </rPh>
    <rPh sb="12" eb="14">
      <t>キゴウ</t>
    </rPh>
    <rPh sb="15" eb="17">
      <t>イミ</t>
    </rPh>
    <rPh sb="22" eb="24">
      <t>セッテイ</t>
    </rPh>
    <rPh sb="24" eb="25">
      <t>スミ</t>
    </rPh>
    <rPh sb="26" eb="28">
      <t>コウモク</t>
    </rPh>
    <rPh sb="32" eb="34">
      <t>テンスウ</t>
    </rPh>
    <rPh sb="38" eb="40">
      <t>フヨウ</t>
    </rPh>
    <rPh sb="45" eb="47">
      <t>ジユウ</t>
    </rPh>
    <rPh sb="47" eb="49">
      <t>サクセイ</t>
    </rPh>
    <rPh sb="52" eb="54">
      <t>テンスウ</t>
    </rPh>
    <rPh sb="58" eb="60">
      <t>ヒツヨウ</t>
    </rPh>
    <phoneticPr fontId="11"/>
  </si>
  <si>
    <t>　他部分からの転用・合成・比例計算等により評点項目を追加する場合は、「◇」の行へ記載してください。</t>
    <rPh sb="1" eb="2">
      <t>ホカ</t>
    </rPh>
    <rPh sb="2" eb="4">
      <t>ブブン</t>
    </rPh>
    <phoneticPr fontId="22"/>
  </si>
  <si>
    <t>※同じ部分別（例：内部仕上）の中で行のコピー＆ペーストをすることは問題ありませんが、別の部分別からはしないでください。面積の集計式が異なります。</t>
    <rPh sb="1" eb="2">
      <t>オナ</t>
    </rPh>
    <rPh sb="3" eb="5">
      <t>ブブン</t>
    </rPh>
    <rPh sb="5" eb="6">
      <t>ベツ</t>
    </rPh>
    <rPh sb="7" eb="8">
      <t>レイ</t>
    </rPh>
    <rPh sb="9" eb="11">
      <t>ナイブ</t>
    </rPh>
    <rPh sb="11" eb="13">
      <t>シア</t>
    </rPh>
    <rPh sb="15" eb="16">
      <t>ナカ</t>
    </rPh>
    <rPh sb="17" eb="18">
      <t>ギョウ</t>
    </rPh>
    <rPh sb="33" eb="35">
      <t>モンダイ</t>
    </rPh>
    <rPh sb="42" eb="43">
      <t>ベツ</t>
    </rPh>
    <rPh sb="44" eb="46">
      <t>ブブン</t>
    </rPh>
    <rPh sb="46" eb="47">
      <t>ベツ</t>
    </rPh>
    <rPh sb="59" eb="61">
      <t>メンセキ</t>
    </rPh>
    <rPh sb="62" eb="64">
      <t>シュウケイ</t>
    </rPh>
    <rPh sb="64" eb="65">
      <t>シキ</t>
    </rPh>
    <rPh sb="66" eb="67">
      <t>コト</t>
    </rPh>
    <phoneticPr fontId="11"/>
  </si>
  <si>
    <t>　転用等で 別の部分別から行をペースト（例：内部→外部）した場合は、ペースト先部分別の面積列（AS列)のセルをコピペすればＯＫです。</t>
    <rPh sb="1" eb="3">
      <t>テンヨウ</t>
    </rPh>
    <rPh sb="3" eb="4">
      <t>トウ</t>
    </rPh>
    <rPh sb="6" eb="7">
      <t>ベツ</t>
    </rPh>
    <rPh sb="8" eb="10">
      <t>ブブン</t>
    </rPh>
    <rPh sb="10" eb="11">
      <t>ベツ</t>
    </rPh>
    <rPh sb="13" eb="14">
      <t>ギョウ</t>
    </rPh>
    <rPh sb="20" eb="21">
      <t>レイ</t>
    </rPh>
    <rPh sb="22" eb="24">
      <t>ナイブ</t>
    </rPh>
    <rPh sb="25" eb="27">
      <t>ガイブ</t>
    </rPh>
    <rPh sb="30" eb="32">
      <t>バアイ</t>
    </rPh>
    <rPh sb="38" eb="39">
      <t>サキ</t>
    </rPh>
    <rPh sb="39" eb="41">
      <t>ブブン</t>
    </rPh>
    <rPh sb="41" eb="42">
      <t>ベツ</t>
    </rPh>
    <rPh sb="43" eb="45">
      <t>メンセキ</t>
    </rPh>
    <rPh sb="45" eb="46">
      <t>レツ</t>
    </rPh>
    <rPh sb="49" eb="50">
      <t>レツ</t>
    </rPh>
    <phoneticPr fontId="8"/>
  </si>
  <si>
    <t>※（RCﾌﾟﾚ）の項目は、プレキャストコンクリート板等で下地不要の面に直接仕上を施工する場合用です。（基準上は「プレハブ方式構造」という記載ですが、軽量鉄骨プレハブは</t>
    <rPh sb="51" eb="53">
      <t>キジュン</t>
    </rPh>
    <rPh sb="53" eb="54">
      <t>ジョウ</t>
    </rPh>
    <rPh sb="60" eb="62">
      <t>ホウシキ</t>
    </rPh>
    <rPh sb="62" eb="64">
      <t>コウゾウ</t>
    </rPh>
    <rPh sb="68" eb="70">
      <t>キサイ</t>
    </rPh>
    <rPh sb="74" eb="76">
      <t>ケイリョウ</t>
    </rPh>
    <rPh sb="76" eb="78">
      <t>テッコツ</t>
    </rPh>
    <phoneticPr fontId="22"/>
  </si>
  <si>
    <t>　基準表が異なりますので、RCプレハブが対象です。また、パネル上に下地組をしたうえで仕上施工がある場合も、（RCﾌﾟﾚ)ではなく通常の仕上を選択してください）</t>
    <rPh sb="20" eb="22">
      <t>タイショウ</t>
    </rPh>
    <rPh sb="31" eb="32">
      <t>ウエ</t>
    </rPh>
    <rPh sb="33" eb="35">
      <t>シタジ</t>
    </rPh>
    <rPh sb="35" eb="36">
      <t>グミ</t>
    </rPh>
    <rPh sb="42" eb="44">
      <t>シア</t>
    </rPh>
    <rPh sb="44" eb="46">
      <t>セコウ</t>
    </rPh>
    <rPh sb="49" eb="51">
      <t>バアイ</t>
    </rPh>
    <rPh sb="64" eb="66">
      <t>ツウジョウ</t>
    </rPh>
    <rPh sb="67" eb="69">
      <t>シア</t>
    </rPh>
    <rPh sb="70" eb="72">
      <t>センタク</t>
    </rPh>
    <phoneticPr fontId="22"/>
  </si>
  <si>
    <t>中央熱源
冷　　房</t>
    <rPh sb="0" eb="2">
      <t>チュウオウ</t>
    </rPh>
    <rPh sb="2" eb="4">
      <t>ネツゲン</t>
    </rPh>
    <rPh sb="5" eb="6">
      <t>ヒヤ</t>
    </rPh>
    <rPh sb="8" eb="9">
      <t>フサ</t>
    </rPh>
    <phoneticPr fontId="8"/>
  </si>
  <si>
    <t>中央熱源
直接暖房</t>
    <rPh sb="0" eb="2">
      <t>チュウオウ</t>
    </rPh>
    <rPh sb="2" eb="4">
      <t>ネツゲン</t>
    </rPh>
    <rPh sb="5" eb="7">
      <t>チョクセツ</t>
    </rPh>
    <rPh sb="7" eb="9">
      <t>ダンボウ</t>
    </rPh>
    <phoneticPr fontId="8"/>
  </si>
  <si>
    <t>※吸排気とも機械換気（天井扇等）のものが1種。吸気が機械式・排気が自然式（換気口）なのが2種、吸気が自然式・排気が機械式なのが3種</t>
    <rPh sb="1" eb="4">
      <t>キュウハイキ</t>
    </rPh>
    <rPh sb="6" eb="8">
      <t>キカイ</t>
    </rPh>
    <rPh sb="8" eb="10">
      <t>カンキ</t>
    </rPh>
    <rPh sb="11" eb="13">
      <t>テンジョウ</t>
    </rPh>
    <rPh sb="13" eb="14">
      <t>オオギ</t>
    </rPh>
    <rPh sb="14" eb="15">
      <t>トウ</t>
    </rPh>
    <rPh sb="21" eb="22">
      <t>シュ</t>
    </rPh>
    <rPh sb="23" eb="25">
      <t>キュウキ</t>
    </rPh>
    <rPh sb="26" eb="28">
      <t>キカイ</t>
    </rPh>
    <rPh sb="28" eb="29">
      <t>シキ</t>
    </rPh>
    <rPh sb="30" eb="32">
      <t>ハイキ</t>
    </rPh>
    <rPh sb="33" eb="35">
      <t>シゼン</t>
    </rPh>
    <rPh sb="35" eb="36">
      <t>シキ</t>
    </rPh>
    <rPh sb="37" eb="40">
      <t>カンキコウ</t>
    </rPh>
    <rPh sb="45" eb="46">
      <t>シュ</t>
    </rPh>
    <rPh sb="47" eb="49">
      <t>キュウキ</t>
    </rPh>
    <rPh sb="50" eb="52">
      <t>シゼン</t>
    </rPh>
    <rPh sb="52" eb="53">
      <t>シキ</t>
    </rPh>
    <rPh sb="54" eb="56">
      <t>ハイキ</t>
    </rPh>
    <rPh sb="57" eb="60">
      <t>キカイシキ</t>
    </rPh>
    <rPh sb="64" eb="65">
      <t>シュ</t>
    </rPh>
    <phoneticPr fontId="8"/>
  </si>
  <si>
    <t>※これは、住宅・アパート以外用の項目です。</t>
    <rPh sb="5" eb="7">
      <t>ジュウタク</t>
    </rPh>
    <rPh sb="12" eb="14">
      <t>イガイ</t>
    </rPh>
    <rPh sb="14" eb="15">
      <t>ヨウ</t>
    </rPh>
    <rPh sb="16" eb="18">
      <t>コウモク</t>
    </rPh>
    <phoneticPr fontId="8"/>
  </si>
  <si>
    <t>大きさは、羽根の直径を入力してください</t>
    <rPh sb="0" eb="1">
      <t>オオ</t>
    </rPh>
    <rPh sb="5" eb="7">
      <t>ハネ</t>
    </rPh>
    <rPh sb="8" eb="10">
      <t>チョッケイ</t>
    </rPh>
    <rPh sb="11" eb="13">
      <t>ニュウリョク</t>
    </rPh>
    <phoneticPr fontId="8"/>
  </si>
  <si>
    <t>※S600型：ステップの幅が600㎜</t>
    <rPh sb="5" eb="6">
      <t>ガタ</t>
    </rPh>
    <rPh sb="12" eb="13">
      <t>ハバ</t>
    </rPh>
    <phoneticPr fontId="8"/>
  </si>
  <si>
    <t>※S1000型：ステップの幅が1000㎜</t>
    <rPh sb="6" eb="7">
      <t>ガタ</t>
    </rPh>
    <rPh sb="13" eb="14">
      <t>ハバ</t>
    </rPh>
    <phoneticPr fontId="8"/>
  </si>
  <si>
    <t>加算点</t>
    <rPh sb="0" eb="2">
      <t>カサン</t>
    </rPh>
    <rPh sb="2" eb="3">
      <t>テン</t>
    </rPh>
    <phoneticPr fontId="8"/>
  </si>
  <si>
    <t>※基準上は設定はないが、解説より加算を設定する</t>
    <rPh sb="1" eb="3">
      <t>キジュン</t>
    </rPh>
    <rPh sb="3" eb="4">
      <t>ジョウ</t>
    </rPh>
    <rPh sb="5" eb="7">
      <t>セッテイ</t>
    </rPh>
    <rPh sb="12" eb="14">
      <t>カイセツ</t>
    </rPh>
    <rPh sb="16" eb="18">
      <t>カサン</t>
    </rPh>
    <rPh sb="19" eb="21">
      <t>セッテイ</t>
    </rPh>
    <phoneticPr fontId="8"/>
  </si>
  <si>
    <t>※非常用仕様加算</t>
    <rPh sb="1" eb="3">
      <t>ヒジョウ</t>
    </rPh>
    <rPh sb="3" eb="4">
      <t>ヨウ</t>
    </rPh>
    <rPh sb="4" eb="6">
      <t>シヨウ</t>
    </rPh>
    <rPh sb="6" eb="8">
      <t>カサン</t>
    </rPh>
    <phoneticPr fontId="8"/>
  </si>
  <si>
    <t>台</t>
    <rPh sb="0" eb="1">
      <t>ダイ</t>
    </rPh>
    <phoneticPr fontId="8"/>
  </si>
  <si>
    <t>（中央式給湯は配管込のため、この項目は評点付設しないこと）</t>
    <rPh sb="1" eb="3">
      <t>チュウオウ</t>
    </rPh>
    <rPh sb="3" eb="4">
      <t>シキ</t>
    </rPh>
    <rPh sb="4" eb="6">
      <t>キュウトウ</t>
    </rPh>
    <rPh sb="7" eb="9">
      <t>ハイカン</t>
    </rPh>
    <rPh sb="8" eb="9">
      <t>カン</t>
    </rPh>
    <rPh sb="9" eb="10">
      <t>コミ</t>
    </rPh>
    <rPh sb="16" eb="18">
      <t>コウモク</t>
    </rPh>
    <rPh sb="19" eb="21">
      <t>ヒョウテン</t>
    </rPh>
    <rPh sb="21" eb="23">
      <t>フセツ</t>
    </rPh>
    <phoneticPr fontId="8"/>
  </si>
  <si>
    <t>-</t>
    <phoneticPr fontId="8"/>
  </si>
  <si>
    <t>(参考）税額計算</t>
    <rPh sb="1" eb="3">
      <t>サンコウ</t>
    </rPh>
    <rPh sb="4" eb="6">
      <t>ゼイガク</t>
    </rPh>
    <rPh sb="6" eb="8">
      <t>ケイサン</t>
    </rPh>
    <phoneticPr fontId="22"/>
  </si>
  <si>
    <t>課税標準額</t>
    <rPh sb="0" eb="2">
      <t>カゼイ</t>
    </rPh>
    <rPh sb="2" eb="4">
      <t>ヒョウジュン</t>
    </rPh>
    <rPh sb="4" eb="5">
      <t>ガク</t>
    </rPh>
    <phoneticPr fontId="22"/>
  </si>
  <si>
    <t>3%分</t>
    <rPh sb="2" eb="3">
      <t>ブン</t>
    </rPh>
    <phoneticPr fontId="22"/>
  </si>
  <si>
    <t>4%分</t>
    <rPh sb="2" eb="3">
      <t>ブン</t>
    </rPh>
    <phoneticPr fontId="22"/>
  </si>
  <si>
    <t>計</t>
    <rPh sb="0" eb="1">
      <t>ケイ</t>
    </rPh>
    <phoneticPr fontId="22"/>
  </si>
  <si>
    <t>評価額</t>
    <rPh sb="0" eb="3">
      <t>ヒョウカガク</t>
    </rPh>
    <phoneticPr fontId="22"/>
  </si>
  <si>
    <t>税額</t>
    <rPh sb="0" eb="2">
      <t>ゼイガク</t>
    </rPh>
    <phoneticPr fontId="22"/>
  </si>
  <si>
    <t>母屋控除不要</t>
  </si>
  <si>
    <t>※</t>
    <phoneticPr fontId="18"/>
  </si>
  <si>
    <t>なし(事・店・百で評価）</t>
  </si>
  <si>
    <t>なし(事・店・百で評価）</t>
    <rPh sb="3" eb="4">
      <t>ジ</t>
    </rPh>
    <rPh sb="5" eb="6">
      <t>ミセ</t>
    </rPh>
    <rPh sb="7" eb="8">
      <t>ヒャク</t>
    </rPh>
    <rPh sb="9" eb="11">
      <t>ヒョウカ</t>
    </rPh>
    <phoneticPr fontId="8"/>
  </si>
  <si>
    <t>2階以下</t>
    <rPh sb="1" eb="2">
      <t>カイ</t>
    </rPh>
    <rPh sb="2" eb="4">
      <t>イカ</t>
    </rPh>
    <phoneticPr fontId="8"/>
  </si>
  <si>
    <t>機械換気</t>
  </si>
  <si>
    <t>自然換気</t>
  </si>
  <si>
    <t>※「水栓」のこと。洗面器、洗面化粧台、洗濯流し、ユニットバス、ハーフユニットバス、ユニットシャワー、流し台（ステンレス張り）、ミニシステムキッチン及びシステムキッチンの使用口は、それぞれの設備に含まれるので、それ以外（例：洗濯機用水栓）の個数を評価する</t>
    <rPh sb="2" eb="3">
      <t>ミズ</t>
    </rPh>
    <rPh sb="3" eb="4">
      <t>セン</t>
    </rPh>
    <rPh sb="115" eb="116">
      <t>ミズ</t>
    </rPh>
    <rPh sb="116" eb="117">
      <t>セン</t>
    </rPh>
    <phoneticPr fontId="19"/>
  </si>
  <si>
    <t>H27基準から照明器具への配線は照明設備に含まれるので、ここには照明の個数は加算しない。</t>
    <phoneticPr fontId="19"/>
  </si>
  <si>
    <t>H24基準までの照明器具と異なり、器具の他、器具への配線を含む</t>
    <rPh sb="3" eb="5">
      <t>キジュン</t>
    </rPh>
    <rPh sb="8" eb="10">
      <t>ショウメイ</t>
    </rPh>
    <rPh sb="10" eb="12">
      <t>キグ</t>
    </rPh>
    <rPh sb="13" eb="14">
      <t>コト</t>
    </rPh>
    <rPh sb="17" eb="19">
      <t>キグ</t>
    </rPh>
    <rPh sb="20" eb="21">
      <t>ホカ</t>
    </rPh>
    <rPh sb="22" eb="24">
      <t>キグ</t>
    </rPh>
    <rPh sb="26" eb="28">
      <t>ハイセン</t>
    </rPh>
    <rPh sb="29" eb="30">
      <t>フク</t>
    </rPh>
    <phoneticPr fontId="19"/>
  </si>
  <si>
    <t>メーターより先の配管・分岐・使用口ごとに1組とする</t>
    <rPh sb="6" eb="7">
      <t>サキ</t>
    </rPh>
    <rPh sb="8" eb="10">
      <t>ハイカン</t>
    </rPh>
    <rPh sb="11" eb="13">
      <t>ブンキ</t>
    </rPh>
    <rPh sb="14" eb="16">
      <t>シヨウ</t>
    </rPh>
    <rPh sb="16" eb="17">
      <t>クチ</t>
    </rPh>
    <rPh sb="21" eb="22">
      <t>クミ</t>
    </rPh>
    <phoneticPr fontId="19"/>
  </si>
  <si>
    <t>湯・水の両方が出る混合栓の場合は、給水・給湯とも各１口とする</t>
    <rPh sb="0" eb="1">
      <t>ユ</t>
    </rPh>
    <rPh sb="2" eb="3">
      <t>ミズ</t>
    </rPh>
    <rPh sb="4" eb="6">
      <t>リョウホウ</t>
    </rPh>
    <rPh sb="7" eb="8">
      <t>デ</t>
    </rPh>
    <rPh sb="9" eb="12">
      <t>コンゴウセン</t>
    </rPh>
    <rPh sb="13" eb="15">
      <t>バアイ</t>
    </rPh>
    <rPh sb="17" eb="19">
      <t>キュウスイ</t>
    </rPh>
    <rPh sb="20" eb="22">
      <t>キュウトウ</t>
    </rPh>
    <rPh sb="24" eb="25">
      <t>カク</t>
    </rPh>
    <rPh sb="26" eb="27">
      <t>クチ</t>
    </rPh>
    <phoneticPr fontId="19"/>
  </si>
  <si>
    <t>下の「使用口」の個数の他、他の設備で評価する使用口も含めた個数とする</t>
    <rPh sb="0" eb="1">
      <t>シタ</t>
    </rPh>
    <rPh sb="3" eb="5">
      <t>シヨウ</t>
    </rPh>
    <rPh sb="5" eb="6">
      <t>クチ</t>
    </rPh>
    <rPh sb="8" eb="10">
      <t>コスウ</t>
    </rPh>
    <rPh sb="11" eb="12">
      <t>ホカ</t>
    </rPh>
    <rPh sb="13" eb="14">
      <t>ホカ</t>
    </rPh>
    <rPh sb="15" eb="17">
      <t>セツビ</t>
    </rPh>
    <rPh sb="18" eb="20">
      <t>ヒョウカ</t>
    </rPh>
    <rPh sb="22" eb="24">
      <t>シヨウ</t>
    </rPh>
    <rPh sb="24" eb="25">
      <t>クチ</t>
    </rPh>
    <rPh sb="26" eb="27">
      <t>フク</t>
    </rPh>
    <rPh sb="29" eb="31">
      <t>コスウ</t>
    </rPh>
    <phoneticPr fontId="19"/>
  </si>
  <si>
    <t>※給湯能力が号数以外で表記されている場合、以下を参考に相当する号数を求めて補正する</t>
    <rPh sb="1" eb="3">
      <t>キュウトウ</t>
    </rPh>
    <rPh sb="3" eb="5">
      <t>ノウリョク</t>
    </rPh>
    <rPh sb="6" eb="8">
      <t>ゴウスウ</t>
    </rPh>
    <rPh sb="8" eb="10">
      <t>イガイ</t>
    </rPh>
    <rPh sb="11" eb="13">
      <t>ヒョウキ</t>
    </rPh>
    <rPh sb="18" eb="20">
      <t>バアイ</t>
    </rPh>
    <rPh sb="21" eb="23">
      <t>イカ</t>
    </rPh>
    <rPh sb="24" eb="26">
      <t>サンコウ</t>
    </rPh>
    <rPh sb="27" eb="29">
      <t>ソウトウ</t>
    </rPh>
    <rPh sb="31" eb="33">
      <t>ゴウスウ</t>
    </rPh>
    <rPh sb="34" eb="35">
      <t>モト</t>
    </rPh>
    <rPh sb="37" eb="39">
      <t>ホセイ</t>
    </rPh>
    <phoneticPr fontId="8"/>
  </si>
  <si>
    <t>※「追焚」は、浴槽内の湯を給湯器に還流して加熱する機能で、 「差し湯」は「追い焚き」には含まない</t>
    <rPh sb="17" eb="19">
      <t>カンリュウ</t>
    </rPh>
    <phoneticPr fontId="19"/>
  </si>
  <si>
    <t>※「追焚」は、浴槽内の湯を給湯器に還流して加熱する機能で、 「差し湯」は「追い焚き」には含まない</t>
    <phoneticPr fontId="8"/>
  </si>
  <si>
    <t>レンジフードファンを含んだ評点数のため、レンジフードファンは別途評点付設しない。</t>
    <rPh sb="10" eb="11">
      <t>フク</t>
    </rPh>
    <rPh sb="13" eb="15">
      <t>ヒョウテン</t>
    </rPh>
    <rPh sb="15" eb="16">
      <t>スウ</t>
    </rPh>
    <rPh sb="30" eb="32">
      <t>ベット</t>
    </rPh>
    <rPh sb="32" eb="34">
      <t>ヒョウテン</t>
    </rPh>
    <rPh sb="34" eb="36">
      <t>フセツ</t>
    </rPh>
    <phoneticPr fontId="19"/>
  </si>
  <si>
    <t>流し台・ミニシステムキッチンに設置されている場合に評点付設する。</t>
    <rPh sb="0" eb="1">
      <t>ナガ</t>
    </rPh>
    <rPh sb="2" eb="3">
      <t>ダイ</t>
    </rPh>
    <rPh sb="15" eb="17">
      <t>セッチ</t>
    </rPh>
    <rPh sb="22" eb="24">
      <t>バアイ</t>
    </rPh>
    <rPh sb="25" eb="27">
      <t>ヒョウテン</t>
    </rPh>
    <rPh sb="27" eb="29">
      <t>フセツ</t>
    </rPh>
    <phoneticPr fontId="19"/>
  </si>
  <si>
    <t>システムキッチンはレンジフードファンを含んだ評点のため、別途評価しない</t>
    <rPh sb="19" eb="20">
      <t>フク</t>
    </rPh>
    <rPh sb="22" eb="24">
      <t>ヒョウテン</t>
    </rPh>
    <rPh sb="28" eb="30">
      <t>ベット</t>
    </rPh>
    <rPh sb="30" eb="32">
      <t>ヒョウカ</t>
    </rPh>
    <phoneticPr fontId="19"/>
  </si>
  <si>
    <t>延床
㎡</t>
    <rPh sb="0" eb="1">
      <t>ノベ</t>
    </rPh>
    <rPh sb="1" eb="2">
      <t>ユカ</t>
    </rPh>
    <phoneticPr fontId="19"/>
  </si>
  <si>
    <t>本空調設備の評点は、換気機器を含んだ評点となっています。重複を避けるため空調設備の対象面積部分は、換気設備の対象面積から除いてください。</t>
    <rPh sb="0" eb="1">
      <t>ホン</t>
    </rPh>
    <rPh sb="1" eb="3">
      <t>クウチョウ</t>
    </rPh>
    <rPh sb="3" eb="5">
      <t>セツビ</t>
    </rPh>
    <rPh sb="6" eb="8">
      <t>ヒョウテン</t>
    </rPh>
    <rPh sb="10" eb="12">
      <t>カンキ</t>
    </rPh>
    <rPh sb="12" eb="14">
      <t>キキ</t>
    </rPh>
    <rPh sb="15" eb="16">
      <t>フク</t>
    </rPh>
    <rPh sb="18" eb="20">
      <t>ヒョウテン</t>
    </rPh>
    <rPh sb="28" eb="30">
      <t>チョウフク</t>
    </rPh>
    <rPh sb="31" eb="32">
      <t>サ</t>
    </rPh>
    <rPh sb="36" eb="38">
      <t>クウチョウ</t>
    </rPh>
    <rPh sb="38" eb="40">
      <t>セツビ</t>
    </rPh>
    <rPh sb="41" eb="43">
      <t>タイショウ</t>
    </rPh>
    <rPh sb="43" eb="45">
      <t>メンセキ</t>
    </rPh>
    <rPh sb="45" eb="47">
      <t>ブブン</t>
    </rPh>
    <rPh sb="49" eb="51">
      <t>カンキ</t>
    </rPh>
    <rPh sb="51" eb="53">
      <t>セツビ</t>
    </rPh>
    <rPh sb="54" eb="56">
      <t>タイショウ</t>
    </rPh>
    <rPh sb="56" eb="58">
      <t>メンセキ</t>
    </rPh>
    <rPh sb="60" eb="61">
      <t>ノゾ</t>
    </rPh>
    <phoneticPr fontId="8"/>
  </si>
  <si>
    <t>総合方式の空調設備と異なり、換気機器は含まれていませんので、換気扇・換気口を別途評点付設します</t>
    <rPh sb="0" eb="2">
      <t>ソウゴウ</t>
    </rPh>
    <rPh sb="2" eb="4">
      <t>ホウシキ</t>
    </rPh>
    <rPh sb="5" eb="7">
      <t>クウチョウ</t>
    </rPh>
    <rPh sb="7" eb="9">
      <t>セツビ</t>
    </rPh>
    <rPh sb="10" eb="11">
      <t>コト</t>
    </rPh>
    <rPh sb="14" eb="16">
      <t>カンキ</t>
    </rPh>
    <rPh sb="16" eb="18">
      <t>キキ</t>
    </rPh>
    <rPh sb="19" eb="20">
      <t>フク</t>
    </rPh>
    <rPh sb="30" eb="33">
      <t>カンキセン</t>
    </rPh>
    <rPh sb="34" eb="37">
      <t>カンキコウ</t>
    </rPh>
    <rPh sb="38" eb="40">
      <t>ベット</t>
    </rPh>
    <rPh sb="40" eb="42">
      <t>ヒョウテン</t>
    </rPh>
    <rPh sb="42" eb="44">
      <t>フセツ</t>
    </rPh>
    <phoneticPr fontId="19"/>
  </si>
  <si>
    <t>ワンルームマンションや、事務所の給湯室等で使われるような、シンクと吊戸棚及び周囲のパネルでユニットになっている程度のものです。レンジフードファン等の換気設備は含みませんので別途評点付設します。</t>
    <rPh sb="72" eb="73">
      <t>トウ</t>
    </rPh>
    <rPh sb="74" eb="76">
      <t>カンキ</t>
    </rPh>
    <rPh sb="76" eb="78">
      <t>セツビ</t>
    </rPh>
    <rPh sb="86" eb="88">
      <t>ベット</t>
    </rPh>
    <rPh sb="88" eb="92">
      <t>ヒョウテンフセツ</t>
    </rPh>
    <phoneticPr fontId="19"/>
  </si>
  <si>
    <t>温水式の場合の熱源（ボイラー・温水器等）は評点に含んでいないので、別途評価します。</t>
    <rPh sb="0" eb="2">
      <t>オンスイ</t>
    </rPh>
    <rPh sb="2" eb="3">
      <t>シキ</t>
    </rPh>
    <rPh sb="4" eb="6">
      <t>バアイ</t>
    </rPh>
    <rPh sb="7" eb="9">
      <t>ネツゲン</t>
    </rPh>
    <rPh sb="15" eb="18">
      <t>オンスイキ</t>
    </rPh>
    <rPh sb="18" eb="19">
      <t>トウ</t>
    </rPh>
    <rPh sb="21" eb="23">
      <t>ヒョウテン</t>
    </rPh>
    <rPh sb="24" eb="25">
      <t>フク</t>
    </rPh>
    <rPh sb="33" eb="35">
      <t>ベット</t>
    </rPh>
    <rPh sb="35" eb="37">
      <t>ヒョウカ</t>
    </rPh>
    <phoneticPr fontId="19"/>
  </si>
  <si>
    <t>対象床面積は、設備設置面積（パネル等の面積）です</t>
    <rPh sb="0" eb="2">
      <t>タイショウ</t>
    </rPh>
    <rPh sb="2" eb="5">
      <t>ユカメンセキ</t>
    </rPh>
    <rPh sb="7" eb="9">
      <t>セツビ</t>
    </rPh>
    <rPh sb="9" eb="11">
      <t>セッチ</t>
    </rPh>
    <rPh sb="11" eb="13">
      <t>メンセキ</t>
    </rPh>
    <rPh sb="17" eb="18">
      <t>トウ</t>
    </rPh>
    <rPh sb="19" eb="21">
      <t>メンセキ</t>
    </rPh>
    <phoneticPr fontId="19"/>
  </si>
  <si>
    <t>天井や床面等に天井扇・換気口を設置し、天井裏・床下に設置したダクトを通して換気を行うものです。</t>
    <rPh sb="0" eb="2">
      <t>テンジョウ</t>
    </rPh>
    <rPh sb="3" eb="5">
      <t>ユカメン</t>
    </rPh>
    <rPh sb="5" eb="6">
      <t>トウ</t>
    </rPh>
    <rPh sb="7" eb="9">
      <t>テンジョウ</t>
    </rPh>
    <rPh sb="9" eb="10">
      <t>セン</t>
    </rPh>
    <rPh sb="11" eb="14">
      <t>カンキコウ</t>
    </rPh>
    <rPh sb="15" eb="17">
      <t>セッチ</t>
    </rPh>
    <rPh sb="19" eb="22">
      <t>テンジョウウラ</t>
    </rPh>
    <rPh sb="23" eb="25">
      <t>ユカシタ</t>
    </rPh>
    <rPh sb="26" eb="28">
      <t>セッチ</t>
    </rPh>
    <rPh sb="34" eb="35">
      <t>トオ</t>
    </rPh>
    <rPh sb="37" eb="39">
      <t>カンキ</t>
    </rPh>
    <rPh sb="40" eb="41">
      <t>オコナ</t>
    </rPh>
    <phoneticPr fontId="19"/>
  </si>
  <si>
    <t>おおざっぱな見当ですが、天井扇はシロッコファン、ダクトファンは軸流ファンのことが多い</t>
    <rPh sb="6" eb="8">
      <t>ケントウ</t>
    </rPh>
    <rPh sb="12" eb="14">
      <t>テンジョウ</t>
    </rPh>
    <rPh sb="14" eb="15">
      <t>オオギ</t>
    </rPh>
    <rPh sb="31" eb="32">
      <t>ジク</t>
    </rPh>
    <rPh sb="32" eb="33">
      <t>リュウ</t>
    </rPh>
    <rPh sb="40" eb="41">
      <t>オオ</t>
    </rPh>
    <phoneticPr fontId="8"/>
  </si>
  <si>
    <t>口</t>
    <phoneticPr fontId="19"/>
  </si>
  <si>
    <t>1組ごとの使用口数が3口以上の場合は、2口の評点数に、(2口－1口）の評点数（分岐以降の配管・使用口の評点に相当）×口数を加えた評点数とする</t>
    <rPh sb="64" eb="66">
      <t>ヒョウテン</t>
    </rPh>
    <rPh sb="66" eb="67">
      <t>スウ</t>
    </rPh>
    <phoneticPr fontId="19"/>
  </si>
  <si>
    <t>一組当り
使用口数</t>
    <rPh sb="0" eb="1">
      <t>ヒト</t>
    </rPh>
    <rPh sb="1" eb="2">
      <t>クミ</t>
    </rPh>
    <rPh sb="2" eb="3">
      <t>ア</t>
    </rPh>
    <rPh sb="5" eb="7">
      <t>シヨウ</t>
    </rPh>
    <rPh sb="7" eb="8">
      <t>クチ</t>
    </rPh>
    <rPh sb="8" eb="9">
      <t>スウ</t>
    </rPh>
    <phoneticPr fontId="19"/>
  </si>
  <si>
    <t>ホームエレベーター</t>
    <phoneticPr fontId="19"/>
  </si>
  <si>
    <t>換気扇・換気口</t>
    <rPh sb="4" eb="6">
      <t>カンキ</t>
    </rPh>
    <rPh sb="6" eb="7">
      <t>クチ</t>
    </rPh>
    <phoneticPr fontId="19"/>
  </si>
  <si>
    <t>床暖房設備</t>
    <phoneticPr fontId="19"/>
  </si>
  <si>
    <t>空調設備(ビルトイン方式)</t>
    <phoneticPr fontId="19"/>
  </si>
  <si>
    <t>レンジフードファン</t>
    <phoneticPr fontId="19"/>
  </si>
  <si>
    <t>システムキッチン</t>
    <phoneticPr fontId="19"/>
  </si>
  <si>
    <t>ミニシステムキッチン</t>
    <phoneticPr fontId="19"/>
  </si>
  <si>
    <t>流し台(ｽﾃﾝﾚｽ張)</t>
    <phoneticPr fontId="19"/>
  </si>
  <si>
    <t>ユニットシャワー</t>
    <phoneticPr fontId="19"/>
  </si>
  <si>
    <t>ハーフユニットバス</t>
    <phoneticPr fontId="19"/>
  </si>
  <si>
    <t>ユニットバス</t>
    <phoneticPr fontId="19"/>
  </si>
  <si>
    <t>洗面化粧台</t>
    <phoneticPr fontId="19"/>
  </si>
  <si>
    <t>洗面器</t>
    <phoneticPr fontId="19"/>
  </si>
  <si>
    <t>便器</t>
    <phoneticPr fontId="19"/>
  </si>
  <si>
    <t>使用口</t>
    <phoneticPr fontId="19"/>
  </si>
  <si>
    <t>ドアホン</t>
    <phoneticPr fontId="19"/>
  </si>
  <si>
    <t>排水管</t>
    <rPh sb="2" eb="3">
      <t>カン</t>
    </rPh>
    <phoneticPr fontId="19"/>
  </si>
  <si>
    <t>給湯管</t>
    <phoneticPr fontId="19"/>
  </si>
  <si>
    <t>給水管</t>
    <phoneticPr fontId="19"/>
  </si>
  <si>
    <t>鋼管</t>
    <phoneticPr fontId="19"/>
  </si>
  <si>
    <t>塩ビ管</t>
    <phoneticPr fontId="19"/>
  </si>
  <si>
    <t>照明設備</t>
    <rPh sb="2" eb="4">
      <t>セツビ</t>
    </rPh>
    <phoneticPr fontId="19"/>
  </si>
  <si>
    <t>電気設備</t>
    <phoneticPr fontId="19"/>
  </si>
  <si>
    <t>ガス設備</t>
    <rPh sb="2" eb="4">
      <t>セツビ</t>
    </rPh>
    <phoneticPr fontId="19"/>
  </si>
  <si>
    <t>給水・
給湯設備</t>
    <phoneticPr fontId="19"/>
  </si>
  <si>
    <t>排水設備</t>
    <rPh sb="0" eb="2">
      <t>ハイスイ</t>
    </rPh>
    <rPh sb="2" eb="4">
      <t>セツビ</t>
    </rPh>
    <phoneticPr fontId="19"/>
  </si>
  <si>
    <t>電気設備</t>
    <rPh sb="0" eb="2">
      <t>デンキ</t>
    </rPh>
    <rPh sb="2" eb="4">
      <t>セツビ</t>
    </rPh>
    <phoneticPr fontId="19"/>
  </si>
  <si>
    <t>衛生設備</t>
    <phoneticPr fontId="19"/>
  </si>
  <si>
    <t>冷暖房設備</t>
    <phoneticPr fontId="19"/>
  </si>
  <si>
    <t>換気設備</t>
    <phoneticPr fontId="19"/>
  </si>
  <si>
    <t>運搬設備</t>
    <phoneticPr fontId="19"/>
  </si>
  <si>
    <t>木造の評価替Q&amp;Aの記載を転用しています。</t>
    <rPh sb="0" eb="2">
      <t>モクゾウ</t>
    </rPh>
    <rPh sb="3" eb="5">
      <t>ヒョウカ</t>
    </rPh>
    <rPh sb="5" eb="6">
      <t>ガ</t>
    </rPh>
    <rPh sb="10" eb="12">
      <t>キサイ</t>
    </rPh>
    <rPh sb="13" eb="15">
      <t>テンヨウ</t>
    </rPh>
    <phoneticPr fontId="22"/>
  </si>
  <si>
    <t>既成のｺﾝｸﾘｰﾄ杭（PHC杭等）が想定されています。</t>
    <rPh sb="0" eb="2">
      <t>キセイ</t>
    </rPh>
    <rPh sb="9" eb="10">
      <t>クイ</t>
    </rPh>
    <rPh sb="14" eb="15">
      <t>クイ</t>
    </rPh>
    <rPh sb="15" eb="16">
      <t>トウ</t>
    </rPh>
    <rPh sb="18" eb="20">
      <t>ソウテイ</t>
    </rPh>
    <phoneticPr fontId="22"/>
  </si>
  <si>
    <t>※地盤改良は家屋評価に含みません。</t>
    <rPh sb="1" eb="3">
      <t>ジバン</t>
    </rPh>
    <rPh sb="3" eb="5">
      <t>カイリョウ</t>
    </rPh>
    <rPh sb="6" eb="8">
      <t>カオク</t>
    </rPh>
    <rPh sb="8" eb="10">
      <t>ヒョウカ</t>
    </rPh>
    <rPh sb="11" eb="12">
      <t>フク</t>
    </rPh>
    <phoneticPr fontId="22"/>
  </si>
  <si>
    <t>　地盤改良杭・柱状地盤改良となっているものは杭と類似していますが、</t>
    <rPh sb="1" eb="3">
      <t>ジバン</t>
    </rPh>
    <rPh sb="3" eb="5">
      <t>カイリョウ</t>
    </rPh>
    <rPh sb="5" eb="6">
      <t>クイ</t>
    </rPh>
    <rPh sb="7" eb="8">
      <t>ハシラ</t>
    </rPh>
    <rPh sb="8" eb="9">
      <t>ジョウ</t>
    </rPh>
    <rPh sb="9" eb="11">
      <t>ジバン</t>
    </rPh>
    <rPh sb="11" eb="13">
      <t>カイリョウ</t>
    </rPh>
    <rPh sb="22" eb="23">
      <t>クイ</t>
    </rPh>
    <rPh sb="24" eb="26">
      <t>ルイジ</t>
    </rPh>
    <phoneticPr fontId="22"/>
  </si>
  <si>
    <t>かを図面等で判断して、区分をしてください</t>
    <rPh sb="2" eb="4">
      <t>ズメン</t>
    </rPh>
    <rPh sb="4" eb="5">
      <t>トウ</t>
    </rPh>
    <rPh sb="6" eb="8">
      <t>ハンダン</t>
    </rPh>
    <rPh sb="11" eb="13">
      <t>クブン</t>
    </rPh>
    <rPh sb="12" eb="13">
      <t>チク</t>
    </rPh>
    <phoneticPr fontId="22"/>
  </si>
  <si>
    <t>　杭頭と基礎が接合されている・・・・・杭打地業</t>
    <rPh sb="1" eb="2">
      <t>クイ</t>
    </rPh>
    <rPh sb="2" eb="3">
      <t>アタマ</t>
    </rPh>
    <rPh sb="4" eb="6">
      <t>キソ</t>
    </rPh>
    <rPh sb="7" eb="9">
      <t>セツゴウ</t>
    </rPh>
    <rPh sb="19" eb="21">
      <t>クイウ</t>
    </rPh>
    <rPh sb="22" eb="23">
      <t>ギョウ</t>
    </rPh>
    <phoneticPr fontId="22"/>
  </si>
  <si>
    <t>　基礎が上に載っているだけ・・・・・地盤改良</t>
    <rPh sb="1" eb="3">
      <t>キソ</t>
    </rPh>
    <rPh sb="4" eb="5">
      <t>ウエ</t>
    </rPh>
    <rPh sb="6" eb="7">
      <t>ノ</t>
    </rPh>
    <rPh sb="18" eb="20">
      <t>ジバン</t>
    </rPh>
    <rPh sb="20" eb="22">
      <t>カイリョウ</t>
    </rPh>
    <phoneticPr fontId="22"/>
  </si>
  <si>
    <t>（補正はシートには組み込んでありませんので必要に応じ評価基準を参照して適宜入力してください）</t>
    <phoneticPr fontId="8"/>
  </si>
  <si>
    <t>に分けて面積を集計しています、オレンジ色の4行は集計用(非表示)で、下の2行が最終的に表示される行です</t>
    <rPh sb="1" eb="2">
      <t>ワ</t>
    </rPh>
    <rPh sb="4" eb="6">
      <t>メンセキ</t>
    </rPh>
    <rPh sb="7" eb="9">
      <t>シュウケイ</t>
    </rPh>
    <rPh sb="19" eb="20">
      <t>イロ</t>
    </rPh>
    <rPh sb="22" eb="23">
      <t>ギョウ</t>
    </rPh>
    <rPh sb="24" eb="26">
      <t>シュウケイ</t>
    </rPh>
    <rPh sb="26" eb="27">
      <t>ヨウ</t>
    </rPh>
    <rPh sb="28" eb="31">
      <t>ヒヒョウジ</t>
    </rPh>
    <rPh sb="34" eb="35">
      <t>シタ</t>
    </rPh>
    <rPh sb="37" eb="38">
      <t>ギョウ</t>
    </rPh>
    <rPh sb="39" eb="42">
      <t>サイシュウテキ</t>
    </rPh>
    <rPh sb="43" eb="45">
      <t>ヒョウジ</t>
    </rPh>
    <rPh sb="48" eb="49">
      <t>ギョウ</t>
    </rPh>
    <phoneticPr fontId="8"/>
  </si>
  <si>
    <t>サッシの比例計算用のデータシートです。消さないでください</t>
    <rPh sb="4" eb="6">
      <t>ヒレイ</t>
    </rPh>
    <rPh sb="6" eb="9">
      <t>ケイサンヨウ</t>
    </rPh>
    <rPh sb="19" eb="20">
      <t>ケ</t>
    </rPh>
    <phoneticPr fontId="8"/>
  </si>
  <si>
    <t>ｱﾙﾐ製：標準</t>
    <rPh sb="3" eb="4">
      <t>セイ</t>
    </rPh>
    <rPh sb="5" eb="7">
      <t>ヒョウジュン</t>
    </rPh>
    <phoneticPr fontId="8"/>
  </si>
  <si>
    <t>樹脂・木製：標準のｱﾙﾐ製ｻｯｼを2.2補正</t>
    <rPh sb="0" eb="2">
      <t>ジュシ</t>
    </rPh>
    <rPh sb="3" eb="5">
      <t>モクセイ</t>
    </rPh>
    <rPh sb="6" eb="8">
      <t>ヒョウジュン</t>
    </rPh>
    <rPh sb="12" eb="13">
      <t>セイ</t>
    </rPh>
    <rPh sb="20" eb="22">
      <t>ホセイ</t>
    </rPh>
    <phoneticPr fontId="8"/>
  </si>
  <si>
    <t>ｽﾃﾝﾚｽ製：標準のｱﾙﾐ製ｻｯｼを1.7補正</t>
    <rPh sb="5" eb="6">
      <t>セイ</t>
    </rPh>
    <rPh sb="7" eb="9">
      <t>ヒョウジュン</t>
    </rPh>
    <rPh sb="13" eb="14">
      <t>セイ</t>
    </rPh>
    <rPh sb="21" eb="23">
      <t>ホセイ</t>
    </rPh>
    <phoneticPr fontId="8"/>
  </si>
  <si>
    <t>鋼製：標準のｱﾙﾐ製ｻｯｼを0.65補正</t>
    <rPh sb="0" eb="1">
      <t>コウ</t>
    </rPh>
    <rPh sb="1" eb="2">
      <t>セイ</t>
    </rPh>
    <rPh sb="3" eb="5">
      <t>ヒョウジュン</t>
    </rPh>
    <rPh sb="9" eb="10">
      <t>セイ</t>
    </rPh>
    <rPh sb="18" eb="20">
      <t>ホセイ</t>
    </rPh>
    <phoneticPr fontId="8"/>
  </si>
  <si>
    <t>5割程度ガラス扉となっているもの。ｽﾃﾝﾚｽ製：標準のｱﾙﾐ製扉を1.4補正</t>
    <phoneticPr fontId="8"/>
  </si>
  <si>
    <t>※H24までと異なり、扉にはガラスを加算しない。</t>
    <rPh sb="7" eb="8">
      <t>コト</t>
    </rPh>
    <rPh sb="11" eb="12">
      <t>トビラ</t>
    </rPh>
    <rPh sb="18" eb="20">
      <t>カサン</t>
    </rPh>
    <phoneticPr fontId="8"/>
  </si>
  <si>
    <t>手動のもの</t>
    <rPh sb="0" eb="2">
      <t>シュドウ</t>
    </rPh>
    <phoneticPr fontId="8"/>
  </si>
  <si>
    <t>※階数の補正は「2階建」が標準で、「3階建」が増点となっているが、減点補正はなく平屋建も補正を行わないため調書上の表記を「2階以下」としています</t>
    <rPh sb="1" eb="3">
      <t>カイスウ</t>
    </rPh>
    <rPh sb="4" eb="6">
      <t>ホセイ</t>
    </rPh>
    <rPh sb="9" eb="11">
      <t>カイダ</t>
    </rPh>
    <rPh sb="13" eb="15">
      <t>ヒョウジュン</t>
    </rPh>
    <rPh sb="19" eb="21">
      <t>カイダ</t>
    </rPh>
    <rPh sb="23" eb="24">
      <t>ゾウ</t>
    </rPh>
    <rPh sb="24" eb="25">
      <t>テン</t>
    </rPh>
    <rPh sb="33" eb="35">
      <t>ゲンテン</t>
    </rPh>
    <rPh sb="35" eb="37">
      <t>ホセイ</t>
    </rPh>
    <rPh sb="40" eb="42">
      <t>ヒラヤ</t>
    </rPh>
    <rPh sb="42" eb="43">
      <t>ダ</t>
    </rPh>
    <rPh sb="44" eb="46">
      <t>ホセイ</t>
    </rPh>
    <rPh sb="47" eb="48">
      <t>オコナ</t>
    </rPh>
    <rPh sb="53" eb="55">
      <t>チョウショ</t>
    </rPh>
    <rPh sb="55" eb="56">
      <t>ジョウ</t>
    </rPh>
    <rPh sb="57" eb="59">
      <t>ヒョウキ</t>
    </rPh>
    <rPh sb="62" eb="63">
      <t>カイ</t>
    </rPh>
    <rPh sb="63" eb="65">
      <t>イカ</t>
    </rPh>
    <phoneticPr fontId="22"/>
  </si>
  <si>
    <t>×</t>
    <phoneticPr fontId="22"/>
  </si>
  <si>
    <t>×</t>
    <phoneticPr fontId="22"/>
  </si>
  <si>
    <t>×</t>
    <phoneticPr fontId="8"/>
  </si>
  <si>
    <t>プレキャストコンクリート</t>
    <phoneticPr fontId="22"/>
  </si>
  <si>
    <t>住宅・アパート　プレ</t>
    <phoneticPr fontId="8"/>
  </si>
  <si>
    <t>→</t>
    <phoneticPr fontId="22"/>
  </si>
  <si>
    <t>○ｺﾝｸﾘｰﾄ・鉄筋を明確計算とする場合</t>
    <rPh sb="8" eb="10">
      <t>テッキン</t>
    </rPh>
    <rPh sb="11" eb="13">
      <t>メイカク</t>
    </rPh>
    <rPh sb="13" eb="15">
      <t>ケイサン</t>
    </rPh>
    <rPh sb="18" eb="20">
      <t>バアイ</t>
    </rPh>
    <phoneticPr fontId="22"/>
  </si>
  <si>
    <t>○不明確計算で鉄筋コンクリート(プレを除く）の場合</t>
    <rPh sb="1" eb="4">
      <t>フメイカク</t>
    </rPh>
    <rPh sb="4" eb="6">
      <t>ケイサン</t>
    </rPh>
    <rPh sb="7" eb="9">
      <t>テッキン</t>
    </rPh>
    <rPh sb="19" eb="20">
      <t>ノゾ</t>
    </rPh>
    <rPh sb="23" eb="25">
      <t>バアイ</t>
    </rPh>
    <phoneticPr fontId="22"/>
  </si>
  <si>
    <t>※根伐を含んでいるので、上の「根伐工事」と二重に計上しないこと</t>
    <rPh sb="1" eb="3">
      <t>ネギ</t>
    </rPh>
    <rPh sb="4" eb="5">
      <t>フク</t>
    </rPh>
    <rPh sb="12" eb="13">
      <t>ウエ</t>
    </rPh>
    <rPh sb="15" eb="17">
      <t>ネギ</t>
    </rPh>
    <rPh sb="17" eb="19">
      <t>コウジ</t>
    </rPh>
    <rPh sb="21" eb="23">
      <t>ニジュウ</t>
    </rPh>
    <rPh sb="24" eb="26">
      <t>ケイジョウ</t>
    </rPh>
    <phoneticPr fontId="22"/>
  </si>
  <si>
    <t>基礎のコンクリート等を主体構造で評価する場合に使用（基礎を設置するための掘り下げ）</t>
    <rPh sb="0" eb="2">
      <t>キソ</t>
    </rPh>
    <rPh sb="9" eb="10">
      <t>トウ</t>
    </rPh>
    <rPh sb="11" eb="13">
      <t>シュタイ</t>
    </rPh>
    <rPh sb="13" eb="15">
      <t>コウゾウ</t>
    </rPh>
    <rPh sb="16" eb="18">
      <t>ヒョウカ</t>
    </rPh>
    <rPh sb="20" eb="22">
      <t>バアイ</t>
    </rPh>
    <rPh sb="23" eb="25">
      <t>シヨウ</t>
    </rPh>
    <rPh sb="26" eb="28">
      <t>キソ</t>
    </rPh>
    <rPh sb="29" eb="31">
      <t>セッチ</t>
    </rPh>
    <rPh sb="36" eb="37">
      <t>ホ</t>
    </rPh>
    <rPh sb="38" eb="39">
      <t>サ</t>
    </rPh>
    <phoneticPr fontId="22"/>
  </si>
  <si>
    <t>※RCﾌﾟﾚは、上記の鉄筋コンクリートと異なり、基礎は含まない⇒基礎工事は鉄筋コンクリート基礎を評点付設する。</t>
    <rPh sb="8" eb="10">
      <t>ジョウキ</t>
    </rPh>
    <rPh sb="11" eb="13">
      <t>テッキン</t>
    </rPh>
    <rPh sb="20" eb="21">
      <t>コト</t>
    </rPh>
    <rPh sb="24" eb="26">
      <t>キソ</t>
    </rPh>
    <rPh sb="27" eb="28">
      <t>フク</t>
    </rPh>
    <rPh sb="32" eb="34">
      <t>キソ</t>
    </rPh>
    <rPh sb="34" eb="36">
      <t>コウジ</t>
    </rPh>
    <rPh sb="37" eb="39">
      <t>テッキン</t>
    </rPh>
    <rPh sb="45" eb="47">
      <t>キソ</t>
    </rPh>
    <rPh sb="48" eb="50">
      <t>ヒョウテン</t>
    </rPh>
    <rPh sb="50" eb="52">
      <t>フセツ</t>
    </rPh>
    <phoneticPr fontId="22"/>
  </si>
  <si>
    <t>RC立ち上がり・土間スラブを含む</t>
    <rPh sb="2" eb="3">
      <t>タ</t>
    </rPh>
    <rPh sb="4" eb="5">
      <t>ア</t>
    </rPh>
    <rPh sb="8" eb="10">
      <t>ドマ</t>
    </rPh>
    <rPh sb="14" eb="15">
      <t>フク</t>
    </rPh>
    <phoneticPr fontId="22"/>
  </si>
  <si>
    <t>※原則木造と同程度の小規模の3階建までの建物でコンクリート・鉄筋の使用量が不明確な場合に対して使用すること。</t>
    <rPh sb="1" eb="3">
      <t>ゲンソク</t>
    </rPh>
    <rPh sb="3" eb="5">
      <t>モクゾウ</t>
    </rPh>
    <rPh sb="6" eb="9">
      <t>ドウテイド</t>
    </rPh>
    <rPh sb="10" eb="11">
      <t>チイ</t>
    </rPh>
    <rPh sb="11" eb="13">
      <t>キボ</t>
    </rPh>
    <rPh sb="15" eb="17">
      <t>ガイダ</t>
    </rPh>
    <rPh sb="20" eb="22">
      <t>タテモノ</t>
    </rPh>
    <rPh sb="44" eb="45">
      <t>タイ</t>
    </rPh>
    <rPh sb="47" eb="49">
      <t>シヨウ</t>
    </rPh>
    <phoneticPr fontId="22"/>
  </si>
  <si>
    <t>※土間スラブを含むので、1階の床構造のコンクリート叩きと二重に計上しないこと</t>
    <rPh sb="1" eb="3">
      <t>ドマ</t>
    </rPh>
    <rPh sb="7" eb="8">
      <t>フク</t>
    </rPh>
    <rPh sb="13" eb="14">
      <t>カイ</t>
    </rPh>
    <rPh sb="15" eb="16">
      <t>ユカ</t>
    </rPh>
    <rPh sb="16" eb="18">
      <t>コウゾウ</t>
    </rPh>
    <rPh sb="25" eb="26">
      <t>タタ</t>
    </rPh>
    <rPh sb="28" eb="30">
      <t>ニジュウ</t>
    </rPh>
    <rPh sb="31" eb="33">
      <t>ケイジョウ</t>
    </rPh>
    <phoneticPr fontId="22"/>
  </si>
  <si>
    <t>舞台及び客室部分の延べ床面積</t>
    <rPh sb="0" eb="2">
      <t>ブタイ</t>
    </rPh>
    <rPh sb="2" eb="3">
      <t>オヨ</t>
    </rPh>
    <rPh sb="4" eb="6">
      <t>キャクシツ</t>
    </rPh>
    <rPh sb="6" eb="8">
      <t>ブブン</t>
    </rPh>
    <rPh sb="9" eb="10">
      <t>ノ</t>
    </rPh>
    <rPh sb="11" eb="14">
      <t>ユカメンセキ</t>
    </rPh>
    <phoneticPr fontId="42"/>
  </si>
  <si>
    <t>手摺部分の見付面積</t>
    <rPh sb="0" eb="2">
      <t>テスリ</t>
    </rPh>
    <rPh sb="2" eb="4">
      <t>ブブン</t>
    </rPh>
    <rPh sb="5" eb="7">
      <t>ミツケ</t>
    </rPh>
    <rPh sb="7" eb="9">
      <t>メンセキ</t>
    </rPh>
    <phoneticPr fontId="42"/>
  </si>
  <si>
    <t>舞台面積</t>
    <rPh sb="0" eb="2">
      <t>ブタイ</t>
    </rPh>
    <rPh sb="2" eb="4">
      <t>メンセキ</t>
    </rPh>
    <phoneticPr fontId="42"/>
  </si>
  <si>
    <t>席数</t>
    <rPh sb="0" eb="2">
      <t>セキスウ</t>
    </rPh>
    <phoneticPr fontId="42"/>
  </si>
  <si>
    <t>箇所数</t>
    <rPh sb="0" eb="2">
      <t>カショ</t>
    </rPh>
    <rPh sb="2" eb="3">
      <t>スウ</t>
    </rPh>
    <phoneticPr fontId="42"/>
  </si>
  <si>
    <t>カウンター前面の腰部分の見付面積</t>
    <rPh sb="5" eb="7">
      <t>ゼンメン</t>
    </rPh>
    <rPh sb="8" eb="9">
      <t>コシ</t>
    </rPh>
    <rPh sb="9" eb="10">
      <t>ブ</t>
    </rPh>
    <rPh sb="12" eb="14">
      <t>ミツケ</t>
    </rPh>
    <rPh sb="14" eb="16">
      <t>メンセキ</t>
    </rPh>
    <phoneticPr fontId="42"/>
  </si>
  <si>
    <t>家具正面の面積</t>
    <rPh sb="0" eb="2">
      <t>カグ</t>
    </rPh>
    <rPh sb="2" eb="4">
      <t>ショウメン</t>
    </rPh>
    <rPh sb="5" eb="7">
      <t>メンセキ</t>
    </rPh>
    <phoneticPr fontId="42"/>
  </si>
  <si>
    <t>※合計評点数欄は、扉厚１ｃｍ当たりのもの。備考欄に扉厚を入力してください</t>
    <rPh sb="1" eb="3">
      <t>ゴウケイ</t>
    </rPh>
    <rPh sb="3" eb="5">
      <t>ヒョウテン</t>
    </rPh>
    <rPh sb="5" eb="6">
      <t>スウ</t>
    </rPh>
    <rPh sb="6" eb="7">
      <t>ラン</t>
    </rPh>
    <rPh sb="9" eb="10">
      <t>トビラ</t>
    </rPh>
    <rPh sb="10" eb="11">
      <t>アツ</t>
    </rPh>
    <rPh sb="14" eb="15">
      <t>ア</t>
    </rPh>
    <rPh sb="21" eb="23">
      <t>ビコウ</t>
    </rPh>
    <rPh sb="23" eb="24">
      <t>ラン</t>
    </rPh>
    <rPh sb="25" eb="26">
      <t>トビラ</t>
    </rPh>
    <rPh sb="26" eb="27">
      <t>アツ</t>
    </rPh>
    <rPh sb="28" eb="30">
      <t>ニュウリョク</t>
    </rPh>
    <phoneticPr fontId="8"/>
  </si>
  <si>
    <t>地上部分の階層数（塔屋除く）
※基準解説より13階で上限止</t>
    <rPh sb="0" eb="2">
      <t>チジョウ</t>
    </rPh>
    <rPh sb="2" eb="3">
      <t>ブ</t>
    </rPh>
    <rPh sb="3" eb="4">
      <t>ブン</t>
    </rPh>
    <rPh sb="5" eb="8">
      <t>カイソウスウ</t>
    </rPh>
    <rPh sb="9" eb="10">
      <t>トウ</t>
    </rPh>
    <rPh sb="10" eb="11">
      <t>ヤ</t>
    </rPh>
    <rPh sb="11" eb="12">
      <t>ノゾ</t>
    </rPh>
    <rPh sb="16" eb="18">
      <t>キジュン</t>
    </rPh>
    <rPh sb="18" eb="20">
      <t>カイセツ</t>
    </rPh>
    <rPh sb="24" eb="25">
      <t>カイ</t>
    </rPh>
    <rPh sb="26" eb="28">
      <t>ジョウゲン</t>
    </rPh>
    <rPh sb="28" eb="29">
      <t>ド</t>
    </rPh>
    <phoneticPr fontId="22"/>
  </si>
  <si>
    <t>床面から上階の床面まで（最上階は屋根面まで）の高さ</t>
    <rPh sb="0" eb="2">
      <t>ユカメン</t>
    </rPh>
    <rPh sb="4" eb="6">
      <t>ジョウカイ</t>
    </rPh>
    <rPh sb="7" eb="9">
      <t>ユカメン</t>
    </rPh>
    <rPh sb="12" eb="15">
      <t>サイジョウカイ</t>
    </rPh>
    <rPh sb="16" eb="18">
      <t>ヤネ</t>
    </rPh>
    <rPh sb="18" eb="19">
      <t>メン</t>
    </rPh>
    <rPh sb="23" eb="24">
      <t>タカ</t>
    </rPh>
    <phoneticPr fontId="22"/>
  </si>
  <si>
    <t>主要な柱間の距離。間柱は無視、RCで柱のない場合、補正しない
RCは縦横の平均、Sは屋根の傾斜と直交する方向で判定</t>
    <rPh sb="0" eb="2">
      <t>シュヨウ</t>
    </rPh>
    <rPh sb="3" eb="4">
      <t>ハシラ</t>
    </rPh>
    <rPh sb="4" eb="5">
      <t>カン</t>
    </rPh>
    <rPh sb="6" eb="8">
      <t>キョリ</t>
    </rPh>
    <rPh sb="9" eb="11">
      <t>マバシラ</t>
    </rPh>
    <rPh sb="12" eb="14">
      <t>ムシ</t>
    </rPh>
    <rPh sb="18" eb="19">
      <t>ハシラ</t>
    </rPh>
    <rPh sb="22" eb="24">
      <t>バアイ</t>
    </rPh>
    <rPh sb="25" eb="27">
      <t>ホセイ</t>
    </rPh>
    <rPh sb="34" eb="36">
      <t>タテヨコ</t>
    </rPh>
    <rPh sb="37" eb="39">
      <t>ヘイキン</t>
    </rPh>
    <rPh sb="42" eb="44">
      <t>ヤネ</t>
    </rPh>
    <rPh sb="45" eb="47">
      <t>ケイシャ</t>
    </rPh>
    <rPh sb="48" eb="50">
      <t>チョッコウ</t>
    </rPh>
    <rPh sb="52" eb="54">
      <t>ホウコウ</t>
    </rPh>
    <rPh sb="55" eb="57">
      <t>ハンテイ</t>
    </rPh>
    <phoneticPr fontId="22"/>
  </si>
  <si>
    <t>GLから軒桁までの高さ</t>
    <rPh sb="4" eb="6">
      <t>ノキゲタ</t>
    </rPh>
    <rPh sb="9" eb="10">
      <t>タカ</t>
    </rPh>
    <phoneticPr fontId="22"/>
  </si>
  <si>
    <t>※建物全体の構造を支えていない間仕切壁を評価するもの。</t>
    <rPh sb="1" eb="3">
      <t>タテモノ</t>
    </rPh>
    <rPh sb="3" eb="5">
      <t>ゼンタイ</t>
    </rPh>
    <rPh sb="6" eb="8">
      <t>コウゾウ</t>
    </rPh>
    <rPh sb="9" eb="10">
      <t>ササ</t>
    </rPh>
    <rPh sb="15" eb="18">
      <t>マジキリ</t>
    </rPh>
    <rPh sb="18" eb="19">
      <t>カベ</t>
    </rPh>
    <rPh sb="20" eb="22">
      <t>ヒョウカ</t>
    </rPh>
    <phoneticPr fontId="22"/>
  </si>
  <si>
    <t>主体構造部以外の資材で構成された外壁の骨組を評価</t>
    <rPh sb="0" eb="2">
      <t>シュタイ</t>
    </rPh>
    <rPh sb="2" eb="4">
      <t>コウゾウ</t>
    </rPh>
    <rPh sb="4" eb="5">
      <t>ブ</t>
    </rPh>
    <rPh sb="5" eb="7">
      <t>イガイ</t>
    </rPh>
    <rPh sb="8" eb="10">
      <t>シザイ</t>
    </rPh>
    <rPh sb="11" eb="13">
      <t>コウセイ</t>
    </rPh>
    <rPh sb="16" eb="18">
      <t>ガイヘキ</t>
    </rPh>
    <rPh sb="19" eb="21">
      <t>ホネグ</t>
    </rPh>
    <rPh sb="22" eb="24">
      <t>ヒョウカ</t>
    </rPh>
    <phoneticPr fontId="22"/>
  </si>
  <si>
    <t>ＲＣ造の延床面積１㎡当たりＲＣ壁面積により補正</t>
    <rPh sb="2" eb="3">
      <t>ゾウ</t>
    </rPh>
    <rPh sb="4" eb="6">
      <t>ノベユカ</t>
    </rPh>
    <rPh sb="6" eb="8">
      <t>メンセキ</t>
    </rPh>
    <rPh sb="10" eb="11">
      <t>ア</t>
    </rPh>
    <rPh sb="15" eb="16">
      <t>カベ</t>
    </rPh>
    <rPh sb="16" eb="18">
      <t>メンセキ</t>
    </rPh>
    <rPh sb="21" eb="23">
      <t>ホセイ</t>
    </rPh>
    <phoneticPr fontId="22"/>
  </si>
  <si>
    <t>※壁面積の大小に係る、壁面積の推計計算</t>
    <rPh sb="1" eb="2">
      <t>カベ</t>
    </rPh>
    <rPh sb="2" eb="4">
      <t>メンセキ</t>
    </rPh>
    <rPh sb="5" eb="7">
      <t>ダイショウ</t>
    </rPh>
    <rPh sb="8" eb="9">
      <t>カカ</t>
    </rPh>
    <rPh sb="11" eb="12">
      <t>カベ</t>
    </rPh>
    <rPh sb="12" eb="14">
      <t>メンセキ</t>
    </rPh>
    <rPh sb="15" eb="17">
      <t>スイケイ</t>
    </rPh>
    <rPh sb="17" eb="19">
      <t>ケイサン</t>
    </rPh>
    <phoneticPr fontId="22"/>
  </si>
  <si>
    <t>外部仕上面積</t>
    <rPh sb="0" eb="2">
      <t>ガイブ</t>
    </rPh>
    <rPh sb="2" eb="4">
      <t>シアゲ</t>
    </rPh>
    <rPh sb="4" eb="6">
      <t>メンセキ</t>
    </rPh>
    <phoneticPr fontId="22"/>
  </si>
  <si>
    <t>＋</t>
    <phoneticPr fontId="22"/>
  </si>
  <si>
    <t>内部仕上面積</t>
    <rPh sb="0" eb="2">
      <t>ナイブ</t>
    </rPh>
    <rPh sb="2" eb="4">
      <t>シアゲ</t>
    </rPh>
    <rPh sb="4" eb="6">
      <t>メンセキ</t>
    </rPh>
    <phoneticPr fontId="22"/>
  </si>
  <si>
    <t>-</t>
    <phoneticPr fontId="22"/>
  </si>
  <si>
    <t>間仕切骨組面積</t>
    <rPh sb="0" eb="3">
      <t>マジキリ</t>
    </rPh>
    <rPh sb="3" eb="5">
      <t>ホネグミ</t>
    </rPh>
    <rPh sb="5" eb="7">
      <t>メンセキ</t>
    </rPh>
    <phoneticPr fontId="22"/>
  </si>
  <si>
    <t>)÷</t>
    <phoneticPr fontId="22"/>
  </si>
  <si>
    <t>}×</t>
    <phoneticPr fontId="22"/>
  </si>
  <si>
    <t>補正標準の壁面積</t>
    <rPh sb="0" eb="2">
      <t>ホセイ</t>
    </rPh>
    <rPh sb="2" eb="4">
      <t>ヒョウジュン</t>
    </rPh>
    <rPh sb="5" eb="6">
      <t>カベ</t>
    </rPh>
    <rPh sb="6" eb="8">
      <t>メンセキ</t>
    </rPh>
    <phoneticPr fontId="22"/>
  </si>
  <si>
    <t>外部仕上標準量</t>
    <rPh sb="0" eb="2">
      <t>ガイブ</t>
    </rPh>
    <rPh sb="2" eb="4">
      <t>シアゲ</t>
    </rPh>
    <rPh sb="4" eb="6">
      <t>ヒョウジュン</t>
    </rPh>
    <rPh sb="6" eb="7">
      <t>リョウ</t>
    </rPh>
    <phoneticPr fontId="22"/>
  </si>
  <si>
    <t>内部仕上標準量</t>
    <rPh sb="0" eb="2">
      <t>ナイブ</t>
    </rPh>
    <rPh sb="2" eb="4">
      <t>シアゲ</t>
    </rPh>
    <rPh sb="4" eb="6">
      <t>ヒョウジュン</t>
    </rPh>
    <rPh sb="6" eb="7">
      <t>リョウ</t>
    </rPh>
    <phoneticPr fontId="22"/>
  </si>
  <si>
    <t>間仕切骨組標準量</t>
    <rPh sb="0" eb="3">
      <t>マジキリ</t>
    </rPh>
    <rPh sb="3" eb="5">
      <t>ホネグミ</t>
    </rPh>
    <rPh sb="5" eb="7">
      <t>ヒョウジュン</t>
    </rPh>
    <rPh sb="7" eb="8">
      <t>リョウ</t>
    </rPh>
    <phoneticPr fontId="22"/>
  </si>
  <si>
    <t>＝</t>
    <phoneticPr fontId="22"/>
  </si>
  <si>
    <t>㎡/㎡</t>
    <phoneticPr fontId="8"/>
  </si>
  <si>
    <t>}</t>
    <phoneticPr fontId="22"/>
  </si>
  <si>
    <t>壁体面積</t>
    <rPh sb="0" eb="2">
      <t>ヘキタイ</t>
    </rPh>
    <rPh sb="2" eb="4">
      <t>メンセキ</t>
    </rPh>
    <phoneticPr fontId="22"/>
  </si>
  <si>
    <t>上：単層フローリングボード相当</t>
    <rPh sb="0" eb="1">
      <t>ウエ</t>
    </rPh>
    <rPh sb="2" eb="4">
      <t>タンソウ</t>
    </rPh>
    <rPh sb="13" eb="15">
      <t>ソウトウ</t>
    </rPh>
    <phoneticPr fontId="22"/>
  </si>
  <si>
    <t>並：ラワン合板相当</t>
    <rPh sb="0" eb="1">
      <t>ナミ</t>
    </rPh>
    <rPh sb="5" eb="7">
      <t>ゴウバン</t>
    </rPh>
    <rPh sb="7" eb="9">
      <t>ソウトウ</t>
    </rPh>
    <phoneticPr fontId="22"/>
  </si>
  <si>
    <t>中：複層フローリングボード相当（一般的なフローリングはこれ程度です）</t>
    <rPh sb="0" eb="1">
      <t>チュウ</t>
    </rPh>
    <rPh sb="2" eb="4">
      <t>フクソウ</t>
    </rPh>
    <rPh sb="13" eb="15">
      <t>ソウトウ</t>
    </rPh>
    <rPh sb="16" eb="19">
      <t>イッパンテキ</t>
    </rPh>
    <rPh sb="29" eb="31">
      <t>テイド</t>
    </rPh>
    <phoneticPr fontId="22"/>
  </si>
  <si>
    <t>特：ゴムタイル相当</t>
    <rPh sb="0" eb="1">
      <t>トク</t>
    </rPh>
    <rPh sb="7" eb="9">
      <t>ソウトウ</t>
    </rPh>
    <phoneticPr fontId="22"/>
  </si>
  <si>
    <t>上：帯電防止タイル相当（電子機器を扱う場所等で使用されます）</t>
    <rPh sb="0" eb="1">
      <t>ジョウ</t>
    </rPh>
    <rPh sb="2" eb="4">
      <t>タイデン</t>
    </rPh>
    <rPh sb="4" eb="6">
      <t>ボウシ</t>
    </rPh>
    <rPh sb="9" eb="11">
      <t>ソウトウ</t>
    </rPh>
    <rPh sb="12" eb="14">
      <t>デンシ</t>
    </rPh>
    <rPh sb="14" eb="16">
      <t>キキ</t>
    </rPh>
    <rPh sb="17" eb="18">
      <t>アツカ</t>
    </rPh>
    <rPh sb="19" eb="21">
      <t>バショ</t>
    </rPh>
    <rPh sb="21" eb="22">
      <t>トウ</t>
    </rPh>
    <rPh sb="23" eb="25">
      <t>シヨウ</t>
    </rPh>
    <phoneticPr fontId="22"/>
  </si>
  <si>
    <t>中：クッションフロア相当</t>
    <rPh sb="0" eb="1">
      <t>チュウ</t>
    </rPh>
    <rPh sb="10" eb="12">
      <t>ソウトウ</t>
    </rPh>
    <phoneticPr fontId="22"/>
  </si>
  <si>
    <t>並：ビニル床タイル相当</t>
    <rPh sb="0" eb="1">
      <t>ナミ</t>
    </rPh>
    <rPh sb="5" eb="6">
      <t>ユカ</t>
    </rPh>
    <rPh sb="9" eb="11">
      <t>ソウトウ</t>
    </rPh>
    <phoneticPr fontId="22"/>
  </si>
  <si>
    <t>Ｈ２４までの工業用テレビ配線</t>
    <rPh sb="6" eb="9">
      <t>コウギョウヨウ</t>
    </rPh>
    <rPh sb="12" eb="14">
      <t>ハイセン</t>
    </rPh>
    <phoneticPr fontId="8"/>
  </si>
  <si>
    <t>※マンション等の集合住宅用の設備を想定したもの。
集合玄関機、各戸のドアホン及びそれらに対する配線等を含み、計算単位は原則、住戸数分の個数
（各戸のドアホンを含むため、これで評価した戸数については、下のドアホンの評価は不要）</t>
    <rPh sb="51" eb="52">
      <t>フク</t>
    </rPh>
    <rPh sb="59" eb="61">
      <t>ゲンソク</t>
    </rPh>
    <rPh sb="71" eb="72">
      <t>カク</t>
    </rPh>
    <rPh sb="72" eb="73">
      <t>コ</t>
    </rPh>
    <rPh sb="79" eb="80">
      <t>フク</t>
    </rPh>
    <rPh sb="87" eb="89">
      <t>ヒョウカ</t>
    </rPh>
    <rPh sb="91" eb="93">
      <t>コスウ</t>
    </rPh>
    <rPh sb="99" eb="100">
      <t>シタ</t>
    </rPh>
    <rPh sb="106" eb="108">
      <t>ヒョウカ</t>
    </rPh>
    <rPh sb="109" eb="111">
      <t>フヨウ</t>
    </rPh>
    <phoneticPr fontId="8"/>
  </si>
  <si>
    <t>※原則として一戸建て等の家屋に設置されている設備を想定（親～子機のセットで１台）</t>
    <rPh sb="28" eb="29">
      <t>オヤ</t>
    </rPh>
    <rPh sb="30" eb="32">
      <t>コキ</t>
    </rPh>
    <rPh sb="38" eb="39">
      <t>ダイ</t>
    </rPh>
    <phoneticPr fontId="8"/>
  </si>
  <si>
    <t>※この計算シートは軽量鉄骨造・住宅用CB及び、その他の建物で左記または木造の基準を転用する場合に使用します。
　　転用する場合は、木造・LGSと設備が同程度と考えられる「100㎡程度まで」の建物を基準に使用してください。</t>
    <rPh sb="9" eb="11">
      <t>ケイリョウ</t>
    </rPh>
    <rPh sb="11" eb="13">
      <t>テッコツ</t>
    </rPh>
    <rPh sb="13" eb="14">
      <t>ゾウ</t>
    </rPh>
    <rPh sb="15" eb="18">
      <t>ジュウタクヨウ</t>
    </rPh>
    <rPh sb="20" eb="21">
      <t>オヨ</t>
    </rPh>
    <rPh sb="25" eb="26">
      <t>ホカ</t>
    </rPh>
    <rPh sb="27" eb="29">
      <t>タテモノ</t>
    </rPh>
    <rPh sb="30" eb="32">
      <t>サキ</t>
    </rPh>
    <rPh sb="35" eb="37">
      <t>モクゾウ</t>
    </rPh>
    <rPh sb="45" eb="47">
      <t>バアイ</t>
    </rPh>
    <rPh sb="48" eb="50">
      <t>シヨウ</t>
    </rPh>
    <rPh sb="57" eb="59">
      <t>テンヨウ</t>
    </rPh>
    <rPh sb="61" eb="63">
      <t>バアイ</t>
    </rPh>
    <rPh sb="65" eb="67">
      <t>モクゾウ</t>
    </rPh>
    <rPh sb="72" eb="74">
      <t>セツビ</t>
    </rPh>
    <rPh sb="75" eb="78">
      <t>ドウテイド</t>
    </rPh>
    <rPh sb="79" eb="80">
      <t>カンガ</t>
    </rPh>
    <phoneticPr fontId="19"/>
  </si>
  <si>
    <t>（ＬＧＳの場合は、基準上「設備（個別）」のシートによる評価とになっています。「設備（個別）」シートにない設備の評点付設を行うときに追加でこのシートを使用すること。）</t>
    <rPh sb="5" eb="7">
      <t>バアイ</t>
    </rPh>
    <rPh sb="9" eb="11">
      <t>キジュン</t>
    </rPh>
    <rPh sb="11" eb="12">
      <t>ジョウ</t>
    </rPh>
    <rPh sb="13" eb="15">
      <t>セツビ</t>
    </rPh>
    <rPh sb="16" eb="18">
      <t>コベツ</t>
    </rPh>
    <rPh sb="27" eb="29">
      <t>ヒョウカ</t>
    </rPh>
    <rPh sb="39" eb="41">
      <t>セツビ</t>
    </rPh>
    <rPh sb="42" eb="44">
      <t>コベツ</t>
    </rPh>
    <rPh sb="52" eb="54">
      <t>セツビ</t>
    </rPh>
    <rPh sb="55" eb="57">
      <t>ヒョウテン</t>
    </rPh>
    <rPh sb="57" eb="59">
      <t>フセツ</t>
    </rPh>
    <rPh sb="60" eb="61">
      <t>オコナ</t>
    </rPh>
    <rPh sb="65" eb="67">
      <t>ツイカ</t>
    </rPh>
    <rPh sb="74" eb="76">
      <t>シヨウ</t>
    </rPh>
    <phoneticPr fontId="8"/>
  </si>
  <si>
    <t>÷ { (</t>
    <phoneticPr fontId="22"/>
  </si>
  <si>
    <t>{ (</t>
    <phoneticPr fontId="22"/>
  </si>
  <si>
    <t>{ (</t>
    <phoneticPr fontId="22"/>
  </si>
  <si>
    <t>←天井裏・設備裏面等で仕上のない部分を「補正標準の壁面積」以降の計算で推計しています。
建物表面に出ている面で、「仕上なし」の部分がある場合は、その面積を仕上面積に加えて数式を適用するか、直接壁体の面積を算定してください</t>
    <rPh sb="1" eb="4">
      <t>テンジョウウラ</t>
    </rPh>
    <rPh sb="5" eb="7">
      <t>セツビ</t>
    </rPh>
    <rPh sb="7" eb="8">
      <t>ウラ</t>
    </rPh>
    <rPh sb="8" eb="9">
      <t>メン</t>
    </rPh>
    <rPh sb="9" eb="10">
      <t>トウ</t>
    </rPh>
    <rPh sb="11" eb="13">
      <t>シア</t>
    </rPh>
    <rPh sb="16" eb="18">
      <t>ブブン</t>
    </rPh>
    <rPh sb="20" eb="22">
      <t>ホセイ</t>
    </rPh>
    <rPh sb="22" eb="24">
      <t>ヒョウジュン</t>
    </rPh>
    <rPh sb="25" eb="26">
      <t>カベ</t>
    </rPh>
    <rPh sb="26" eb="28">
      <t>メンセキ</t>
    </rPh>
    <rPh sb="29" eb="31">
      <t>イコウ</t>
    </rPh>
    <rPh sb="32" eb="34">
      <t>ケイサン</t>
    </rPh>
    <rPh sb="35" eb="37">
      <t>スイケイ</t>
    </rPh>
    <rPh sb="44" eb="46">
      <t>タテモノ</t>
    </rPh>
    <rPh sb="46" eb="47">
      <t>オモテ</t>
    </rPh>
    <rPh sb="47" eb="48">
      <t>メン</t>
    </rPh>
    <rPh sb="49" eb="50">
      <t>デ</t>
    </rPh>
    <rPh sb="53" eb="54">
      <t>メン</t>
    </rPh>
    <rPh sb="57" eb="59">
      <t>シア</t>
    </rPh>
    <rPh sb="63" eb="65">
      <t>ブブン</t>
    </rPh>
    <rPh sb="68" eb="70">
      <t>バアイ</t>
    </rPh>
    <rPh sb="74" eb="76">
      <t>メンセキ</t>
    </rPh>
    <rPh sb="77" eb="79">
      <t>シア</t>
    </rPh>
    <rPh sb="79" eb="81">
      <t>メンセキ</t>
    </rPh>
    <rPh sb="85" eb="87">
      <t>スウシキ</t>
    </rPh>
    <rPh sb="88" eb="90">
      <t>テキヨウ</t>
    </rPh>
    <rPh sb="94" eb="96">
      <t>チョクセツ</t>
    </rPh>
    <rPh sb="96" eb="98">
      <t>ヘキタイ</t>
    </rPh>
    <rPh sb="99" eb="101">
      <t>メンセキ</t>
    </rPh>
    <rPh sb="102" eb="104">
      <t>サンテイ</t>
    </rPh>
    <phoneticPr fontId="22"/>
  </si>
  <si>
    <t>中古の鉄骨等を使用した場合に減点する。
３行目の自由入力分は、移築で経年減点相当の減点補正をする場合等に使います</t>
    <rPh sb="0" eb="2">
      <t>チュウコ</t>
    </rPh>
    <rPh sb="3" eb="5">
      <t>テッコツ</t>
    </rPh>
    <rPh sb="5" eb="6">
      <t>トウ</t>
    </rPh>
    <rPh sb="7" eb="9">
      <t>シヨウ</t>
    </rPh>
    <rPh sb="11" eb="13">
      <t>バアイ</t>
    </rPh>
    <rPh sb="14" eb="16">
      <t>ゲンテン</t>
    </rPh>
    <rPh sb="21" eb="23">
      <t>ギョウメ</t>
    </rPh>
    <rPh sb="24" eb="26">
      <t>ジユウ</t>
    </rPh>
    <rPh sb="26" eb="28">
      <t>ニュウリョク</t>
    </rPh>
    <rPh sb="28" eb="29">
      <t>ブン</t>
    </rPh>
    <rPh sb="31" eb="33">
      <t>イチク</t>
    </rPh>
    <rPh sb="34" eb="36">
      <t>ケイネン</t>
    </rPh>
    <rPh sb="36" eb="38">
      <t>ゲンテン</t>
    </rPh>
    <rPh sb="38" eb="40">
      <t>ソウトウ</t>
    </rPh>
    <rPh sb="41" eb="43">
      <t>ゲンテン</t>
    </rPh>
    <rPh sb="43" eb="45">
      <t>ホセイ</t>
    </rPh>
    <rPh sb="48" eb="50">
      <t>バアイ</t>
    </rPh>
    <rPh sb="50" eb="51">
      <t>トウ</t>
    </rPh>
    <rPh sb="52" eb="53">
      <t>ツカ</t>
    </rPh>
    <phoneticPr fontId="22"/>
  </si>
  <si>
    <t>ブロック評点数</t>
    <rPh sb="4" eb="6">
      <t>ヒョウテン</t>
    </rPh>
    <phoneticPr fontId="8"/>
  </si>
  <si>
    <t>壁厚</t>
    <rPh sb="0" eb="2">
      <t>カベアツ</t>
    </rPh>
    <phoneticPr fontId="22"/>
  </si>
  <si>
    <t>-</t>
    <phoneticPr fontId="22"/>
  </si>
  <si>
    <t>CB・壁厚</t>
    <rPh sb="3" eb="5">
      <t>カベアツ</t>
    </rPh>
    <phoneticPr fontId="8"/>
  </si>
  <si>
    <t>CB造は、基準上は使用量不明確なもののみ示されているが、ブロック使用面積の把握が容易なため、単位当たり評点数を用いて明確評価を行う。（補正中、使用面積を反映すると考えられる「階層数」、「階高」、住宅用の「軒高」・「壁体の延長」・「開口率」の補正は行わない。）
屋根構造・床構造・基礎は含まないので別途計上すること。
RCの臥梁・基礎のないものは、構造が異なるため主体構造部でなく外周壁・間仕切骨組で評点付設することが適当。</t>
    <rPh sb="2" eb="3">
      <t>ゾウ</t>
    </rPh>
    <rPh sb="5" eb="7">
      <t>キジュン</t>
    </rPh>
    <rPh sb="7" eb="8">
      <t>ジョウ</t>
    </rPh>
    <rPh sb="9" eb="12">
      <t>シヨウリョウ</t>
    </rPh>
    <rPh sb="12" eb="15">
      <t>フメイカク</t>
    </rPh>
    <rPh sb="20" eb="21">
      <t>シメ</t>
    </rPh>
    <rPh sb="32" eb="34">
      <t>シヨウ</t>
    </rPh>
    <rPh sb="34" eb="36">
      <t>メンセキ</t>
    </rPh>
    <rPh sb="37" eb="39">
      <t>ハアク</t>
    </rPh>
    <rPh sb="40" eb="42">
      <t>ヨウイ</t>
    </rPh>
    <rPh sb="46" eb="48">
      <t>タンイ</t>
    </rPh>
    <rPh sb="48" eb="49">
      <t>ア</t>
    </rPh>
    <rPh sb="51" eb="53">
      <t>ヒョウテン</t>
    </rPh>
    <rPh sb="53" eb="54">
      <t>スウ</t>
    </rPh>
    <rPh sb="55" eb="56">
      <t>モチ</t>
    </rPh>
    <rPh sb="58" eb="60">
      <t>メイカク</t>
    </rPh>
    <rPh sb="60" eb="62">
      <t>ヒョウカ</t>
    </rPh>
    <rPh sb="63" eb="64">
      <t>オコナ</t>
    </rPh>
    <rPh sb="67" eb="69">
      <t>ホセイ</t>
    </rPh>
    <rPh sb="69" eb="70">
      <t>チュウ</t>
    </rPh>
    <rPh sb="71" eb="73">
      <t>シヨウ</t>
    </rPh>
    <rPh sb="73" eb="75">
      <t>メンセキ</t>
    </rPh>
    <rPh sb="76" eb="78">
      <t>ハンエイ</t>
    </rPh>
    <rPh sb="81" eb="82">
      <t>カンガ</t>
    </rPh>
    <rPh sb="87" eb="90">
      <t>カイソウスウ</t>
    </rPh>
    <rPh sb="93" eb="95">
      <t>カイダカ</t>
    </rPh>
    <rPh sb="97" eb="100">
      <t>ジュウタクヨウ</t>
    </rPh>
    <rPh sb="102" eb="104">
      <t>ノキダカ</t>
    </rPh>
    <rPh sb="107" eb="109">
      <t>ヘキタイ</t>
    </rPh>
    <rPh sb="110" eb="112">
      <t>エンチョウ</t>
    </rPh>
    <rPh sb="115" eb="117">
      <t>カイコウ</t>
    </rPh>
    <rPh sb="117" eb="118">
      <t>リツ</t>
    </rPh>
    <rPh sb="120" eb="122">
      <t>ホセイ</t>
    </rPh>
    <rPh sb="123" eb="124">
      <t>オコナ</t>
    </rPh>
    <rPh sb="130" eb="132">
      <t>ヤネ</t>
    </rPh>
    <rPh sb="132" eb="134">
      <t>コウゾウ</t>
    </rPh>
    <rPh sb="135" eb="136">
      <t>ユカ</t>
    </rPh>
    <rPh sb="136" eb="138">
      <t>コウゾウ</t>
    </rPh>
    <rPh sb="139" eb="141">
      <t>キソ</t>
    </rPh>
    <rPh sb="142" eb="143">
      <t>フク</t>
    </rPh>
    <rPh sb="148" eb="150">
      <t>ベット</t>
    </rPh>
    <rPh sb="150" eb="152">
      <t>ケイジョウ</t>
    </rPh>
    <rPh sb="161" eb="163">
      <t>ガリョウ</t>
    </rPh>
    <rPh sb="164" eb="166">
      <t>キソ</t>
    </rPh>
    <rPh sb="173" eb="175">
      <t>コウゾウ</t>
    </rPh>
    <rPh sb="176" eb="177">
      <t>コト</t>
    </rPh>
    <rPh sb="181" eb="183">
      <t>シュタイ</t>
    </rPh>
    <rPh sb="183" eb="185">
      <t>コウゾウ</t>
    </rPh>
    <rPh sb="185" eb="186">
      <t>ブ</t>
    </rPh>
    <rPh sb="189" eb="191">
      <t>ガイシュウ</t>
    </rPh>
    <rPh sb="191" eb="192">
      <t>ヘキ</t>
    </rPh>
    <rPh sb="193" eb="196">
      <t>マジキリ</t>
    </rPh>
    <rPh sb="196" eb="198">
      <t>ホネグ</t>
    </rPh>
    <rPh sb="199" eb="201">
      <t>ヒョウテン</t>
    </rPh>
    <rPh sb="201" eb="203">
      <t>フセツ</t>
    </rPh>
    <rPh sb="208" eb="210">
      <t>テキトウ</t>
    </rPh>
    <phoneticPr fontId="22"/>
  </si>
  <si>
    <t>ｺﾝｸ
ﾘｰﾄ
ﾌﾛｯｸ</t>
    <phoneticPr fontId="22"/>
  </si>
  <si>
    <t>鉄筋
ｺﾝｸ
ﾘｰﾄ</t>
    <rPh sb="0" eb="2">
      <t>テッキン</t>
    </rPh>
    <phoneticPr fontId="8"/>
  </si>
  <si>
    <t>CB
基礎</t>
    <rPh sb="3" eb="5">
      <t>キソ</t>
    </rPh>
    <phoneticPr fontId="8"/>
  </si>
  <si>
    <t>RC
基礎</t>
    <rPh sb="3" eb="5">
      <t>キソ</t>
    </rPh>
    <phoneticPr fontId="8"/>
  </si>
  <si>
    <t>独立
基礎</t>
    <rPh sb="3" eb="5">
      <t>キソ</t>
    </rPh>
    <phoneticPr fontId="8"/>
  </si>
  <si>
    <t>※「鉄筋コンクリート」には基礎、床(最下階のスラブを除く）、屋根構造のｺﾝｸﾘｰﾄ・鉄筋を含む。→基礎工事では根伐のみ、床構造で最下階のスラブを評点付設すること。</t>
    <rPh sb="2" eb="4">
      <t>テッキン</t>
    </rPh>
    <rPh sb="13" eb="15">
      <t>キソ</t>
    </rPh>
    <rPh sb="16" eb="17">
      <t>ユカ</t>
    </rPh>
    <rPh sb="18" eb="19">
      <t>モット</t>
    </rPh>
    <rPh sb="19" eb="20">
      <t>シタ</t>
    </rPh>
    <rPh sb="20" eb="21">
      <t>カイ</t>
    </rPh>
    <rPh sb="26" eb="27">
      <t>ノゾ</t>
    </rPh>
    <rPh sb="30" eb="32">
      <t>ヤネ</t>
    </rPh>
    <rPh sb="32" eb="34">
      <t>コウゾウ</t>
    </rPh>
    <rPh sb="42" eb="44">
      <t>テッキン</t>
    </rPh>
    <rPh sb="45" eb="46">
      <t>フク</t>
    </rPh>
    <rPh sb="49" eb="51">
      <t>キソ</t>
    </rPh>
    <rPh sb="51" eb="53">
      <t>コウジ</t>
    </rPh>
    <rPh sb="55" eb="57">
      <t>ネギ</t>
    </rPh>
    <rPh sb="60" eb="61">
      <t>ユカ</t>
    </rPh>
    <rPh sb="61" eb="63">
      <t>コウゾウ</t>
    </rPh>
    <rPh sb="64" eb="65">
      <t>サイ</t>
    </rPh>
    <rPh sb="65" eb="66">
      <t>シタ</t>
    </rPh>
    <rPh sb="66" eb="67">
      <t>カイ</t>
    </rPh>
    <rPh sb="72" eb="74">
      <t>ヒョウテン</t>
    </rPh>
    <rPh sb="74" eb="76">
      <t>フセツ</t>
    </rPh>
    <phoneticPr fontId="22"/>
  </si>
  <si>
    <t>コンクリートブロック</t>
    <phoneticPr fontId="19"/>
  </si>
  <si>
    <t>ＲＣ・ＣＢが主体構造のものは、原則主体構造と異なる種類の壁のみが対象</t>
    <rPh sb="6" eb="8">
      <t>シュタイ</t>
    </rPh>
    <rPh sb="8" eb="10">
      <t>コウゾウ</t>
    </rPh>
    <rPh sb="15" eb="17">
      <t>ゲンソク</t>
    </rPh>
    <rPh sb="17" eb="19">
      <t>シュタイ</t>
    </rPh>
    <rPh sb="19" eb="21">
      <t>コウゾウ</t>
    </rPh>
    <rPh sb="22" eb="23">
      <t>コト</t>
    </rPh>
    <rPh sb="25" eb="27">
      <t>シュルイ</t>
    </rPh>
    <rPh sb="28" eb="29">
      <t>カベ</t>
    </rPh>
    <rPh sb="32" eb="34">
      <t>タイショウ</t>
    </rPh>
    <phoneticPr fontId="22"/>
  </si>
  <si>
    <t>Ｓ・ＬＧＳは、主体構造に間仕切を含まないので、同種の間仕切も対象にする</t>
    <rPh sb="7" eb="9">
      <t>シュタイ</t>
    </rPh>
    <rPh sb="9" eb="11">
      <t>コウゾウ</t>
    </rPh>
    <rPh sb="12" eb="15">
      <t>マジキ</t>
    </rPh>
    <rPh sb="16" eb="17">
      <t>フク</t>
    </rPh>
    <rPh sb="23" eb="25">
      <t>ドウシュ</t>
    </rPh>
    <rPh sb="26" eb="29">
      <t>マジキリ</t>
    </rPh>
    <rPh sb="30" eb="32">
      <t>タイショウ</t>
    </rPh>
    <phoneticPr fontId="22"/>
  </si>
  <si>
    <t>※基準上では、補正の設定がないが、基準解説により、特に必要ある場合は程度補正で対応します。</t>
    <rPh sb="1" eb="3">
      <t>キジュン</t>
    </rPh>
    <rPh sb="3" eb="4">
      <t>ジョウ</t>
    </rPh>
    <rPh sb="7" eb="9">
      <t>ホセイ</t>
    </rPh>
    <rPh sb="10" eb="12">
      <t>セッテイ</t>
    </rPh>
    <rPh sb="17" eb="19">
      <t>キジュン</t>
    </rPh>
    <rPh sb="19" eb="21">
      <t>カイセツ</t>
    </rPh>
    <rPh sb="25" eb="26">
      <t>トク</t>
    </rPh>
    <rPh sb="27" eb="29">
      <t>ヒツヨウ</t>
    </rPh>
    <rPh sb="31" eb="33">
      <t>バアイ</t>
    </rPh>
    <rPh sb="34" eb="36">
      <t>テイド</t>
    </rPh>
    <rPh sb="36" eb="38">
      <t>ホセイ</t>
    </rPh>
    <rPh sb="39" eb="41">
      <t>タイオウ</t>
    </rPh>
    <phoneticPr fontId="8"/>
  </si>
  <si>
    <t>　補正の欄に直接入力してください</t>
    <rPh sb="1" eb="3">
      <t>ホセイ</t>
    </rPh>
    <rPh sb="4" eb="5">
      <t>ラン</t>
    </rPh>
    <rPh sb="6" eb="8">
      <t>チョクセツ</t>
    </rPh>
    <rPh sb="8" eb="10">
      <t>ニュウリョク</t>
    </rPh>
    <phoneticPr fontId="8"/>
  </si>
  <si>
    <t>普通</t>
    <rPh sb="0" eb="2">
      <t>フツウ</t>
    </rPh>
    <phoneticPr fontId="8"/>
  </si>
  <si>
    <t>※総合シートの補助的に使う場合を考慮して、項目別、加算項目は、使用するもののみ（計算単位に入力したもののみ）表示するように変更してみました</t>
    <rPh sb="1" eb="3">
      <t>ソウゴウ</t>
    </rPh>
    <rPh sb="7" eb="10">
      <t>ホジョテキ</t>
    </rPh>
    <rPh sb="11" eb="12">
      <t>ツカ</t>
    </rPh>
    <rPh sb="13" eb="15">
      <t>バアイ</t>
    </rPh>
    <rPh sb="16" eb="18">
      <t>コウリョ</t>
    </rPh>
    <rPh sb="21" eb="23">
      <t>コウモク</t>
    </rPh>
    <rPh sb="23" eb="24">
      <t>ベツ</t>
    </rPh>
    <rPh sb="25" eb="27">
      <t>カサン</t>
    </rPh>
    <rPh sb="27" eb="29">
      <t>コウモク</t>
    </rPh>
    <rPh sb="31" eb="33">
      <t>シヨウ</t>
    </rPh>
    <rPh sb="40" eb="42">
      <t>ケイサン</t>
    </rPh>
    <rPh sb="42" eb="44">
      <t>タンイ</t>
    </rPh>
    <rPh sb="45" eb="47">
      <t>ニュウリョク</t>
    </rPh>
    <rPh sb="54" eb="56">
      <t>ヒョウジ</t>
    </rPh>
    <rPh sb="61" eb="63">
      <t>ヘンコウ</t>
    </rPh>
    <phoneticPr fontId="19"/>
  </si>
  <si>
    <t>※戸建住宅等で使用される配線・受信機のない火災報知器は評価の対象外（でいいですよね）</t>
    <rPh sb="1" eb="3">
      <t>コダテ</t>
    </rPh>
    <rPh sb="3" eb="5">
      <t>ジュウタク</t>
    </rPh>
    <rPh sb="5" eb="6">
      <t>トウ</t>
    </rPh>
    <rPh sb="7" eb="9">
      <t>シヨウ</t>
    </rPh>
    <rPh sb="12" eb="14">
      <t>ハイセン</t>
    </rPh>
    <rPh sb="15" eb="18">
      <t>ジュシンキ</t>
    </rPh>
    <rPh sb="21" eb="23">
      <t>カサイ</t>
    </rPh>
    <rPh sb="23" eb="26">
      <t>ホウチキ</t>
    </rPh>
    <rPh sb="27" eb="29">
      <t>ヒョウカ</t>
    </rPh>
    <rPh sb="30" eb="32">
      <t>タイショウ</t>
    </rPh>
    <rPh sb="32" eb="33">
      <t>ガイ</t>
    </rPh>
    <phoneticPr fontId="8"/>
  </si>
  <si>
    <t>※給湯器・給湯器（貯湯式）に係る配管の評価用（木造転用）</t>
    <rPh sb="1" eb="4">
      <t>キュウトウキ</t>
    </rPh>
    <rPh sb="5" eb="7">
      <t>キュウトウ</t>
    </rPh>
    <rPh sb="7" eb="8">
      <t>キ</t>
    </rPh>
    <rPh sb="9" eb="11">
      <t>チョトウ</t>
    </rPh>
    <rPh sb="11" eb="12">
      <t>シキ</t>
    </rPh>
    <rPh sb="14" eb="15">
      <t>カカ</t>
    </rPh>
    <rPh sb="16" eb="18">
      <t>ハイカン</t>
    </rPh>
    <rPh sb="19" eb="22">
      <t>ヒョウカヨウ</t>
    </rPh>
    <rPh sb="23" eb="25">
      <t>モクゾウ</t>
    </rPh>
    <rPh sb="25" eb="27">
      <t>テンヨウ</t>
    </rPh>
    <phoneticPr fontId="8"/>
  </si>
  <si>
    <t>※システムキッチン・洗面化粧台の戸棚は、それぞれの設備に含んでいるので、特殊設備では評価しないこと。</t>
    <rPh sb="10" eb="12">
      <t>センメン</t>
    </rPh>
    <rPh sb="12" eb="15">
      <t>ケショウダイ</t>
    </rPh>
    <rPh sb="16" eb="18">
      <t>トダナ</t>
    </rPh>
    <rPh sb="25" eb="27">
      <t>セツビ</t>
    </rPh>
    <rPh sb="28" eb="29">
      <t>フク</t>
    </rPh>
    <rPh sb="36" eb="38">
      <t>トクシュ</t>
    </rPh>
    <rPh sb="38" eb="40">
      <t>セツビ</t>
    </rPh>
    <rPh sb="42" eb="44">
      <t>ヒョウカ</t>
    </rPh>
    <phoneticPr fontId="8"/>
  </si>
  <si>
    <t>計算単位は台数ではなく「席数」です(例：３連椅子１組⇒３席）</t>
    <rPh sb="5" eb="7">
      <t>ダイスウ</t>
    </rPh>
    <phoneticPr fontId="8"/>
  </si>
  <si>
    <t>(口数)</t>
    <rPh sb="1" eb="2">
      <t>クチ</t>
    </rPh>
    <rPh sb="2" eb="3">
      <t>スウ</t>
    </rPh>
    <phoneticPr fontId="8"/>
  </si>
  <si>
    <t>メータボックス等のアングル戸程度のもの</t>
    <rPh sb="7" eb="8">
      <t>トウ</t>
    </rPh>
    <rPh sb="13" eb="14">
      <t>ド</t>
    </rPh>
    <rPh sb="14" eb="16">
      <t>テイド</t>
    </rPh>
    <phoneticPr fontId="8"/>
  </si>
  <si>
    <t>ハンドル等を用いて巻き上げ機を手動操作することにより開閉させる装置</t>
    <rPh sb="4" eb="5">
      <t>トウ</t>
    </rPh>
    <rPh sb="6" eb="7">
      <t>モチ</t>
    </rPh>
    <rPh sb="9" eb="10">
      <t>マ</t>
    </rPh>
    <rPh sb="11" eb="12">
      <t>ア</t>
    </rPh>
    <rPh sb="13" eb="14">
      <t>キ</t>
    </rPh>
    <rPh sb="15" eb="17">
      <t>シュドウ</t>
    </rPh>
    <rPh sb="17" eb="19">
      <t>ソウサ</t>
    </rPh>
    <rPh sb="26" eb="28">
      <t>カイヘイ</t>
    </rPh>
    <rPh sb="31" eb="33">
      <t>ソウチ</t>
    </rPh>
    <phoneticPr fontId="8"/>
  </si>
  <si>
    <t>ボタン等を操作することにより自動でシャッターを開閉するもの</t>
    <rPh sb="3" eb="4">
      <t>トウ</t>
    </rPh>
    <rPh sb="5" eb="7">
      <t>ソウサ</t>
    </rPh>
    <rPh sb="14" eb="16">
      <t>ジドウ</t>
    </rPh>
    <rPh sb="23" eb="25">
      <t>カイヘイ</t>
    </rPh>
    <phoneticPr fontId="8"/>
  </si>
  <si>
    <t>他用途の基準を流用</t>
    <rPh sb="0" eb="1">
      <t>ホカ</t>
    </rPh>
    <rPh sb="1" eb="3">
      <t>ヨウト</t>
    </rPh>
    <rPh sb="4" eb="6">
      <t>キジュン</t>
    </rPh>
    <rPh sb="7" eb="9">
      <t>リュウヨウ</t>
    </rPh>
    <phoneticPr fontId="8"/>
  </si>
  <si>
    <t>※LGSのみ設定あり、配管なしの評点ある給湯器を使用する場合に併せて評点付設するためそのまま転用</t>
    <rPh sb="6" eb="8">
      <t>セッテイ</t>
    </rPh>
    <rPh sb="11" eb="13">
      <t>ハイカン</t>
    </rPh>
    <rPh sb="16" eb="18">
      <t>ヒョウテン</t>
    </rPh>
    <rPh sb="20" eb="22">
      <t>キュウトウ</t>
    </rPh>
    <rPh sb="22" eb="23">
      <t>キ</t>
    </rPh>
    <rPh sb="24" eb="26">
      <t>シヨウ</t>
    </rPh>
    <rPh sb="28" eb="30">
      <t>バアイ</t>
    </rPh>
    <rPh sb="31" eb="32">
      <t>アワ</t>
    </rPh>
    <rPh sb="34" eb="36">
      <t>ヒョウテン</t>
    </rPh>
    <rPh sb="36" eb="38">
      <t>フセツ</t>
    </rPh>
    <rPh sb="46" eb="48">
      <t>テンヨウ</t>
    </rPh>
    <phoneticPr fontId="8"/>
  </si>
  <si>
    <t>※適用基準の病・ホ、劇場はＬＧＳ以外の建物に使用(ＬＧＳの場合は事・店・百とする）</t>
    <rPh sb="1" eb="3">
      <t>テキヨウ</t>
    </rPh>
    <rPh sb="3" eb="5">
      <t>キジュン</t>
    </rPh>
    <rPh sb="6" eb="7">
      <t>ビョウ</t>
    </rPh>
    <rPh sb="10" eb="12">
      <t>ゲキジョウ</t>
    </rPh>
    <rPh sb="16" eb="18">
      <t>イガイ</t>
    </rPh>
    <rPh sb="19" eb="21">
      <t>タテモノ</t>
    </rPh>
    <rPh sb="22" eb="24">
      <t>シヨウ</t>
    </rPh>
    <rPh sb="29" eb="31">
      <t>バアイ</t>
    </rPh>
    <rPh sb="32" eb="33">
      <t>ジ</t>
    </rPh>
    <rPh sb="34" eb="35">
      <t>ミセ</t>
    </rPh>
    <rPh sb="36" eb="37">
      <t>ヒャク</t>
    </rPh>
    <phoneticPr fontId="22"/>
  </si>
  <si>
    <t>※Q&amp;Aの記載による補正です。
ステップ幅が極端に狭いなど、特に補正の必要がある場合に適宜入力してください。</t>
    <rPh sb="5" eb="7">
      <t>キサイ</t>
    </rPh>
    <rPh sb="10" eb="12">
      <t>ホセイ</t>
    </rPh>
    <rPh sb="20" eb="21">
      <t>ハバ</t>
    </rPh>
    <rPh sb="22" eb="24">
      <t>キョクタン</t>
    </rPh>
    <rPh sb="25" eb="26">
      <t>セマ</t>
    </rPh>
    <rPh sb="30" eb="31">
      <t>トク</t>
    </rPh>
    <rPh sb="32" eb="34">
      <t>ホセイ</t>
    </rPh>
    <rPh sb="35" eb="37">
      <t>ヒツヨウ</t>
    </rPh>
    <rPh sb="40" eb="42">
      <t>バアイ</t>
    </rPh>
    <rPh sb="43" eb="45">
      <t>テキギ</t>
    </rPh>
    <rPh sb="45" eb="47">
      <t>ニュウリョク</t>
    </rPh>
    <phoneticPr fontId="8"/>
  </si>
  <si>
    <t>黒又はウルミ枠　和襖　新鳥の子</t>
    <phoneticPr fontId="8"/>
  </si>
  <si>
    <t>カシュー又は目はじき枠　片面　新鳥の子</t>
    <phoneticPr fontId="8"/>
  </si>
  <si>
    <t xml:space="preserve">㎡
</t>
    <phoneticPr fontId="8"/>
  </si>
  <si>
    <t xml:space="preserve">ｋW
</t>
    <phoneticPr fontId="8"/>
  </si>
  <si>
    <t>複数の既製杭を継ぎ足して施工しているものについては、一本の継ぎ足した全長の杭として扱う</t>
    <rPh sb="0" eb="2">
      <t>フクスウ</t>
    </rPh>
    <rPh sb="3" eb="5">
      <t>キセイ</t>
    </rPh>
    <rPh sb="5" eb="6">
      <t>クイ</t>
    </rPh>
    <rPh sb="7" eb="8">
      <t>ツ</t>
    </rPh>
    <rPh sb="9" eb="10">
      <t>タ</t>
    </rPh>
    <rPh sb="12" eb="14">
      <t>セコウ</t>
    </rPh>
    <rPh sb="26" eb="28">
      <t>イッポン</t>
    </rPh>
    <rPh sb="29" eb="30">
      <t>ツ</t>
    </rPh>
    <rPh sb="31" eb="32">
      <t>タ</t>
    </rPh>
    <rPh sb="34" eb="36">
      <t>ゼンチョウ</t>
    </rPh>
    <rPh sb="37" eb="38">
      <t>クイ</t>
    </rPh>
    <rPh sb="41" eb="42">
      <t>アツカ</t>
    </rPh>
    <phoneticPr fontId="22"/>
  </si>
  <si>
    <t>防火区画のSDのほか、一般の鋼製扉全般に適用する（下記のアングル戸を除く）</t>
    <rPh sb="0" eb="2">
      <t>ボウカ</t>
    </rPh>
    <rPh sb="2" eb="4">
      <t>クカク</t>
    </rPh>
    <rPh sb="11" eb="13">
      <t>イッパン</t>
    </rPh>
    <rPh sb="14" eb="16">
      <t>コウセイ</t>
    </rPh>
    <rPh sb="16" eb="17">
      <t>トビラ</t>
    </rPh>
    <rPh sb="17" eb="19">
      <t>ゼンパン</t>
    </rPh>
    <rPh sb="20" eb="22">
      <t>テキヨウ</t>
    </rPh>
    <rPh sb="25" eb="27">
      <t>カキ</t>
    </rPh>
    <rPh sb="32" eb="33">
      <t>ド</t>
    </rPh>
    <rPh sb="34" eb="35">
      <t>ノゾ</t>
    </rPh>
    <phoneticPr fontId="8"/>
  </si>
  <si>
    <t>親子開き：住宅用の玄関扉（　〃　）</t>
    <phoneticPr fontId="8"/>
  </si>
  <si>
    <t>片開き：住宅用の玄関扉（　〃　）</t>
    <phoneticPr fontId="8"/>
  </si>
  <si>
    <t>塗装亜鉛メッキ鋼板のうち装飾的なものを平板、それ以外は波板（H27基準三所合意事項）</t>
    <rPh sb="0" eb="2">
      <t>トソウ</t>
    </rPh>
    <rPh sb="2" eb="4">
      <t>アエン</t>
    </rPh>
    <rPh sb="7" eb="9">
      <t>コウハン</t>
    </rPh>
    <rPh sb="12" eb="15">
      <t>ソウショクテキ</t>
    </rPh>
    <rPh sb="19" eb="21">
      <t>ヘイバン</t>
    </rPh>
    <rPh sb="24" eb="26">
      <t>イガイ</t>
    </rPh>
    <rPh sb="27" eb="29">
      <t>ナミイタ</t>
    </rPh>
    <rPh sb="33" eb="35">
      <t>キジュン</t>
    </rPh>
    <rPh sb="35" eb="36">
      <t>サン</t>
    </rPh>
    <rPh sb="36" eb="37">
      <t>ショ</t>
    </rPh>
    <rPh sb="37" eb="39">
      <t>ゴウイ</t>
    </rPh>
    <rPh sb="39" eb="41">
      <t>ジコウ</t>
    </rPh>
    <phoneticPr fontId="22"/>
  </si>
  <si>
    <t>　</t>
    <phoneticPr fontId="19"/>
  </si>
  <si>
    <t>※住宅用二重床には表面の仕上材は含まないので別途加算すること</t>
    <rPh sb="1" eb="4">
      <t>ジュウタクヨウ</t>
    </rPh>
    <rPh sb="4" eb="6">
      <t>ニジュウ</t>
    </rPh>
    <rPh sb="6" eb="7">
      <t>ユカ</t>
    </rPh>
    <rPh sb="9" eb="11">
      <t>ヒョウメン</t>
    </rPh>
    <rPh sb="12" eb="14">
      <t>シア</t>
    </rPh>
    <rPh sb="14" eb="15">
      <t>ザイ</t>
    </rPh>
    <rPh sb="16" eb="17">
      <t>フク</t>
    </rPh>
    <rPh sb="22" eb="24">
      <t>ベット</t>
    </rPh>
    <rPh sb="24" eb="26">
      <t>カサン</t>
    </rPh>
    <phoneticPr fontId="22"/>
  </si>
  <si>
    <t>塗装亜鉛メッキ鋼板のうち折板以外の瓦棒・横葺・波板は平板で計上（H27基準三所合意事項）</t>
    <rPh sb="0" eb="2">
      <t>トソウ</t>
    </rPh>
    <rPh sb="2" eb="4">
      <t>アエン</t>
    </rPh>
    <rPh sb="7" eb="9">
      <t>コウハン</t>
    </rPh>
    <rPh sb="12" eb="13">
      <t>オリ</t>
    </rPh>
    <rPh sb="13" eb="14">
      <t>イタ</t>
    </rPh>
    <rPh sb="14" eb="16">
      <t>イガイ</t>
    </rPh>
    <rPh sb="17" eb="19">
      <t>カワラボウ</t>
    </rPh>
    <rPh sb="20" eb="21">
      <t>ヨコ</t>
    </rPh>
    <rPh sb="21" eb="22">
      <t>ブキ</t>
    </rPh>
    <rPh sb="23" eb="25">
      <t>ナミイタ</t>
    </rPh>
    <rPh sb="26" eb="28">
      <t>ヘイバン</t>
    </rPh>
    <rPh sb="29" eb="31">
      <t>ケイジョウ</t>
    </rPh>
    <rPh sb="35" eb="37">
      <t>キジュン</t>
    </rPh>
    <rPh sb="37" eb="38">
      <t>サン</t>
    </rPh>
    <rPh sb="38" eb="39">
      <t>ショ</t>
    </rPh>
    <rPh sb="39" eb="41">
      <t>ゴウイ</t>
    </rPh>
    <rPh sb="41" eb="43">
      <t>ジコウ</t>
    </rPh>
    <phoneticPr fontId="22"/>
  </si>
  <si>
    <t>亜鉛メッキ鋼板のうち折板以外の瓦棒・横葺・波板は平板で計上（H27基準三所合意事項）</t>
    <rPh sb="0" eb="2">
      <t>アエン</t>
    </rPh>
    <rPh sb="5" eb="7">
      <t>コウハン</t>
    </rPh>
    <rPh sb="10" eb="11">
      <t>オリ</t>
    </rPh>
    <rPh sb="11" eb="12">
      <t>イタ</t>
    </rPh>
    <rPh sb="12" eb="14">
      <t>イガイ</t>
    </rPh>
    <rPh sb="15" eb="17">
      <t>カワラボウ</t>
    </rPh>
    <rPh sb="18" eb="19">
      <t>ヨコ</t>
    </rPh>
    <rPh sb="19" eb="20">
      <t>ブキ</t>
    </rPh>
    <rPh sb="21" eb="23">
      <t>ナミイタ</t>
    </rPh>
    <rPh sb="24" eb="26">
      <t>ヘイバン</t>
    </rPh>
    <rPh sb="27" eb="29">
      <t>ケイジョウ</t>
    </rPh>
    <rPh sb="33" eb="35">
      <t>キジュン</t>
    </rPh>
    <rPh sb="35" eb="36">
      <t>サン</t>
    </rPh>
    <rPh sb="36" eb="37">
      <t>ショ</t>
    </rPh>
    <rPh sb="37" eb="39">
      <t>ゴウイ</t>
    </rPh>
    <rPh sb="39" eb="41">
      <t>ジコウ</t>
    </rPh>
    <phoneticPr fontId="22"/>
  </si>
  <si>
    <t>鋼製パネル（２４基準の 既成間仕切）※可動式のもの）</t>
    <rPh sb="0" eb="1">
      <t>コウ</t>
    </rPh>
    <rPh sb="19" eb="22">
      <t>カドウシキ</t>
    </rPh>
    <phoneticPr fontId="8"/>
  </si>
  <si>
    <t>樹脂板または型板ガラス（２４基準の 既成間仕切）※可動式のもの</t>
    <rPh sb="0" eb="2">
      <t>ジュシ</t>
    </rPh>
    <rPh sb="25" eb="28">
      <t>カドウシキ</t>
    </rPh>
    <phoneticPr fontId="8"/>
  </si>
  <si>
    <t>木製扉（２４基準の 既成間仕切）※可動式のもの</t>
    <rPh sb="0" eb="2">
      <t>モクセイ</t>
    </rPh>
    <rPh sb="17" eb="20">
      <t>カドウシキ</t>
    </rPh>
    <phoneticPr fontId="8"/>
  </si>
  <si>
    <t>固定パネル（２４基準の 既成間仕切）※固定式のものは材質を問わず並とする。上端が、天井・下がり壁に届かない衝立程度のものは対象としない</t>
    <rPh sb="19" eb="21">
      <t>コテイ</t>
    </rPh>
    <rPh sb="21" eb="22">
      <t>シキ</t>
    </rPh>
    <rPh sb="26" eb="28">
      <t>ザイシツ</t>
    </rPh>
    <rPh sb="29" eb="30">
      <t>ト</t>
    </rPh>
    <rPh sb="32" eb="33">
      <t>ナミ</t>
    </rPh>
    <rPh sb="37" eb="39">
      <t>ジョウタン</t>
    </rPh>
    <rPh sb="41" eb="43">
      <t>テンジョウ</t>
    </rPh>
    <rPh sb="44" eb="45">
      <t>サ</t>
    </rPh>
    <rPh sb="47" eb="48">
      <t>カベ</t>
    </rPh>
    <rPh sb="49" eb="50">
      <t>トド</t>
    </rPh>
    <rPh sb="53" eb="55">
      <t>ツイタテ</t>
    </rPh>
    <rPh sb="55" eb="57">
      <t>テイド</t>
    </rPh>
    <rPh sb="61" eb="63">
      <t>タイショウ</t>
    </rPh>
    <phoneticPr fontId="8"/>
  </si>
  <si>
    <t>ガラス・ガラリ付のポリエステル合板戸（※三所合意により、フラッシュ戸はガラス・ガラリがなく、ポリエステル以外の合成樹脂被覆の場合も中とする）</t>
    <rPh sb="20" eb="21">
      <t>サン</t>
    </rPh>
    <rPh sb="21" eb="22">
      <t>ショ</t>
    </rPh>
    <rPh sb="22" eb="24">
      <t>ゴウイ</t>
    </rPh>
    <rPh sb="33" eb="34">
      <t>ド</t>
    </rPh>
    <rPh sb="52" eb="54">
      <t>イガイ</t>
    </rPh>
    <rPh sb="55" eb="57">
      <t>ゴウセイ</t>
    </rPh>
    <rPh sb="57" eb="59">
      <t>ジュシ</t>
    </rPh>
    <rPh sb="59" eb="61">
      <t>ヒフク</t>
    </rPh>
    <rPh sb="62" eb="64">
      <t>バアイ</t>
    </rPh>
    <rPh sb="65" eb="66">
      <t>チュウ</t>
    </rPh>
    <phoneticPr fontId="8"/>
  </si>
  <si>
    <t>プリント合板戸（※三所合意により、化粧紙貼り程度までとする）</t>
    <rPh sb="9" eb="10">
      <t>サン</t>
    </rPh>
    <rPh sb="10" eb="11">
      <t>ショ</t>
    </rPh>
    <rPh sb="11" eb="13">
      <t>ゴウイ</t>
    </rPh>
    <rPh sb="17" eb="19">
      <t>ケショウ</t>
    </rPh>
    <rPh sb="19" eb="20">
      <t>カミ</t>
    </rPh>
    <rPh sb="20" eb="21">
      <t>ハ</t>
    </rPh>
    <rPh sb="22" eb="24">
      <t>テイド</t>
    </rPh>
    <phoneticPr fontId="8"/>
  </si>
  <si>
    <t>かまち戸（※框戸のうち鏡板が木製のもの（三所合意事項））</t>
    <phoneticPr fontId="8"/>
  </si>
  <si>
    <t>フラッシュ戸。ｽﾃﾝﾚｽ製：標準のｱﾙﾐ製扉を1.4補正（※フラッシュ戸については、一部にガラスはめ込みがあっても「並」とする。（三所合意事項））</t>
    <rPh sb="65" eb="66">
      <t>サン</t>
    </rPh>
    <rPh sb="66" eb="67">
      <t>ショ</t>
    </rPh>
    <rPh sb="67" eb="69">
      <t>ゴウイ</t>
    </rPh>
    <rPh sb="69" eb="71">
      <t>ジコウ</t>
    </rPh>
    <phoneticPr fontId="8"/>
  </si>
  <si>
    <t>全面ガラス扉。ｽﾃﾝﾚｽ製：標準のｱﾙﾐ製扉を1.4補正（※框戸は、全面ガラスはめ込みのものが「上」、下半分がアルミパネルのものは「中」とする。（三所合意事項））</t>
    <rPh sb="21" eb="22">
      <t>トビラ</t>
    </rPh>
    <rPh sb="73" eb="79">
      <t>サンショゴウイジコウ</t>
    </rPh>
    <phoneticPr fontId="8"/>
  </si>
  <si>
    <t>全面ガラス扉（※框戸は、全面ガラスはめ込みのものが「上」、下半分がアルミパネルのものは「中」とする。（三所合意事項））</t>
    <phoneticPr fontId="8"/>
  </si>
  <si>
    <t>フラッシュ戸（※フラッシュ戸については、一部にガラスはめ込みがあっても「並」とする。（三所合意事項））</t>
    <phoneticPr fontId="8"/>
  </si>
  <si>
    <t>引違雨戸サッシ（※三所合意事項により、ガラリ戸は雨戸サッシ相当とする）</t>
    <rPh sb="9" eb="10">
      <t>サン</t>
    </rPh>
    <rPh sb="10" eb="11">
      <t>ショ</t>
    </rPh>
    <rPh sb="11" eb="13">
      <t>ゴウイ</t>
    </rPh>
    <rPh sb="13" eb="15">
      <t>ジコウ</t>
    </rPh>
    <rPh sb="22" eb="23">
      <t>ド</t>
    </rPh>
    <rPh sb="24" eb="26">
      <t>アマド</t>
    </rPh>
    <rPh sb="29" eb="31">
      <t>ソウトウ</t>
    </rPh>
    <phoneticPr fontId="8"/>
  </si>
  <si>
    <t>ﾃﾞｯｷﾌﾟﾚｰﾄ1.6㎜厚（ｔ）</t>
    <phoneticPr fontId="22"/>
  </si>
  <si>
    <t>※給湯能力を、以下のうちいずれか一つの単位で入力(２つ以上入力すると上にあるものが使われます）</t>
    <rPh sb="1" eb="3">
      <t>キュウトウ</t>
    </rPh>
    <rPh sb="3" eb="5">
      <t>ノウリョク</t>
    </rPh>
    <rPh sb="7" eb="9">
      <t>イカ</t>
    </rPh>
    <rPh sb="16" eb="17">
      <t>ヒト</t>
    </rPh>
    <rPh sb="19" eb="21">
      <t>タンイ</t>
    </rPh>
    <rPh sb="22" eb="24">
      <t>ニュウリョク</t>
    </rPh>
    <rPh sb="27" eb="29">
      <t>イジョウ</t>
    </rPh>
    <rPh sb="29" eb="31">
      <t>ニュウリョク</t>
    </rPh>
    <rPh sb="34" eb="35">
      <t>ウエ</t>
    </rPh>
    <rPh sb="41" eb="42">
      <t>ツカ</t>
    </rPh>
    <phoneticPr fontId="8"/>
  </si>
  <si>
    <t>減点補正のうえ、２倍の面積（２枚分として）を計上・・・・枚数×２で入力</t>
    <rPh sb="0" eb="2">
      <t>ゲンテン</t>
    </rPh>
    <rPh sb="2" eb="4">
      <t>ホセイ</t>
    </rPh>
    <rPh sb="9" eb="10">
      <t>バイ</t>
    </rPh>
    <rPh sb="11" eb="13">
      <t>メンセキ</t>
    </rPh>
    <rPh sb="15" eb="17">
      <t>マイブン</t>
    </rPh>
    <rPh sb="22" eb="24">
      <t>ケイジョウ</t>
    </rPh>
    <rPh sb="28" eb="30">
      <t>マイスウ</t>
    </rPh>
    <rPh sb="33" eb="35">
      <t>ニュウリョク</t>
    </rPh>
    <phoneticPr fontId="8"/>
  </si>
  <si>
    <t>ｼｬｯﾀｰ（軽量～ｵｰﾊﾞｰﾍｯﾄﾞﾄﾞｱ）は、開閉装置抜の点数。開閉装置は別途、
・手動：手動の巻き上げ機等のあるもの
・電動：電動の巻き上げ機等のあるもの
を1箇所につき１つ加算。（装置の無い直接手で動かすものは加算しない）
また、これらについてはｽﾁｰﾙ製想定のため、ｱﾙﾐ製1.2、ｽﾃﾝﾚｽ製1.7の種類補正をする（ｸﾞﾗｽﾌｧｲﾊﾞｰ製もｱﾙﾐ相当）こと。</t>
    <rPh sb="6" eb="8">
      <t>ケイリョウ</t>
    </rPh>
    <rPh sb="24" eb="26">
      <t>カイヘイ</t>
    </rPh>
    <rPh sb="26" eb="28">
      <t>ソウチ</t>
    </rPh>
    <rPh sb="28" eb="29">
      <t>ヌ</t>
    </rPh>
    <rPh sb="30" eb="32">
      <t>テンスウ</t>
    </rPh>
    <rPh sb="33" eb="35">
      <t>カイヘイ</t>
    </rPh>
    <rPh sb="35" eb="37">
      <t>ソウチ</t>
    </rPh>
    <rPh sb="38" eb="40">
      <t>ベット</t>
    </rPh>
    <rPh sb="43" eb="45">
      <t>シュドウ</t>
    </rPh>
    <rPh sb="46" eb="48">
      <t>シュドウ</t>
    </rPh>
    <rPh sb="49" eb="50">
      <t>マ</t>
    </rPh>
    <rPh sb="51" eb="52">
      <t>ア</t>
    </rPh>
    <rPh sb="53" eb="54">
      <t>キ</t>
    </rPh>
    <rPh sb="54" eb="55">
      <t>トウ</t>
    </rPh>
    <rPh sb="62" eb="64">
      <t>デンドウ</t>
    </rPh>
    <rPh sb="65" eb="67">
      <t>デンドウ</t>
    </rPh>
    <rPh sb="68" eb="69">
      <t>マ</t>
    </rPh>
    <rPh sb="70" eb="71">
      <t>ア</t>
    </rPh>
    <rPh sb="72" eb="73">
      <t>キ</t>
    </rPh>
    <rPh sb="73" eb="74">
      <t>トウ</t>
    </rPh>
    <rPh sb="82" eb="84">
      <t>カショ</t>
    </rPh>
    <rPh sb="89" eb="91">
      <t>カサン</t>
    </rPh>
    <rPh sb="93" eb="95">
      <t>ソウチ</t>
    </rPh>
    <rPh sb="96" eb="97">
      <t>ナ</t>
    </rPh>
    <rPh sb="98" eb="100">
      <t>チョクセツ</t>
    </rPh>
    <rPh sb="100" eb="101">
      <t>テ</t>
    </rPh>
    <rPh sb="102" eb="103">
      <t>ウゴ</t>
    </rPh>
    <rPh sb="108" eb="110">
      <t>カサン</t>
    </rPh>
    <rPh sb="173" eb="174">
      <t>セイ</t>
    </rPh>
    <rPh sb="178" eb="180">
      <t>ソウトウ</t>
    </rPh>
    <phoneticPr fontId="8"/>
  </si>
  <si>
    <t>空調設備</t>
    <rPh sb="0" eb="2">
      <t>クウチョウ</t>
    </rPh>
    <rPh sb="2" eb="4">
      <t>セツビ</t>
    </rPh>
    <phoneticPr fontId="8"/>
  </si>
  <si>
    <t>防災設備</t>
    <rPh sb="0" eb="2">
      <t>ボウサイ</t>
    </rPh>
    <rPh sb="2" eb="4">
      <t>セツビ</t>
    </rPh>
    <phoneticPr fontId="8"/>
  </si>
  <si>
    <t xml:space="preserve">CB造以外の主体構造(不明確）には、主体構造と同種の屋根構造を含むため、屋根構造が主体と異種のものの場合は、主体構造と同種の構造を控除（建床面積×標準量をマイナス計上)したうえで、屋根構造を計上すること。
</t>
    <rPh sb="2" eb="3">
      <t>ゾウ</t>
    </rPh>
    <rPh sb="3" eb="5">
      <t>イガイ</t>
    </rPh>
    <rPh sb="6" eb="8">
      <t>シュタイ</t>
    </rPh>
    <rPh sb="8" eb="10">
      <t>コウゾウ</t>
    </rPh>
    <rPh sb="11" eb="14">
      <t>フメイカク</t>
    </rPh>
    <rPh sb="18" eb="20">
      <t>シュタイ</t>
    </rPh>
    <rPh sb="20" eb="22">
      <t>コウゾウ</t>
    </rPh>
    <rPh sb="23" eb="25">
      <t>ドウシュ</t>
    </rPh>
    <rPh sb="26" eb="28">
      <t>ヤネ</t>
    </rPh>
    <rPh sb="28" eb="30">
      <t>コウゾウ</t>
    </rPh>
    <rPh sb="31" eb="32">
      <t>フク</t>
    </rPh>
    <rPh sb="36" eb="38">
      <t>ヤネ</t>
    </rPh>
    <rPh sb="38" eb="40">
      <t>コウゾウ</t>
    </rPh>
    <rPh sb="50" eb="52">
      <t>バアイ</t>
    </rPh>
    <rPh sb="54" eb="56">
      <t>シュタイ</t>
    </rPh>
    <rPh sb="56" eb="58">
      <t>コウゾウ</t>
    </rPh>
    <rPh sb="59" eb="61">
      <t>ドウシュ</t>
    </rPh>
    <rPh sb="62" eb="64">
      <t>コウゾウ</t>
    </rPh>
    <rPh sb="65" eb="67">
      <t>コウジョ</t>
    </rPh>
    <rPh sb="68" eb="69">
      <t>タテ</t>
    </rPh>
    <rPh sb="69" eb="70">
      <t>ユカ</t>
    </rPh>
    <rPh sb="70" eb="72">
      <t>メンセキ</t>
    </rPh>
    <rPh sb="73" eb="75">
      <t>ヒョウジュン</t>
    </rPh>
    <rPh sb="75" eb="76">
      <t>リョウ</t>
    </rPh>
    <rPh sb="81" eb="83">
      <t>ケイジョウ</t>
    </rPh>
    <rPh sb="90" eb="92">
      <t>ヤネ</t>
    </rPh>
    <rPh sb="92" eb="94">
      <t>コウゾウ</t>
    </rPh>
    <rPh sb="95" eb="97">
      <t>ケイジョウ</t>
    </rPh>
    <phoneticPr fontId="22"/>
  </si>
  <si>
    <t>+</t>
    <phoneticPr fontId="8"/>
  </si>
  <si>
    <t>鉄筋コンクリート造（工場・倉庫・市場用）</t>
  </si>
  <si>
    <t>鉄筋コンクリート造（その他）</t>
  </si>
  <si>
    <t>気泡コンクリート板150㎜厚</t>
  </si>
  <si>
    <t>気泡コンクリート板125㎜厚</t>
  </si>
  <si>
    <t>気泡コンクリート板100㎜厚</t>
  </si>
  <si>
    <t>気泡コンクリート板75㎜厚</t>
  </si>
  <si>
    <t>プレキャストコンクリート板100㎜厚</t>
  </si>
  <si>
    <t>プレキャストコンクリート板40㎜厚(リブ付)</t>
  </si>
  <si>
    <t>デッキプレート1.6㎜厚</t>
  </si>
  <si>
    <t>デッキプレート1.2㎜厚</t>
  </si>
  <si>
    <t>デッキプレート1.0㎜厚</t>
  </si>
  <si>
    <t>フラットデッキ1.2㎜厚</t>
  </si>
  <si>
    <t>フラットデッキ0.8㎜厚</t>
  </si>
  <si>
    <t>勾配屋根鉄骨造</t>
  </si>
  <si>
    <t>勾配屋根軽量鉄骨造</t>
  </si>
  <si>
    <t>勾配屋根木造</t>
  </si>
  <si>
    <t>土間コンクリート打</t>
  </si>
  <si>
    <t>コンクリートブロック造150㎜厚</t>
  </si>
  <si>
    <t>コンクリートブロック造100㎜厚</t>
  </si>
  <si>
    <t>軽量鉄骨造100㎜厚（現場組のもの）</t>
  </si>
  <si>
    <t>軽量鉄骨造65㎜厚（既製のもの）</t>
  </si>
  <si>
    <t>鉄筋コンクリート造120㎜厚</t>
  </si>
  <si>
    <t>気泡コンクリート板50㎜厚</t>
  </si>
  <si>
    <t>プレキャストコンクリート板40㎜厚（リブ付）</t>
  </si>
  <si>
    <t>押出成型セメント板60㎜厚</t>
  </si>
  <si>
    <t>押出成型セメント板50㎜厚</t>
  </si>
  <si>
    <t>化粧コンクリートブロック積み190㎜厚</t>
  </si>
  <si>
    <t>化粧コンクリートブロック積み120㎜厚</t>
  </si>
  <si>
    <t>木製パネル断熱材あり</t>
  </si>
  <si>
    <t>木製パネル断熱材なし</t>
  </si>
  <si>
    <t>石膏ボード間仕切上</t>
  </si>
  <si>
    <t>石膏ボード間仕切並</t>
  </si>
  <si>
    <t>石材系仕上特</t>
  </si>
  <si>
    <t>石材系仕上上</t>
  </si>
  <si>
    <t>石材系仕上中</t>
  </si>
  <si>
    <t>石材系仕上並</t>
  </si>
  <si>
    <t>コンクリート打放上</t>
  </si>
  <si>
    <t>コンクリート打放並</t>
  </si>
  <si>
    <t>外装タイル二丁掛</t>
  </si>
  <si>
    <t>外装タイルモザイクタイル</t>
  </si>
  <si>
    <t>鋼板塗装亜鉛めっき鋼板平板</t>
  </si>
  <si>
    <t>鋼板ほうろう鋼板</t>
  </si>
  <si>
    <t>鋼板塩化ビニル樹脂被覆鋼板</t>
  </si>
  <si>
    <t>鋼板プリント鋼板</t>
  </si>
  <si>
    <t>ステンレス板</t>
  </si>
  <si>
    <t>アルミニウム板</t>
  </si>
  <si>
    <t>金属複合板</t>
  </si>
  <si>
    <t>繊維強化セメント板スレートボード</t>
  </si>
  <si>
    <t>繊維強化セメント板化粧スレートボード</t>
  </si>
  <si>
    <t>繊維強化セメント板スレート波板</t>
  </si>
  <si>
    <t>硬質木片セメント板</t>
  </si>
  <si>
    <t>合成樹脂板塩化ビニル</t>
  </si>
  <si>
    <t>合成樹脂板アクリル</t>
  </si>
  <si>
    <t>合成樹脂板ポリカーボネート</t>
  </si>
  <si>
    <t>サイディング</t>
  </si>
  <si>
    <t>カーテンウォールＰＣ系形状が複雑なサッシ組込みのもの</t>
  </si>
  <si>
    <t>カーテンウォールＰＣ系フラットなサッシ組込のもの</t>
  </si>
  <si>
    <t>カーテンウォールＰＣ系フラットなパネルのもの</t>
  </si>
  <si>
    <t>結晶化ガラス</t>
  </si>
  <si>
    <t>膜材料上</t>
  </si>
  <si>
    <t>膜材料並</t>
  </si>
  <si>
    <t>モルタル(RCﾌﾟﾚ)</t>
  </si>
  <si>
    <t>外装タイル二丁掛(RCﾌﾟﾚ)</t>
  </si>
  <si>
    <t>外装タイルモザイクタイル(RCﾌﾟﾚ)</t>
  </si>
  <si>
    <t>鋼板プリント鋼板(RCﾌﾟﾚ)</t>
  </si>
  <si>
    <t>アルミニウム板平板(RCﾌﾟﾚ)</t>
  </si>
  <si>
    <t>繊維強化セメント板スレートボード(RCﾌﾟﾚ)</t>
  </si>
  <si>
    <t>繊維強化セメント板化粧スレートボード(RCﾌﾟﾚ)</t>
  </si>
  <si>
    <t>塗り壁</t>
  </si>
  <si>
    <t>内装タイル中</t>
  </si>
  <si>
    <t>内装タイル小</t>
  </si>
  <si>
    <t>鋼板塗装亜鉛めっき鋼板</t>
  </si>
  <si>
    <t>アルミニウム板平板</t>
  </si>
  <si>
    <t>アルミニウム板吸音板</t>
  </si>
  <si>
    <t>繊維強化セメント板珪酸カルシウム板</t>
  </si>
  <si>
    <t>木毛セメント板普通板</t>
  </si>
  <si>
    <t>木毛セメント板化粧板</t>
  </si>
  <si>
    <t>石膏ボード普通板</t>
  </si>
  <si>
    <t>石膏ボードＧＬ工法</t>
  </si>
  <si>
    <t>木質系壁仕上上</t>
  </si>
  <si>
    <t>木質系壁仕上中</t>
  </si>
  <si>
    <t>木質系壁仕上並</t>
  </si>
  <si>
    <t>鉛石膏ボード2㎜厚</t>
  </si>
  <si>
    <t>鉛石膏ボード1㎜厚</t>
  </si>
  <si>
    <t>クロス貼上</t>
  </si>
  <si>
    <t>クロス貼中</t>
  </si>
  <si>
    <t>クロス貼並</t>
  </si>
  <si>
    <t>塗り壁(RCﾌﾟﾚ)</t>
  </si>
  <si>
    <t>内装タイル中(RCﾌﾟﾚ)</t>
  </si>
  <si>
    <t>内装タイル小(RCﾌﾟﾚ)</t>
  </si>
  <si>
    <t>鋼板塗装亜鉛めっき鋼板(RCﾌﾟﾚ)</t>
  </si>
  <si>
    <t>ステンレス板(RCﾌﾟﾚ)</t>
  </si>
  <si>
    <t>繊維強化セメント板珪酸カルシウム板(RCﾌﾟﾚ)</t>
  </si>
  <si>
    <t>繊維強化セメント板化粧珪酸カルシウム板(RCﾌﾟﾚ)</t>
  </si>
  <si>
    <t>合成樹脂板塩化ビニル(RCﾌﾟﾚ)</t>
  </si>
  <si>
    <t>合成樹脂板アクリル(RCﾌﾟﾚ)</t>
  </si>
  <si>
    <t>合成樹脂板ポリカーボネート(RCﾌﾟﾚ)</t>
  </si>
  <si>
    <t>硬質木片セメント板(RCﾌﾟﾚ)</t>
  </si>
  <si>
    <t>石膏ボード普通板(RCﾌﾟﾚ)</t>
  </si>
  <si>
    <t>石膏ボードＧＬ工法(RCﾌﾟﾚ)</t>
  </si>
  <si>
    <t>木質系壁仕上上(RCﾌﾟﾚ)</t>
  </si>
  <si>
    <t>木質系壁仕上中(RCﾌﾟﾚ)</t>
  </si>
  <si>
    <t>木質系壁仕上並(RCﾌﾟﾚ)</t>
  </si>
  <si>
    <t>クロス貼上(RCﾌﾟﾚ)</t>
  </si>
  <si>
    <t>クロス貼中(RCﾌﾟﾚ)</t>
  </si>
  <si>
    <t>クロス貼並(RCﾌﾟﾚ)</t>
  </si>
  <si>
    <t>サイディング(RCﾌﾟﾚ)</t>
  </si>
  <si>
    <t>コンクリート直仕上</t>
  </si>
  <si>
    <t>合成樹脂塗床エポキシ</t>
  </si>
  <si>
    <t>合成樹脂塗床ポリウレタン</t>
  </si>
  <si>
    <t>タイル大</t>
  </si>
  <si>
    <t>タイル中</t>
  </si>
  <si>
    <t>タイル小</t>
  </si>
  <si>
    <t>コルクタイル</t>
  </si>
  <si>
    <t>エキスパンドメタル</t>
  </si>
  <si>
    <t>畳上</t>
  </si>
  <si>
    <t>畳並</t>
  </si>
  <si>
    <t>カーペット上</t>
  </si>
  <si>
    <t>カーペット並</t>
  </si>
  <si>
    <t>フリーアクセス床アルミ系上</t>
  </si>
  <si>
    <t>フリーアクセス床アルミ系並</t>
  </si>
  <si>
    <t>フリーアクセス床鋼製系上</t>
  </si>
  <si>
    <t>フリーアクセス床鋼製系並</t>
  </si>
  <si>
    <t>フリーアクセス床樹脂製系</t>
  </si>
  <si>
    <t>木質系床仕上上</t>
  </si>
  <si>
    <t>木質系床仕上中</t>
  </si>
  <si>
    <t>木質系床仕上並</t>
  </si>
  <si>
    <t>鉛合板2㎜厚</t>
  </si>
  <si>
    <t>鉛合板1㎜厚</t>
  </si>
  <si>
    <t>着色コンクリート床</t>
  </si>
  <si>
    <t>合成樹脂張床特</t>
  </si>
  <si>
    <t>合成樹脂張床上</t>
  </si>
  <si>
    <t>合成樹脂張床中</t>
  </si>
  <si>
    <t>合成樹脂張床並</t>
  </si>
  <si>
    <t>コンクリート直仕上(RCﾌﾟﾚ)</t>
  </si>
  <si>
    <t>タイル大(RCﾌﾟﾚ)</t>
  </si>
  <si>
    <t>タイル中(RCﾌﾟﾚ)</t>
  </si>
  <si>
    <t>タイル小(RCﾌﾟﾚ)</t>
  </si>
  <si>
    <t>畳上(RCﾌﾟﾚ)</t>
  </si>
  <si>
    <t>畳並(RCﾌﾟﾚ)</t>
  </si>
  <si>
    <t>カーペット上(RCﾌﾟﾚ)</t>
  </si>
  <si>
    <t>カーペット並(RCﾌﾟﾚ)</t>
  </si>
  <si>
    <t>木質系床仕上上(RCﾌﾟﾚ)</t>
  </si>
  <si>
    <t>木質系床仕上中(RCﾌﾟﾚ)</t>
  </si>
  <si>
    <t>木質系床仕上並(RCﾌﾟﾚ)</t>
  </si>
  <si>
    <t>着色コンクリート床(RCﾌﾟﾚ)</t>
  </si>
  <si>
    <t>合成樹脂張床特(RCﾌﾟﾚ)</t>
  </si>
  <si>
    <t>合成樹脂張床上(RCﾌﾟﾚ)</t>
  </si>
  <si>
    <t>合成樹脂張床中(RCﾌﾟﾚ)</t>
  </si>
  <si>
    <t>合成樹脂張床並(RCﾌﾟﾚ)</t>
  </si>
  <si>
    <t>木質系天井仕上特</t>
  </si>
  <si>
    <t>木質系天井仕上上</t>
  </si>
  <si>
    <t>木質系天井仕上中</t>
  </si>
  <si>
    <t>木質系天井仕上並</t>
  </si>
  <si>
    <t>木毛セメント板</t>
  </si>
  <si>
    <t>木毛セメント板コンクリート打込</t>
  </si>
  <si>
    <t>石膏ボード吸音板</t>
  </si>
  <si>
    <t>ガラス繊維板吸音板</t>
  </si>
  <si>
    <t>岩綿板塗装吸音板上</t>
  </si>
  <si>
    <t>岩綿板塗装吸音板並</t>
  </si>
  <si>
    <t>塗り天井</t>
  </si>
  <si>
    <t>光天井アルミダイカスト</t>
  </si>
  <si>
    <t>光天井アクリル系</t>
  </si>
  <si>
    <t>光天井塩化ビニル系</t>
  </si>
  <si>
    <t>塩化ビニル成型浴室天井材</t>
  </si>
  <si>
    <t>アスファルト防水コンクリート保護</t>
  </si>
  <si>
    <t>アスファルト防水露出防水</t>
  </si>
  <si>
    <t>シート防水</t>
  </si>
  <si>
    <t>モルタル防水</t>
  </si>
  <si>
    <t>ＦＲＰ防水</t>
  </si>
  <si>
    <t>金属板防水</t>
  </si>
  <si>
    <t>天然スレート</t>
  </si>
  <si>
    <t>瓦上</t>
  </si>
  <si>
    <t>瓦中</t>
  </si>
  <si>
    <t>瓦並</t>
  </si>
  <si>
    <t>鋼板亜鉛めっき鋼板平板</t>
  </si>
  <si>
    <t>鋼板亜鉛めっき鋼板折板</t>
  </si>
  <si>
    <t>鋼板塗装亜鉛めっき鋼板折板</t>
  </si>
  <si>
    <t>鋼板フッ素樹脂鋼板平板</t>
  </si>
  <si>
    <t>鋼板フッ素樹脂鋼板折板</t>
  </si>
  <si>
    <t>アルミニウム板折板</t>
  </si>
  <si>
    <t>ステンレス板平板</t>
  </si>
  <si>
    <t>ステンレス板折板</t>
  </si>
  <si>
    <t>アスファルトシングル</t>
  </si>
  <si>
    <t>鉄筋 上（ｔ）</t>
    <rPh sb="3" eb="4">
      <t>ジョウ</t>
    </rPh>
    <phoneticPr fontId="22"/>
  </si>
  <si>
    <t>鉄筋 中（ｔ）</t>
    <rPh sb="3" eb="4">
      <t>チュウ</t>
    </rPh>
    <phoneticPr fontId="22"/>
  </si>
  <si>
    <t>鉄筋 並（ｔ）</t>
    <rPh sb="3" eb="4">
      <t>ナミ</t>
    </rPh>
    <phoneticPr fontId="22"/>
  </si>
  <si>
    <r>
      <t>コンクリート ［鉄筋用］（上）（m</t>
    </r>
    <r>
      <rPr>
        <vertAlign val="superscript"/>
        <sz val="9"/>
        <rFont val="ＭＳ Ｐ明朝"/>
        <family val="1"/>
        <charset val="128"/>
      </rPr>
      <t>3</t>
    </r>
    <r>
      <rPr>
        <sz val="9"/>
        <rFont val="ＭＳ Ｐ明朝"/>
        <family val="1"/>
        <charset val="128"/>
      </rPr>
      <t>）</t>
    </r>
    <rPh sb="8" eb="10">
      <t>テッキン</t>
    </rPh>
    <rPh sb="10" eb="11">
      <t>ヨウ</t>
    </rPh>
    <rPh sb="13" eb="14">
      <t>ウエ</t>
    </rPh>
    <phoneticPr fontId="8"/>
  </si>
  <si>
    <r>
      <t>コンクリート ［鉄筋用］（中）（m</t>
    </r>
    <r>
      <rPr>
        <vertAlign val="superscript"/>
        <sz val="9"/>
        <rFont val="ＭＳ Ｐ明朝"/>
        <family val="1"/>
        <charset val="128"/>
      </rPr>
      <t>3</t>
    </r>
    <r>
      <rPr>
        <sz val="9"/>
        <rFont val="ＭＳ Ｐ明朝"/>
        <family val="1"/>
        <charset val="128"/>
      </rPr>
      <t>）</t>
    </r>
    <rPh sb="8" eb="10">
      <t>テッキン</t>
    </rPh>
    <rPh sb="10" eb="11">
      <t>ヨウ</t>
    </rPh>
    <rPh sb="13" eb="14">
      <t>チュウ</t>
    </rPh>
    <phoneticPr fontId="8"/>
  </si>
  <si>
    <r>
      <t>コンクリート ［鉄筋用］（並）（m</t>
    </r>
    <r>
      <rPr>
        <vertAlign val="superscript"/>
        <sz val="9"/>
        <rFont val="ＭＳ Ｐ明朝"/>
        <family val="1"/>
        <charset val="128"/>
      </rPr>
      <t>3</t>
    </r>
    <r>
      <rPr>
        <sz val="9"/>
        <rFont val="ＭＳ Ｐ明朝"/>
        <family val="1"/>
        <charset val="128"/>
      </rPr>
      <t>）</t>
    </r>
    <rPh sb="8" eb="10">
      <t>テッキン</t>
    </rPh>
    <rPh sb="10" eb="11">
      <t>ヨウ</t>
    </rPh>
    <rPh sb="13" eb="14">
      <t>ナミ</t>
    </rPh>
    <phoneticPr fontId="8"/>
  </si>
  <si>
    <t>サッシ アルミ 引き 100㎜</t>
  </si>
  <si>
    <t>サッシ アルミ 固定 100㎜</t>
  </si>
  <si>
    <t>サッシ アルミ その他 100㎜</t>
  </si>
  <si>
    <t>サッシ 樹脂・木 引き 100㎜</t>
    <rPh sb="4" eb="6">
      <t>ジュシ</t>
    </rPh>
    <rPh sb="7" eb="8">
      <t>キ</t>
    </rPh>
    <phoneticPr fontId="8"/>
  </si>
  <si>
    <t>サッシ 樹脂・木 固定 100㎜</t>
  </si>
  <si>
    <t>サッシ 樹脂・木 その他 100㎜</t>
  </si>
  <si>
    <t>サッシ ｽﾃﾝﾚｽ 引き 100㎜</t>
  </si>
  <si>
    <t>サッシ ｽﾃﾝﾚｽ 固定 100㎜</t>
  </si>
  <si>
    <t>サッシ ｽﾃﾝﾚｽ その他 100㎜</t>
  </si>
  <si>
    <t>サッシ 鋼製 引き 100㎜</t>
    <rPh sb="4" eb="6">
      <t>コウセイ</t>
    </rPh>
    <phoneticPr fontId="8"/>
  </si>
  <si>
    <t>サッシ 鋼製 固定 100㎜</t>
  </si>
  <si>
    <t>サッシ 鋼製 その他 100㎜</t>
  </si>
  <si>
    <t>サッシ アルミ 引き 70㎜</t>
    <phoneticPr fontId="8"/>
  </si>
  <si>
    <t>サッシ アルミ 固定 70㎜</t>
    <phoneticPr fontId="8"/>
  </si>
  <si>
    <t>サッシ アルミ その他 70㎜</t>
    <phoneticPr fontId="8"/>
  </si>
  <si>
    <t>サッシ 樹脂・木 引き 70㎜</t>
    <phoneticPr fontId="8"/>
  </si>
  <si>
    <t>サッシ 樹脂・木 固定 70㎜</t>
    <phoneticPr fontId="8"/>
  </si>
  <si>
    <t>サッシ 樹脂・木 その他 70㎜</t>
    <phoneticPr fontId="8"/>
  </si>
  <si>
    <t>サッシ ｽﾃﾝﾚｽ 引き 70㎜</t>
    <phoneticPr fontId="8"/>
  </si>
  <si>
    <t>サッシ ｽﾃﾝﾚｽ 固定 70㎜</t>
    <phoneticPr fontId="8"/>
  </si>
  <si>
    <t>サッシ ｽﾃﾝﾚｽ その他 70㎜</t>
    <phoneticPr fontId="8"/>
  </si>
  <si>
    <t>サッシ 鋼製 引き 70㎜</t>
    <phoneticPr fontId="8"/>
  </si>
  <si>
    <t>サッシ 鋼製 固定 70㎜</t>
    <phoneticPr fontId="8"/>
  </si>
  <si>
    <t>サッシ 鋼製 その他 70㎜</t>
    <phoneticPr fontId="8"/>
  </si>
  <si>
    <t xml:space="preserve">扉 木製 特 </t>
  </si>
  <si>
    <t xml:space="preserve">扉 木製 上 </t>
  </si>
  <si>
    <t xml:space="preserve">扉 木製 中 </t>
  </si>
  <si>
    <t xml:space="preserve">扉 木製 並 </t>
  </si>
  <si>
    <t xml:space="preserve">扉 アルミ製 上 </t>
  </si>
  <si>
    <t xml:space="preserve">扉 アルミ製 中 </t>
  </si>
  <si>
    <t xml:space="preserve">扉 アルミ製 並 </t>
  </si>
  <si>
    <t xml:space="preserve">扉 鋼製防火扉  </t>
  </si>
  <si>
    <t xml:space="preserve">扉 鋼製軽量扉  </t>
  </si>
  <si>
    <t xml:space="preserve">扉 放射線防護ドア  </t>
  </si>
  <si>
    <t xml:space="preserve">玄関戸 上  </t>
  </si>
  <si>
    <t xml:space="preserve">玄関戸 中  </t>
  </si>
  <si>
    <t xml:space="preserve">玄関戸 並  </t>
  </si>
  <si>
    <t xml:space="preserve">強化ガラスドア   </t>
  </si>
  <si>
    <t>塗装・吹付</t>
    <rPh sb="0" eb="2">
      <t>トソウ</t>
    </rPh>
    <rPh sb="3" eb="5">
      <t>フキツケ</t>
    </rPh>
    <phoneticPr fontId="8"/>
  </si>
  <si>
    <t>外装仕上</t>
    <rPh sb="0" eb="2">
      <t>ガイソウ</t>
    </rPh>
    <rPh sb="2" eb="4">
      <t>シアゲ</t>
    </rPh>
    <phoneticPr fontId="8"/>
  </si>
  <si>
    <t>上</t>
    <rPh sb="0" eb="1">
      <t>ジョウ</t>
    </rPh>
    <phoneticPr fontId="8"/>
  </si>
  <si>
    <t>並</t>
    <rPh sb="0" eb="1">
      <t>ナミ</t>
    </rPh>
    <phoneticPr fontId="8"/>
  </si>
  <si>
    <t>内装仕上</t>
    <rPh sb="0" eb="2">
      <t>ナイソウ</t>
    </rPh>
    <rPh sb="2" eb="4">
      <t>シア</t>
    </rPh>
    <phoneticPr fontId="8"/>
  </si>
  <si>
    <t>軽量鉄骨胴縁・取付金物等・シーリング</t>
    <rPh sb="0" eb="2">
      <t>ケイリョウ</t>
    </rPh>
    <rPh sb="2" eb="4">
      <t>テッコツ</t>
    </rPh>
    <rPh sb="7" eb="9">
      <t>トリツ</t>
    </rPh>
    <phoneticPr fontId="8"/>
  </si>
  <si>
    <t>軽量鉄骨胴縁・取付金物等</t>
    <rPh sb="0" eb="2">
      <t>ケイリョウ</t>
    </rPh>
    <rPh sb="2" eb="4">
      <t>テッコツ</t>
    </rPh>
    <rPh sb="7" eb="9">
      <t>トリツ</t>
    </rPh>
    <phoneticPr fontId="8"/>
  </si>
  <si>
    <t>軽量鉄骨胴縁・取付け金物等</t>
    <rPh sb="0" eb="2">
      <t>ケイリョウ</t>
    </rPh>
    <rPh sb="7" eb="9">
      <t>トリツ</t>
    </rPh>
    <phoneticPr fontId="8"/>
  </si>
  <si>
    <t>軽量鉄骨胴縁・取付金物等・石膏ボード</t>
    <rPh sb="0" eb="2">
      <t>ケイリョウ</t>
    </rPh>
    <rPh sb="7" eb="9">
      <t>トリツ</t>
    </rPh>
    <phoneticPr fontId="8"/>
  </si>
  <si>
    <t>軽量鉄骨根太</t>
    <rPh sb="0" eb="2">
      <t>ケイリョウ</t>
    </rPh>
    <phoneticPr fontId="8"/>
  </si>
  <si>
    <t>均しモルタル・結露防止マット</t>
    <rPh sb="0" eb="1">
      <t>ナラ</t>
    </rPh>
    <rPh sb="7" eb="9">
      <t>ケツロ</t>
    </rPh>
    <rPh sb="9" eb="11">
      <t>ボウシ</t>
    </rPh>
    <phoneticPr fontId="8"/>
  </si>
  <si>
    <t>取付金物等</t>
    <rPh sb="0" eb="2">
      <t>トリツケ</t>
    </rPh>
    <phoneticPr fontId="8"/>
  </si>
  <si>
    <t>軽量鉄骨母屋・取付金物等</t>
    <rPh sb="0" eb="2">
      <t>ケイリョウ</t>
    </rPh>
    <rPh sb="7" eb="9">
      <t>トリツケ</t>
    </rPh>
    <phoneticPr fontId="8"/>
  </si>
  <si>
    <t>軽量鉄骨母屋・取付金物等・シーリング</t>
    <rPh sb="0" eb="2">
      <t>ケイリョウ</t>
    </rPh>
    <rPh sb="7" eb="9">
      <t>トリツケ</t>
    </rPh>
    <phoneticPr fontId="8"/>
  </si>
  <si>
    <t>ｽｲｯﾁ配線</t>
    <phoneticPr fontId="19"/>
  </si>
  <si>
    <t>ｺﾝｾﾝﾄ配線</t>
    <phoneticPr fontId="19"/>
  </si>
  <si>
    <t>H30～スイッチとコンセントはそれぞれに個数を分けて評点付設</t>
    <rPh sb="20" eb="22">
      <t>コスウ</t>
    </rPh>
    <rPh sb="23" eb="24">
      <t>ワ</t>
    </rPh>
    <rPh sb="26" eb="28">
      <t>ヒョウテン</t>
    </rPh>
    <rPh sb="28" eb="30">
      <t>フセツ</t>
    </rPh>
    <phoneticPr fontId="19"/>
  </si>
  <si>
    <t>主体構造部／加算</t>
    <rPh sb="6" eb="8">
      <t>カサン</t>
    </rPh>
    <phoneticPr fontId="22"/>
  </si>
  <si>
    <t>基数</t>
    <rPh sb="0" eb="2">
      <t>キスウ</t>
    </rPh>
    <phoneticPr fontId="22"/>
  </si>
  <si>
    <t>基</t>
    <rPh sb="0" eb="1">
      <t>キ</t>
    </rPh>
    <phoneticPr fontId="22"/>
  </si>
  <si>
    <t>免震装置</t>
    <rPh sb="0" eb="2">
      <t>メンシン</t>
    </rPh>
    <rPh sb="2" eb="4">
      <t>ソウチ</t>
    </rPh>
    <phoneticPr fontId="22"/>
  </si>
  <si>
    <t>ゴム外径</t>
    <rPh sb="2" eb="4">
      <t>ガイケイ</t>
    </rPh>
    <phoneticPr fontId="8"/>
  </si>
  <si>
    <t>ゴム総厚</t>
    <rPh sb="2" eb="3">
      <t>ソウ</t>
    </rPh>
    <rPh sb="3" eb="4">
      <t>アツ</t>
    </rPh>
    <phoneticPr fontId="22"/>
  </si>
  <si>
    <t>装置の種類</t>
    <rPh sb="0" eb="2">
      <t>ソウチ</t>
    </rPh>
    <rPh sb="3" eb="5">
      <t>シュルイ</t>
    </rPh>
    <phoneticPr fontId="8"/>
  </si>
  <si>
    <t>ダンパ有</t>
    <rPh sb="3" eb="4">
      <t>アリ</t>
    </rPh>
    <phoneticPr fontId="8"/>
  </si>
  <si>
    <t>ダンパ無</t>
    <rPh sb="3" eb="4">
      <t>ナシ</t>
    </rPh>
    <phoneticPr fontId="8"/>
  </si>
  <si>
    <t>「種類」標準のダンパ有は、鉛プラグのダンパ入りのものを想定。髙減衰系積層ゴムはダンパ無として扱う</t>
    <rPh sb="1" eb="3">
      <t>シュルイ</t>
    </rPh>
    <rPh sb="4" eb="6">
      <t>ヒョウジュン</t>
    </rPh>
    <rPh sb="10" eb="11">
      <t>アリ</t>
    </rPh>
    <rPh sb="13" eb="14">
      <t>ナマリ</t>
    </rPh>
    <rPh sb="21" eb="22">
      <t>イ</t>
    </rPh>
    <rPh sb="27" eb="29">
      <t>ソウテイ</t>
    </rPh>
    <rPh sb="30" eb="31">
      <t>コウ</t>
    </rPh>
    <rPh sb="31" eb="33">
      <t>ゲンスイ</t>
    </rPh>
    <rPh sb="33" eb="34">
      <t>ケイ</t>
    </rPh>
    <rPh sb="34" eb="36">
      <t>セキソウ</t>
    </rPh>
    <rPh sb="42" eb="43">
      <t>ナシ</t>
    </rPh>
    <rPh sb="46" eb="47">
      <t>アツカ</t>
    </rPh>
    <phoneticPr fontId="22"/>
  </si>
  <si>
    <t>※ゴム層厚＝ゴム１層の厚さ×層数（層間の鋼板等は含めない）</t>
    <rPh sb="3" eb="5">
      <t>ソウアツ</t>
    </rPh>
    <rPh sb="9" eb="10">
      <t>ソウ</t>
    </rPh>
    <rPh sb="11" eb="12">
      <t>アツ</t>
    </rPh>
    <rPh sb="14" eb="16">
      <t>ソウスウ</t>
    </rPh>
    <rPh sb="17" eb="18">
      <t>ソウ</t>
    </rPh>
    <rPh sb="18" eb="19">
      <t>アイダ</t>
    </rPh>
    <rPh sb="20" eb="22">
      <t>コウハン</t>
    </rPh>
    <rPh sb="22" eb="23">
      <t>トウ</t>
    </rPh>
    <rPh sb="24" eb="25">
      <t>フク</t>
    </rPh>
    <phoneticPr fontId="22"/>
  </si>
  <si>
    <t>主体構造部
（施工量明確）</t>
    <rPh sb="7" eb="9">
      <t>セコウ</t>
    </rPh>
    <rPh sb="9" eb="10">
      <t>リョウ</t>
    </rPh>
    <rPh sb="10" eb="12">
      <t>メイカク</t>
    </rPh>
    <phoneticPr fontId="8"/>
  </si>
  <si>
    <t>主体構造部
(施工量不明確）</t>
    <rPh sb="7" eb="9">
      <t>セコウ</t>
    </rPh>
    <rPh sb="9" eb="10">
      <t>リョウ</t>
    </rPh>
    <rPh sb="10" eb="13">
      <t>フメイカク</t>
    </rPh>
    <phoneticPr fontId="8"/>
  </si>
  <si>
    <t>主体構造部
(加算）</t>
    <rPh sb="0" eb="2">
      <t>シュタイ</t>
    </rPh>
    <rPh sb="2" eb="4">
      <t>コウゾウ</t>
    </rPh>
    <rPh sb="4" eb="5">
      <t>ブ</t>
    </rPh>
    <rPh sb="7" eb="9">
      <t>カサン</t>
    </rPh>
    <phoneticPr fontId="22"/>
  </si>
  <si>
    <t>[構造名称]</t>
    <rPh sb="1" eb="3">
      <t>コウゾウ</t>
    </rPh>
    <rPh sb="3" eb="5">
      <t>メイショウ</t>
    </rPh>
    <phoneticPr fontId="8"/>
  </si>
  <si>
    <t>説明</t>
    <rPh sb="0" eb="2">
      <t>セツメイ</t>
    </rPh>
    <phoneticPr fontId="8"/>
  </si>
  <si>
    <t>S</t>
    <phoneticPr fontId="8"/>
  </si>
  <si>
    <t>RC</t>
    <phoneticPr fontId="8"/>
  </si>
  <si>
    <t>鉄筋コンクリート</t>
    <rPh sb="0" eb="2">
      <t>テッキン</t>
    </rPh>
    <phoneticPr fontId="8"/>
  </si>
  <si>
    <t>SRC</t>
    <phoneticPr fontId="8"/>
  </si>
  <si>
    <t>鉄骨鉄筋コンクリート</t>
    <rPh sb="0" eb="2">
      <t>テッコツ</t>
    </rPh>
    <rPh sb="2" eb="4">
      <t>テッキン</t>
    </rPh>
    <phoneticPr fontId="8"/>
  </si>
  <si>
    <t>LGS</t>
    <phoneticPr fontId="8"/>
  </si>
  <si>
    <t>CB</t>
    <phoneticPr fontId="8"/>
  </si>
  <si>
    <t>コンクリートブロック</t>
    <phoneticPr fontId="8"/>
  </si>
  <si>
    <t>ﾃﾞｯｷﾌﾟﾚｰﾄ1.2㎜厚（ｔ）</t>
    <phoneticPr fontId="22"/>
  </si>
  <si>
    <t>ﾃﾞｯｷﾌﾟﾚｰﾄ1.0㎜厚（ｔ）</t>
    <phoneticPr fontId="22"/>
  </si>
  <si>
    <t>ﾌﾗｯﾄﾃﾞｯｷ1.2㎜厚（ｔ）</t>
    <phoneticPr fontId="22"/>
  </si>
  <si>
    <t>ﾌﾗｯﾄﾃﾞｯｷ0.8㎜厚（ｔ）</t>
    <phoneticPr fontId="22"/>
  </si>
  <si>
    <t>(H27までの複層内外装仕上、複層防水仕上、厚付外装仕上を統合。想定資材：弾性ﾀｲﾙ（防水型複層塗材E)相当</t>
    <rPh sb="7" eb="9">
      <t>フクソウ</t>
    </rPh>
    <rPh sb="9" eb="12">
      <t>ナイガイソウ</t>
    </rPh>
    <rPh sb="12" eb="14">
      <t>シア</t>
    </rPh>
    <rPh sb="15" eb="17">
      <t>フクソウ</t>
    </rPh>
    <rPh sb="17" eb="19">
      <t>ボウスイ</t>
    </rPh>
    <rPh sb="19" eb="21">
      <t>シアゲ</t>
    </rPh>
    <rPh sb="22" eb="23">
      <t>アツ</t>
    </rPh>
    <rPh sb="23" eb="24">
      <t>ヅケ</t>
    </rPh>
    <rPh sb="24" eb="26">
      <t>ガイソウ</t>
    </rPh>
    <rPh sb="26" eb="28">
      <t>シアゲ</t>
    </rPh>
    <rPh sb="29" eb="31">
      <t>トウゴウ</t>
    </rPh>
    <rPh sb="32" eb="34">
      <t>ソウテイ</t>
    </rPh>
    <rPh sb="34" eb="36">
      <t>シザイ</t>
    </rPh>
    <rPh sb="37" eb="39">
      <t>ダンセイ</t>
    </rPh>
    <rPh sb="43" eb="46">
      <t>ボウスイガタ</t>
    </rPh>
    <rPh sb="46" eb="48">
      <t>フクソウ</t>
    </rPh>
    <rPh sb="48" eb="49">
      <t>ヌリ</t>
    </rPh>
    <rPh sb="49" eb="50">
      <t>ザイ</t>
    </rPh>
    <rPh sb="52" eb="54">
      <t>ソウトウ</t>
    </rPh>
    <phoneticPr fontId="8"/>
  </si>
  <si>
    <t>(H27までの薄付外装仕上に対応。想定資材：弾性リシン（可とう形外装薄塗材E)相当</t>
    <rPh sb="7" eb="8">
      <t>ウス</t>
    </rPh>
    <rPh sb="8" eb="9">
      <t>ヅケ</t>
    </rPh>
    <rPh sb="9" eb="11">
      <t>ガイソウ</t>
    </rPh>
    <rPh sb="11" eb="13">
      <t>シアゲ</t>
    </rPh>
    <rPh sb="14" eb="16">
      <t>タイオウ</t>
    </rPh>
    <rPh sb="17" eb="19">
      <t>ソウテイ</t>
    </rPh>
    <rPh sb="19" eb="21">
      <t>シザイ</t>
    </rPh>
    <rPh sb="22" eb="24">
      <t>ダンセイ</t>
    </rPh>
    <rPh sb="28" eb="29">
      <t>カ</t>
    </rPh>
    <rPh sb="31" eb="32">
      <t>ガタ</t>
    </rPh>
    <rPh sb="32" eb="34">
      <t>ガイソウ</t>
    </rPh>
    <rPh sb="34" eb="35">
      <t>ウス</t>
    </rPh>
    <rPh sb="35" eb="36">
      <t>ヌリ</t>
    </rPh>
    <rPh sb="36" eb="37">
      <t>ザイ</t>
    </rPh>
    <rPh sb="39" eb="41">
      <t>ソウトウ</t>
    </rPh>
    <phoneticPr fontId="8"/>
  </si>
  <si>
    <t>(H27までの複層内装仕上、軽量骨材天井仕上を統合。想定資材：エポキシ樹脂系（複層内装仕上）相当</t>
    <rPh sb="7" eb="9">
      <t>フクソウ</t>
    </rPh>
    <rPh sb="9" eb="11">
      <t>ナイソウ</t>
    </rPh>
    <rPh sb="11" eb="13">
      <t>シアゲ</t>
    </rPh>
    <rPh sb="14" eb="16">
      <t>ケイリョウ</t>
    </rPh>
    <rPh sb="16" eb="18">
      <t>コツザイ</t>
    </rPh>
    <rPh sb="18" eb="20">
      <t>テンジョウ</t>
    </rPh>
    <rPh sb="20" eb="22">
      <t>シアゲ</t>
    </rPh>
    <rPh sb="23" eb="25">
      <t>トウゴウ</t>
    </rPh>
    <rPh sb="26" eb="28">
      <t>ソウテイ</t>
    </rPh>
    <rPh sb="28" eb="30">
      <t>シザイ</t>
    </rPh>
    <rPh sb="35" eb="37">
      <t>ジュシ</t>
    </rPh>
    <rPh sb="37" eb="38">
      <t>ケイ</t>
    </rPh>
    <rPh sb="39" eb="41">
      <t>フクソウ</t>
    </rPh>
    <rPh sb="41" eb="43">
      <t>ナイソウ</t>
    </rPh>
    <rPh sb="43" eb="45">
      <t>シア</t>
    </rPh>
    <rPh sb="46" eb="48">
      <t>ソウトウ</t>
    </rPh>
    <phoneticPr fontId="8"/>
  </si>
  <si>
    <t>(H27までの薄付内装仕上、合成樹脂系ｴﾏﾙｼｮﾝﾍﾟｲﾝﾄ相当を統合。想定資材：合成樹脂系ｴﾏﾙｼｮﾝﾍﾟｲﾝﾄ相当</t>
    <rPh sb="7" eb="8">
      <t>ウス</t>
    </rPh>
    <rPh sb="8" eb="9">
      <t>ヅケ</t>
    </rPh>
    <rPh sb="9" eb="11">
      <t>ナイソウ</t>
    </rPh>
    <rPh sb="11" eb="13">
      <t>シア</t>
    </rPh>
    <rPh sb="14" eb="16">
      <t>ゴウセイ</t>
    </rPh>
    <rPh sb="16" eb="18">
      <t>ジュシ</t>
    </rPh>
    <rPh sb="18" eb="19">
      <t>ケイ</t>
    </rPh>
    <rPh sb="30" eb="32">
      <t>ソウトウ</t>
    </rPh>
    <rPh sb="33" eb="35">
      <t>トウゴウ</t>
    </rPh>
    <rPh sb="36" eb="38">
      <t>ソウテイ</t>
    </rPh>
    <rPh sb="38" eb="40">
      <t>シザイ</t>
    </rPh>
    <rPh sb="41" eb="43">
      <t>ゴウセイ</t>
    </rPh>
    <rPh sb="43" eb="45">
      <t>ジュシ</t>
    </rPh>
    <rPh sb="45" eb="46">
      <t>ケイ</t>
    </rPh>
    <rPh sb="57" eb="59">
      <t>ソウトウ</t>
    </rPh>
    <phoneticPr fontId="8"/>
  </si>
  <si>
    <t>（※H27 までの塗り壁系の加算項目（砂壁状塗材、京壁塗、珪藻土塗、漆喰塗）は、仕上項目の塗り壁・塗り天井で評点付設）</t>
    <rPh sb="9" eb="10">
      <t>ヌ</t>
    </rPh>
    <rPh sb="11" eb="12">
      <t>カベ</t>
    </rPh>
    <rPh sb="12" eb="13">
      <t>ケイ</t>
    </rPh>
    <rPh sb="14" eb="16">
      <t>カサン</t>
    </rPh>
    <rPh sb="16" eb="18">
      <t>コウモク</t>
    </rPh>
    <rPh sb="19" eb="20">
      <t>スナ</t>
    </rPh>
    <rPh sb="20" eb="21">
      <t>カベ</t>
    </rPh>
    <rPh sb="21" eb="22">
      <t>ジョウ</t>
    </rPh>
    <rPh sb="22" eb="23">
      <t>ヌリ</t>
    </rPh>
    <rPh sb="23" eb="24">
      <t>ザイ</t>
    </rPh>
    <rPh sb="25" eb="26">
      <t>キョウ</t>
    </rPh>
    <rPh sb="26" eb="27">
      <t>カベ</t>
    </rPh>
    <rPh sb="27" eb="28">
      <t>ヌ</t>
    </rPh>
    <rPh sb="29" eb="32">
      <t>ケイソウド</t>
    </rPh>
    <rPh sb="32" eb="33">
      <t>ヌリ</t>
    </rPh>
    <rPh sb="34" eb="36">
      <t>シックイ</t>
    </rPh>
    <rPh sb="36" eb="37">
      <t>ヌリ</t>
    </rPh>
    <rPh sb="40" eb="42">
      <t>シアゲ</t>
    </rPh>
    <rPh sb="42" eb="44">
      <t>コウモク</t>
    </rPh>
    <rPh sb="45" eb="46">
      <t>ヌ</t>
    </rPh>
    <rPh sb="47" eb="48">
      <t>カベ</t>
    </rPh>
    <rPh sb="49" eb="50">
      <t>ヌ</t>
    </rPh>
    <rPh sb="51" eb="53">
      <t>テンジョウ</t>
    </rPh>
    <rPh sb="54" eb="56">
      <t>ヒョウテン</t>
    </rPh>
    <rPh sb="56" eb="58">
      <t>フセツ</t>
    </rPh>
    <phoneticPr fontId="8"/>
  </si>
  <si>
    <t>ロックウール吹付</t>
  </si>
  <si>
    <t>メタルラス下地</t>
  </si>
  <si>
    <t>表面仕上（１．０㎡当たり）</t>
  </si>
  <si>
    <t>下地等（１．０㎡当たり）</t>
    <rPh sb="0" eb="2">
      <t>シタジ</t>
    </rPh>
    <rPh sb="2" eb="3">
      <t>トウ</t>
    </rPh>
    <phoneticPr fontId="8"/>
  </si>
  <si>
    <t>デッキプレート・ﾌﾗｯﾄﾃﾞｯｷについて評価基準上は、屋根構造・床構造に㎡あたりで評点数が示されているが、</t>
    <rPh sb="20" eb="22">
      <t>ヒョウカ</t>
    </rPh>
    <rPh sb="22" eb="24">
      <t>キジュン</t>
    </rPh>
    <rPh sb="24" eb="25">
      <t>ジョウ</t>
    </rPh>
    <rPh sb="27" eb="29">
      <t>ヤネ</t>
    </rPh>
    <rPh sb="29" eb="31">
      <t>コウゾウ</t>
    </rPh>
    <rPh sb="32" eb="33">
      <t>ユカ</t>
    </rPh>
    <rPh sb="33" eb="35">
      <t>コウゾウ</t>
    </rPh>
    <rPh sb="41" eb="43">
      <t>ヒョウテン</t>
    </rPh>
    <rPh sb="43" eb="44">
      <t>スウ</t>
    </rPh>
    <rPh sb="45" eb="46">
      <t>シメ</t>
    </rPh>
    <phoneticPr fontId="22"/>
  </si>
  <si>
    <t>工事内訳書では施工数量が重量で示されている場合があるため、㎡当たり評点数と、Q&amp;Aで示されている㎡当たり質量から、ｔ当たり評点数を算出している。</t>
    <rPh sb="0" eb="2">
      <t>コウジ</t>
    </rPh>
    <rPh sb="2" eb="5">
      <t>ウチワケショ</t>
    </rPh>
    <rPh sb="7" eb="9">
      <t>セコウ</t>
    </rPh>
    <rPh sb="9" eb="11">
      <t>スウリョウ</t>
    </rPh>
    <rPh sb="12" eb="14">
      <t>ジュウリョウ</t>
    </rPh>
    <rPh sb="15" eb="16">
      <t>シメ</t>
    </rPh>
    <rPh sb="21" eb="23">
      <t>バアイ</t>
    </rPh>
    <rPh sb="30" eb="31">
      <t>ア</t>
    </rPh>
    <rPh sb="33" eb="35">
      <t>ヒョウテン</t>
    </rPh>
    <rPh sb="35" eb="36">
      <t>スウ</t>
    </rPh>
    <rPh sb="42" eb="43">
      <t>シメ</t>
    </rPh>
    <rPh sb="49" eb="50">
      <t>ア</t>
    </rPh>
    <rPh sb="52" eb="54">
      <t>シツリョウ</t>
    </rPh>
    <rPh sb="58" eb="59">
      <t>ア</t>
    </rPh>
    <rPh sb="61" eb="63">
      <t>ヒョウテン</t>
    </rPh>
    <rPh sb="63" eb="64">
      <t>スウ</t>
    </rPh>
    <rPh sb="65" eb="67">
      <t>サンシュツ</t>
    </rPh>
    <phoneticPr fontId="22"/>
  </si>
  <si>
    <t>減点無</t>
    <rPh sb="0" eb="2">
      <t>ゲンテン</t>
    </rPh>
    <rPh sb="2" eb="3">
      <t>ナシ</t>
    </rPh>
    <phoneticPr fontId="8"/>
  </si>
  <si>
    <t>減点無</t>
    <rPh sb="0" eb="2">
      <t>ゲンテン</t>
    </rPh>
    <rPh sb="2" eb="3">
      <t>ナシ</t>
    </rPh>
    <phoneticPr fontId="17"/>
  </si>
  <si>
    <t>簡易</t>
    <rPh sb="0" eb="2">
      <t>カンイ</t>
    </rPh>
    <phoneticPr fontId="8"/>
  </si>
  <si>
    <t>簡易</t>
    <rPh sb="0" eb="2">
      <t>カンイ</t>
    </rPh>
    <phoneticPr fontId="17"/>
  </si>
  <si>
    <t>劇場型建物の場合、階高は、ホールの階高を入れてください</t>
    <rPh sb="0" eb="2">
      <t>ゲキジョウ</t>
    </rPh>
    <rPh sb="2" eb="3">
      <t>ガタ</t>
    </rPh>
    <rPh sb="3" eb="5">
      <t>タテモノ</t>
    </rPh>
    <rPh sb="6" eb="8">
      <t>バアイ</t>
    </rPh>
    <rPh sb="9" eb="11">
      <t>カイダカ</t>
    </rPh>
    <rPh sb="17" eb="19">
      <t>カイダカ</t>
    </rPh>
    <rPh sb="20" eb="21">
      <t>イ</t>
    </rPh>
    <phoneticPr fontId="22"/>
  </si>
  <si>
    <t>×</t>
    <phoneticPr fontId="8"/>
  </si>
  <si>
    <t xml:space="preserve"> </t>
    <phoneticPr fontId="8"/>
  </si>
  <si>
    <t>200角（300角未満のもの）</t>
    <rPh sb="3" eb="4">
      <t>カク</t>
    </rPh>
    <rPh sb="8" eb="9">
      <t>カク</t>
    </rPh>
    <rPh sb="9" eb="11">
      <t>ミマン</t>
    </rPh>
    <phoneticPr fontId="22"/>
  </si>
  <si>
    <t>300角(600角未満のもの）</t>
    <rPh sb="3" eb="4">
      <t>カク</t>
    </rPh>
    <rPh sb="8" eb="9">
      <t>カク</t>
    </rPh>
    <rPh sb="9" eb="11">
      <t>ミマン</t>
    </rPh>
    <phoneticPr fontId="22"/>
  </si>
  <si>
    <t>100角（200角未満のもの）</t>
    <rPh sb="3" eb="4">
      <t>カク</t>
    </rPh>
    <rPh sb="8" eb="9">
      <t>カク</t>
    </rPh>
    <rPh sb="9" eb="11">
      <t>ミマン</t>
    </rPh>
    <phoneticPr fontId="22"/>
  </si>
  <si>
    <t>塗装・吹付　外装仕上　上</t>
    <rPh sb="0" eb="2">
      <t>トソウ</t>
    </rPh>
    <rPh sb="3" eb="5">
      <t>フキツケ</t>
    </rPh>
    <rPh sb="6" eb="8">
      <t>ガイソウ</t>
    </rPh>
    <rPh sb="8" eb="10">
      <t>シアゲ</t>
    </rPh>
    <rPh sb="11" eb="12">
      <t>ジョウ</t>
    </rPh>
    <phoneticPr fontId="22"/>
  </si>
  <si>
    <t>塗装・吹付　外装仕上　並</t>
    <rPh sb="0" eb="2">
      <t>トソウ</t>
    </rPh>
    <rPh sb="3" eb="5">
      <t>フキツケ</t>
    </rPh>
    <rPh sb="6" eb="8">
      <t>ガイソウ</t>
    </rPh>
    <rPh sb="8" eb="10">
      <t>シアゲ</t>
    </rPh>
    <rPh sb="11" eb="12">
      <t>ナミ</t>
    </rPh>
    <phoneticPr fontId="22"/>
  </si>
  <si>
    <t>塗装・吹付　内装仕上　上</t>
    <rPh sb="0" eb="2">
      <t>トソウ</t>
    </rPh>
    <rPh sb="3" eb="5">
      <t>フキツケ</t>
    </rPh>
    <rPh sb="6" eb="8">
      <t>ナイソウ</t>
    </rPh>
    <rPh sb="8" eb="10">
      <t>シアゲ</t>
    </rPh>
    <rPh sb="11" eb="12">
      <t>ジョウ</t>
    </rPh>
    <phoneticPr fontId="22"/>
  </si>
  <si>
    <t>塗装・吹付　内装仕上　並</t>
    <rPh sb="0" eb="2">
      <t>トソウ</t>
    </rPh>
    <rPh sb="3" eb="5">
      <t>フキツケ</t>
    </rPh>
    <rPh sb="6" eb="8">
      <t>ナイソウ</t>
    </rPh>
    <rPh sb="8" eb="10">
      <t>シアゲ</t>
    </rPh>
    <rPh sb="11" eb="12">
      <t>ナミ</t>
    </rPh>
    <phoneticPr fontId="22"/>
  </si>
  <si>
    <t>メタルラス下地</t>
    <rPh sb="5" eb="7">
      <t>シタジ</t>
    </rPh>
    <phoneticPr fontId="22"/>
  </si>
  <si>
    <t>外部開口１</t>
    <rPh sb="0" eb="2">
      <t>ガイブ</t>
    </rPh>
    <rPh sb="2" eb="4">
      <t>カイコウ</t>
    </rPh>
    <phoneticPr fontId="19"/>
  </si>
  <si>
    <t>見積</t>
  </si>
  <si>
    <t>㎡</t>
    <phoneticPr fontId="19"/>
  </si>
  <si>
    <t>規模別</t>
    <rPh sb="0" eb="3">
      <t>キボベツ</t>
    </rPh>
    <phoneticPr fontId="19"/>
  </si>
  <si>
    <t>総合評点方式</t>
    <rPh sb="0" eb="2">
      <t>ソウゴウ</t>
    </rPh>
    <rPh sb="2" eb="4">
      <t>ヒョウテン</t>
    </rPh>
    <rPh sb="4" eb="6">
      <t>ホウシキ</t>
    </rPh>
    <phoneticPr fontId="19"/>
  </si>
  <si>
    <t>(※15,000で割ると、相当する号数になります）</t>
    <rPh sb="9" eb="10">
      <t>ワ</t>
    </rPh>
    <rPh sb="13" eb="15">
      <t>ソウトウ</t>
    </rPh>
    <rPh sb="17" eb="19">
      <t>ゴウスウ</t>
    </rPh>
    <phoneticPr fontId="19"/>
  </si>
  <si>
    <t>勾配</t>
    <rPh sb="0" eb="2">
      <t>コウバイ</t>
    </rPh>
    <phoneticPr fontId="50"/>
  </si>
  <si>
    <t>／</t>
    <phoneticPr fontId="50"/>
  </si>
  <si>
    <t>「勾配」は、陸屋根の場合や、仕上の実寸法を入れた場合は、「０／１」等（分子０、分母０以外）とすること</t>
    <rPh sb="1" eb="3">
      <t>コウバイ</t>
    </rPh>
    <rPh sb="6" eb="9">
      <t>リクヤネ</t>
    </rPh>
    <rPh sb="10" eb="12">
      <t>バアイ</t>
    </rPh>
    <rPh sb="14" eb="16">
      <t>シアゲ</t>
    </rPh>
    <rPh sb="17" eb="18">
      <t>ジツ</t>
    </rPh>
    <rPh sb="18" eb="20">
      <t>スンポウ</t>
    </rPh>
    <rPh sb="21" eb="22">
      <t>イ</t>
    </rPh>
    <rPh sb="24" eb="26">
      <t>バアイ</t>
    </rPh>
    <rPh sb="33" eb="34">
      <t>トウ</t>
    </rPh>
    <rPh sb="35" eb="37">
      <t>ブンシ</t>
    </rPh>
    <rPh sb="39" eb="41">
      <t>ブンボ</t>
    </rPh>
    <rPh sb="42" eb="44">
      <t>イガイ</t>
    </rPh>
    <phoneticPr fontId="50"/>
  </si>
  <si>
    <t>面積</t>
    <rPh sb="0" eb="1">
      <t>メン</t>
    </rPh>
    <rPh sb="1" eb="2">
      <t>セキ</t>
    </rPh>
    <phoneticPr fontId="6"/>
  </si>
  <si>
    <t>加算名称１</t>
    <rPh sb="0" eb="2">
      <t>カサン</t>
    </rPh>
    <rPh sb="2" eb="4">
      <t>メイショウ</t>
    </rPh>
    <phoneticPr fontId="19"/>
  </si>
  <si>
    <t>加算名称２</t>
    <rPh sb="0" eb="2">
      <t>カサン</t>
    </rPh>
    <rPh sb="2" eb="4">
      <t>メイショウ</t>
    </rPh>
    <phoneticPr fontId="19"/>
  </si>
  <si>
    <t>加算１</t>
    <rPh sb="0" eb="2">
      <t>カサン</t>
    </rPh>
    <phoneticPr fontId="6"/>
  </si>
  <si>
    <t>加算２</t>
    <rPh sb="0" eb="2">
      <t>カサン</t>
    </rPh>
    <phoneticPr fontId="6"/>
  </si>
  <si>
    <t>床加算</t>
    <rPh sb="0" eb="1">
      <t>ユカ</t>
    </rPh>
    <rPh sb="1" eb="3">
      <t>カサン</t>
    </rPh>
    <phoneticPr fontId="19"/>
  </si>
  <si>
    <t>天井加算</t>
    <rPh sb="0" eb="2">
      <t>テンジョウ</t>
    </rPh>
    <rPh sb="2" eb="4">
      <t>カサン</t>
    </rPh>
    <phoneticPr fontId="19"/>
  </si>
  <si>
    <t>床加算</t>
    <rPh sb="0" eb="1">
      <t>ユカ</t>
    </rPh>
    <rPh sb="1" eb="3">
      <t>カサン</t>
    </rPh>
    <phoneticPr fontId="19"/>
  </si>
  <si>
    <t>天井加算</t>
    <rPh sb="0" eb="2">
      <t>テンジョウ</t>
    </rPh>
    <rPh sb="2" eb="4">
      <t>カサン</t>
    </rPh>
    <phoneticPr fontId="19"/>
  </si>
  <si>
    <t>1段積想定で、土間を含まないと思われますので、</t>
    <rPh sb="1" eb="2">
      <t>ダン</t>
    </rPh>
    <rPh sb="2" eb="3">
      <t>ヅ</t>
    </rPh>
    <rPh sb="3" eb="5">
      <t>ソウテイ</t>
    </rPh>
    <rPh sb="7" eb="9">
      <t>ドマ</t>
    </rPh>
    <rPh sb="10" eb="11">
      <t>フク</t>
    </rPh>
    <rPh sb="15" eb="16">
      <t>オモ</t>
    </rPh>
    <phoneticPr fontId="22"/>
  </si>
  <si>
    <t>←この行だけ、鉄筋用に小数第３位まで表示するようにしてあります。</t>
    <rPh sb="3" eb="4">
      <t>ギョウ</t>
    </rPh>
    <rPh sb="7" eb="9">
      <t>テッキン</t>
    </rPh>
    <rPh sb="9" eb="10">
      <t>ヨウ</t>
    </rPh>
    <rPh sb="11" eb="13">
      <t>ショウスウ</t>
    </rPh>
    <rPh sb="13" eb="14">
      <t>ダイ</t>
    </rPh>
    <rPh sb="15" eb="16">
      <t>クライ</t>
    </rPh>
    <rPh sb="18" eb="20">
      <t>ヒョウジ</t>
    </rPh>
    <phoneticPr fontId="19"/>
  </si>
  <si>
    <t>投影面積と勾配から、仕上面の面積の計算ができるようにしています。</t>
    <rPh sb="0" eb="2">
      <t>トウエイ</t>
    </rPh>
    <rPh sb="2" eb="4">
      <t>メンセキ</t>
    </rPh>
    <rPh sb="5" eb="7">
      <t>コウバイ</t>
    </rPh>
    <rPh sb="10" eb="12">
      <t>シアゲ</t>
    </rPh>
    <rPh sb="12" eb="13">
      <t>メン</t>
    </rPh>
    <rPh sb="14" eb="16">
      <t>メンセキ</t>
    </rPh>
    <rPh sb="17" eb="19">
      <t>ケイサン</t>
    </rPh>
    <phoneticPr fontId="8"/>
  </si>
  <si>
    <t>軽鉄胴縁・母屋控除点数</t>
    <rPh sb="0" eb="2">
      <t>ケイテツ</t>
    </rPh>
    <rPh sb="2" eb="3">
      <t>ドウ</t>
    </rPh>
    <rPh sb="3" eb="4">
      <t>フチ</t>
    </rPh>
    <rPh sb="5" eb="7">
      <t>モヤ</t>
    </rPh>
    <rPh sb="7" eb="9">
      <t>コウジョ</t>
    </rPh>
    <rPh sb="9" eb="11">
      <t>テンスウ</t>
    </rPh>
    <phoneticPr fontId="8"/>
  </si>
  <si>
    <t>※下地が基準上「乾式二重床」(3,450点)の仕上については、欄外注記参照のこと　⇒</t>
    <rPh sb="23" eb="25">
      <t>シア</t>
    </rPh>
    <rPh sb="31" eb="33">
      <t>ランガイ</t>
    </rPh>
    <rPh sb="33" eb="35">
      <t>チュウキ</t>
    </rPh>
    <rPh sb="35" eb="37">
      <t>サンショウ</t>
    </rPh>
    <phoneticPr fontId="22"/>
  </si>
  <si>
    <t>※下地が基準上「乾式二重床」(3,450点)の仕上について、床構造が束立床のときは、以下のどちらかで床組の長封を調整すること</t>
    <rPh sb="23" eb="25">
      <t>シア</t>
    </rPh>
    <rPh sb="42" eb="44">
      <t>イカ</t>
    </rPh>
    <rPh sb="50" eb="51">
      <t>ユカ</t>
    </rPh>
    <rPh sb="51" eb="52">
      <t>グミ</t>
    </rPh>
    <rPh sb="53" eb="54">
      <t>チョウ</t>
    </rPh>
    <rPh sb="54" eb="55">
      <t>フウ</t>
    </rPh>
    <rPh sb="56" eb="58">
      <t>チョウセイ</t>
    </rPh>
    <phoneticPr fontId="22"/>
  </si>
  <si>
    <t>・「床構造で束立床(2,190点）と、床仕上で下地等の3,450点を削除し、下地合板等の評点（材工のみ）へ入れ替えた項目を作成」</t>
    <rPh sb="2" eb="3">
      <t>ユカ</t>
    </rPh>
    <rPh sb="3" eb="5">
      <t>コウゾウ</t>
    </rPh>
    <rPh sb="6" eb="7">
      <t>ツカ</t>
    </rPh>
    <rPh sb="7" eb="8">
      <t>タ</t>
    </rPh>
    <rPh sb="8" eb="9">
      <t>ユカ</t>
    </rPh>
    <rPh sb="15" eb="16">
      <t>テン</t>
    </rPh>
    <rPh sb="19" eb="20">
      <t>ユカ</t>
    </rPh>
    <rPh sb="20" eb="22">
      <t>シア</t>
    </rPh>
    <rPh sb="23" eb="25">
      <t>シタジ</t>
    </rPh>
    <rPh sb="25" eb="26">
      <t>トウ</t>
    </rPh>
    <rPh sb="32" eb="33">
      <t>テン</t>
    </rPh>
    <rPh sb="34" eb="36">
      <t>サクジョ</t>
    </rPh>
    <rPh sb="38" eb="40">
      <t>シタジ</t>
    </rPh>
    <rPh sb="40" eb="42">
      <t>ゴウバン</t>
    </rPh>
    <rPh sb="42" eb="43">
      <t>トウ</t>
    </rPh>
    <rPh sb="44" eb="46">
      <t>ヒョウテン</t>
    </rPh>
    <rPh sb="47" eb="49">
      <t>ザイコウ</t>
    </rPh>
    <rPh sb="53" eb="54">
      <t>イ</t>
    </rPh>
    <rPh sb="55" eb="56">
      <t>カ</t>
    </rPh>
    <rPh sb="58" eb="60">
      <t>コウモク</t>
    </rPh>
    <rPh sb="61" eb="63">
      <t>サクセイ</t>
    </rPh>
    <phoneticPr fontId="22"/>
  </si>
  <si>
    <t>・「床構造では計上せず、標準評点数に（2,190-3,450=）△1,260点と下地合板等の評点（材工のみ）を加えた項目を作成」</t>
    <rPh sb="2" eb="3">
      <t>ユカ</t>
    </rPh>
    <rPh sb="3" eb="5">
      <t>コウゾウ</t>
    </rPh>
    <rPh sb="7" eb="9">
      <t>ケイジョウ</t>
    </rPh>
    <rPh sb="40" eb="42">
      <t>シタジ</t>
    </rPh>
    <rPh sb="42" eb="44">
      <t>ゴウバン</t>
    </rPh>
    <rPh sb="44" eb="45">
      <t>トウ</t>
    </rPh>
    <rPh sb="46" eb="48">
      <t>ヒョウテン</t>
    </rPh>
    <rPh sb="49" eb="51">
      <t>ザイコウ</t>
    </rPh>
    <rPh sb="55" eb="56">
      <t>クワ</t>
    </rPh>
    <rPh sb="58" eb="60">
      <t>コウモク</t>
    </rPh>
    <rPh sb="61" eb="63">
      <t>サクセイ</t>
    </rPh>
    <phoneticPr fontId="22"/>
  </si>
  <si>
    <t>SD４９０以上</t>
    <rPh sb="5" eb="7">
      <t>イジョウ</t>
    </rPh>
    <phoneticPr fontId="22"/>
  </si>
  <si>
    <t>SD３９０以上(490未満）</t>
    <rPh sb="5" eb="7">
      <t>イジョウ</t>
    </rPh>
    <rPh sb="11" eb="13">
      <t>ミマン</t>
    </rPh>
    <phoneticPr fontId="22"/>
  </si>
  <si>
    <t>基礎、躯体の立ち上がり用。Fc６０超</t>
    <rPh sb="0" eb="2">
      <t>キソ</t>
    </rPh>
    <rPh sb="3" eb="5">
      <t>クタイ</t>
    </rPh>
    <rPh sb="6" eb="7">
      <t>タ</t>
    </rPh>
    <rPh sb="8" eb="9">
      <t>ア</t>
    </rPh>
    <rPh sb="11" eb="12">
      <t>ヨウ</t>
    </rPh>
    <rPh sb="17" eb="18">
      <t>チョウ</t>
    </rPh>
    <phoneticPr fontId="22"/>
  </si>
  <si>
    <t>基礎、躯体の立ち上がり用。Fｃ３６～６０</t>
    <rPh sb="0" eb="2">
      <t>キソ</t>
    </rPh>
    <rPh sb="3" eb="5">
      <t>クタイ</t>
    </rPh>
    <rPh sb="6" eb="7">
      <t>タ</t>
    </rPh>
    <rPh sb="8" eb="9">
      <t>ア</t>
    </rPh>
    <rPh sb="11" eb="12">
      <t>ヨウ</t>
    </rPh>
    <phoneticPr fontId="22"/>
  </si>
  <si>
    <t>基礎、躯体の立ち上がり用。Fｃ３６以下</t>
    <rPh sb="0" eb="2">
      <t>キソ</t>
    </rPh>
    <rPh sb="3" eb="5">
      <t>クタイ</t>
    </rPh>
    <rPh sb="6" eb="7">
      <t>タ</t>
    </rPh>
    <rPh sb="8" eb="9">
      <t>ア</t>
    </rPh>
    <rPh sb="11" eb="12">
      <t>ヨウ</t>
    </rPh>
    <rPh sb="17" eb="19">
      <t>イカ</t>
    </rPh>
    <phoneticPr fontId="22"/>
  </si>
  <si>
    <t>浴槽</t>
    <rPh sb="0" eb="2">
      <t>ヨクソウ</t>
    </rPh>
    <phoneticPr fontId="19"/>
  </si>
  <si>
    <t>平成21基準までは、湯沸釜込みでしたが、</t>
    <rPh sb="0" eb="2">
      <t>ヘイセイ</t>
    </rPh>
    <rPh sb="4" eb="6">
      <t>キジュン</t>
    </rPh>
    <rPh sb="10" eb="12">
      <t>ユワカシ</t>
    </rPh>
    <rPh sb="12" eb="13">
      <t>ガマ</t>
    </rPh>
    <rPh sb="13" eb="14">
      <t>コミ</t>
    </rPh>
    <phoneticPr fontId="19"/>
  </si>
  <si>
    <t>現在は、浴槽とは別に給湯器があることが通常のため、給湯器・配管を含まない浴槽のみの評点です</t>
    <rPh sb="0" eb="2">
      <t>ゲンザイ</t>
    </rPh>
    <rPh sb="4" eb="6">
      <t>ヨクソウ</t>
    </rPh>
    <rPh sb="8" eb="9">
      <t>ベツ</t>
    </rPh>
    <rPh sb="10" eb="13">
      <t>キュウトウキ</t>
    </rPh>
    <rPh sb="19" eb="21">
      <t>ツウジョウ</t>
    </rPh>
    <rPh sb="25" eb="28">
      <t>キュウトウキ</t>
    </rPh>
    <rPh sb="29" eb="31">
      <t>ハイカン</t>
    </rPh>
    <rPh sb="32" eb="33">
      <t>フク</t>
    </rPh>
    <rPh sb="36" eb="38">
      <t>ヨクソウ</t>
    </rPh>
    <rPh sb="41" eb="43">
      <t>ヒョウテン</t>
    </rPh>
    <phoneticPr fontId="19"/>
  </si>
  <si>
    <t>別途給湯器・給湯配管を評点付設してください。</t>
    <rPh sb="0" eb="2">
      <t>ベット</t>
    </rPh>
    <rPh sb="2" eb="5">
      <t>キュウトウキ</t>
    </rPh>
    <rPh sb="6" eb="8">
      <t>キュウトウ</t>
    </rPh>
    <rPh sb="8" eb="10">
      <t>ハイカン</t>
    </rPh>
    <rPh sb="11" eb="13">
      <t>ヒョウテン</t>
    </rPh>
    <rPh sb="13" eb="15">
      <t>フセツ</t>
    </rPh>
    <phoneticPr fontId="19"/>
  </si>
  <si>
    <t>上と並の区別は、上：檜製相当、並FRP製相当</t>
    <rPh sb="0" eb="1">
      <t>ジョウ</t>
    </rPh>
    <rPh sb="2" eb="3">
      <t>ナミ</t>
    </rPh>
    <rPh sb="4" eb="6">
      <t>クベツ</t>
    </rPh>
    <rPh sb="8" eb="9">
      <t>ジョウ</t>
    </rPh>
    <rPh sb="10" eb="11">
      <t>ヒノキ</t>
    </rPh>
    <rPh sb="11" eb="12">
      <t>セイ</t>
    </rPh>
    <rPh sb="12" eb="14">
      <t>ソウトウ</t>
    </rPh>
    <rPh sb="15" eb="16">
      <t>ナミ</t>
    </rPh>
    <rPh sb="19" eb="20">
      <t>セイ</t>
    </rPh>
    <rPh sb="20" eb="22">
      <t>ソウトウ</t>
    </rPh>
    <phoneticPr fontId="19"/>
  </si>
  <si>
    <t>また、大きさの目安は</t>
    <rPh sb="3" eb="4">
      <t>オオ</t>
    </rPh>
    <rPh sb="7" eb="9">
      <t>メヤス</t>
    </rPh>
    <phoneticPr fontId="19"/>
  </si>
  <si>
    <t>大きい：140*80*60ｃｍ程度</t>
    <rPh sb="0" eb="1">
      <t>オオ</t>
    </rPh>
    <rPh sb="15" eb="17">
      <t>テイド</t>
    </rPh>
    <phoneticPr fontId="19"/>
  </si>
  <si>
    <t>小さい：100*70*60ｃｍ程度</t>
    <rPh sb="0" eb="1">
      <t>チイ</t>
    </rPh>
    <rPh sb="15" eb="17">
      <t>テイド</t>
    </rPh>
    <phoneticPr fontId="19"/>
  </si>
  <si>
    <t xml:space="preserve">浴槽(上)
</t>
    <rPh sb="0" eb="2">
      <t>ヨクソウ</t>
    </rPh>
    <rPh sb="3" eb="4">
      <t>ジョウ</t>
    </rPh>
    <phoneticPr fontId="8"/>
  </si>
  <si>
    <t>浴槽(並)</t>
    <rPh sb="0" eb="2">
      <t>ヨクソウ</t>
    </rPh>
    <rPh sb="3" eb="4">
      <t>ナミ</t>
    </rPh>
    <phoneticPr fontId="8"/>
  </si>
  <si>
    <t>木造・LGSからの転用です。</t>
    <rPh sb="0" eb="2">
      <t>モクゾウ</t>
    </rPh>
    <rPh sb="9" eb="11">
      <t>テンヨウ</t>
    </rPh>
    <phoneticPr fontId="19"/>
  </si>
  <si>
    <t>浴槽（上）</t>
    <rPh sb="0" eb="2">
      <t>ヨクソウ</t>
    </rPh>
    <rPh sb="3" eb="4">
      <t>ジョウ</t>
    </rPh>
    <phoneticPr fontId="8"/>
  </si>
  <si>
    <t>浴槽（上）・大きさ</t>
    <rPh sb="0" eb="2">
      <t>ヨクソウ</t>
    </rPh>
    <rPh sb="3" eb="4">
      <t>ジョウ</t>
    </rPh>
    <rPh sb="6" eb="7">
      <t>オオ</t>
    </rPh>
    <phoneticPr fontId="8"/>
  </si>
  <si>
    <t>浴槽（上）・程度</t>
    <rPh sb="0" eb="2">
      <t>ヨクソウ</t>
    </rPh>
    <rPh sb="3" eb="4">
      <t>ジョウ</t>
    </rPh>
    <rPh sb="6" eb="8">
      <t>テイド</t>
    </rPh>
    <phoneticPr fontId="8"/>
  </si>
  <si>
    <t>浴槽（並）</t>
    <rPh sb="0" eb="2">
      <t>ヨクソウ</t>
    </rPh>
    <rPh sb="3" eb="4">
      <t>ナミ</t>
    </rPh>
    <phoneticPr fontId="8"/>
  </si>
  <si>
    <t>浴槽（並）・大きさ</t>
    <rPh sb="0" eb="2">
      <t>ヨクソウ</t>
    </rPh>
    <rPh sb="3" eb="4">
      <t>ナミ</t>
    </rPh>
    <rPh sb="6" eb="7">
      <t>オオ</t>
    </rPh>
    <phoneticPr fontId="8"/>
  </si>
  <si>
    <t>浴槽（並）・程度</t>
    <rPh sb="0" eb="2">
      <t>ヨクソウ</t>
    </rPh>
    <rPh sb="3" eb="4">
      <t>ナミ</t>
    </rPh>
    <rPh sb="6" eb="8">
      <t>テイド</t>
    </rPh>
    <phoneticPr fontId="8"/>
  </si>
  <si>
    <t>分散(各階3)</t>
  </si>
  <si>
    <t>普通(各階2)</t>
  </si>
  <si>
    <t>集中(各階1)</t>
  </si>
  <si>
    <t>※配置の各階の数は、給水の集中制同様に口数ではなく、使用箇所（トイレ、給湯室）のかたまりの数</t>
    <rPh sb="1" eb="3">
      <t>ハイチ</t>
    </rPh>
    <rPh sb="4" eb="6">
      <t>カクカイ</t>
    </rPh>
    <rPh sb="7" eb="8">
      <t>カズ</t>
    </rPh>
    <rPh sb="10" eb="12">
      <t>キュウスイ</t>
    </rPh>
    <rPh sb="13" eb="16">
      <t>シュウチュウセイ</t>
    </rPh>
    <rPh sb="16" eb="17">
      <t>ドウ</t>
    </rPh>
    <rPh sb="17" eb="18">
      <t>ヨウ</t>
    </rPh>
    <rPh sb="19" eb="20">
      <t>クチ</t>
    </rPh>
    <rPh sb="20" eb="21">
      <t>スウ</t>
    </rPh>
    <rPh sb="26" eb="28">
      <t>シヨウ</t>
    </rPh>
    <rPh sb="28" eb="30">
      <t>カショ</t>
    </rPh>
    <rPh sb="35" eb="38">
      <t>キュウトウシツ</t>
    </rPh>
    <rPh sb="45" eb="46">
      <t>カズ</t>
    </rPh>
    <phoneticPr fontId="8"/>
  </si>
  <si>
    <t>　　（ただし、給湯のない給水のみの箇所は除くこと）</t>
    <rPh sb="7" eb="9">
      <t>キュウトウ</t>
    </rPh>
    <rPh sb="12" eb="14">
      <t>キュウスイ</t>
    </rPh>
    <rPh sb="17" eb="19">
      <t>カショ</t>
    </rPh>
    <rPh sb="20" eb="21">
      <t>ノゾ</t>
    </rPh>
    <phoneticPr fontId="8"/>
  </si>
  <si>
    <t>×</t>
    <phoneticPr fontId="8"/>
  </si>
  <si>
    <t>スラブ床のｺﾝｸﾘｰﾄ用。ﾃﾞｯｷﾌﾟﾚｰﾄ、ｷｰｽﾄﾝﾌﾟﾚｰﾄへの打ち込み等の場合に使用</t>
    <rPh sb="3" eb="4">
      <t>ユカ</t>
    </rPh>
    <rPh sb="11" eb="12">
      <t>ヨウ</t>
    </rPh>
    <rPh sb="35" eb="36">
      <t>ウ</t>
    </rPh>
    <rPh sb="37" eb="38">
      <t>コ</t>
    </rPh>
    <rPh sb="39" eb="40">
      <t>トウ</t>
    </rPh>
    <rPh sb="41" eb="43">
      <t>バアイ</t>
    </rPh>
    <rPh sb="44" eb="46">
      <t>シヨウ</t>
    </rPh>
    <phoneticPr fontId="22"/>
  </si>
  <si>
    <t>捨コンなど水平面への打ち込みで流れ止めの型枠程度を使用する部分に適用</t>
    <rPh sb="0" eb="1">
      <t>ステ</t>
    </rPh>
    <rPh sb="5" eb="8">
      <t>スイヘイメン</t>
    </rPh>
    <rPh sb="10" eb="11">
      <t>ウ</t>
    </rPh>
    <rPh sb="12" eb="13">
      <t>コ</t>
    </rPh>
    <rPh sb="15" eb="16">
      <t>ナガ</t>
    </rPh>
    <rPh sb="17" eb="18">
      <t>ド</t>
    </rPh>
    <rPh sb="20" eb="22">
      <t>カタワク</t>
    </rPh>
    <rPh sb="22" eb="24">
      <t>テイド</t>
    </rPh>
    <rPh sb="25" eb="27">
      <t>シヨウ</t>
    </rPh>
    <rPh sb="29" eb="31">
      <t>ブブン</t>
    </rPh>
    <rPh sb="32" eb="34">
      <t>テキヨウ</t>
    </rPh>
    <phoneticPr fontId="22"/>
  </si>
  <si>
    <t>㎡</t>
    <phoneticPr fontId="22"/>
  </si>
  <si>
    <t>「簡単LGS]０．５は、LGS工倉市のみ適用</t>
    <rPh sb="1" eb="3">
      <t>カンタン</t>
    </rPh>
    <rPh sb="15" eb="16">
      <t>コウ</t>
    </rPh>
    <rPh sb="16" eb="17">
      <t>ソウ</t>
    </rPh>
    <rPh sb="17" eb="18">
      <t>イチ</t>
    </rPh>
    <rPh sb="20" eb="22">
      <t>テキヨウ</t>
    </rPh>
    <phoneticPr fontId="22"/>
  </si>
  <si>
    <t>B種</t>
    <rPh sb="1" eb="2">
      <t>シュ</t>
    </rPh>
    <phoneticPr fontId="22"/>
  </si>
  <si>
    <t>(～ｈ２７まで、ＬＧＳプレハブは、ＬＧＳ住宅に倣い仮設工事を計上しなかったが、Ｈ３０～住宅で計上するようになったのに合わせ、減点の上計上することとした）</t>
    <rPh sb="20" eb="22">
      <t>ジュウタク</t>
    </rPh>
    <rPh sb="23" eb="24">
      <t>ナラ</t>
    </rPh>
    <rPh sb="25" eb="27">
      <t>カセツ</t>
    </rPh>
    <rPh sb="27" eb="29">
      <t>コウジ</t>
    </rPh>
    <rPh sb="30" eb="32">
      <t>ケイジョウ</t>
    </rPh>
    <rPh sb="43" eb="45">
      <t>ジュウタク</t>
    </rPh>
    <rPh sb="46" eb="48">
      <t>ケイジョウ</t>
    </rPh>
    <rPh sb="58" eb="59">
      <t>ア</t>
    </rPh>
    <rPh sb="62" eb="64">
      <t>ゲンテン</t>
    </rPh>
    <rPh sb="65" eb="66">
      <t>ウエ</t>
    </rPh>
    <rPh sb="66" eb="68">
      <t>ケイジョウ</t>
    </rPh>
    <phoneticPr fontId="22"/>
  </si>
  <si>
    <t>SD３９０未満　※小規模家屋で強度の記載のない場合は「並」（三所合意事項）</t>
    <rPh sb="5" eb="7">
      <t>ミマン</t>
    </rPh>
    <rPh sb="9" eb="12">
      <t>ショウキボ</t>
    </rPh>
    <rPh sb="12" eb="14">
      <t>カオク</t>
    </rPh>
    <rPh sb="15" eb="17">
      <t>キョウド</t>
    </rPh>
    <rPh sb="18" eb="20">
      <t>キサイ</t>
    </rPh>
    <rPh sb="23" eb="25">
      <t>バアイ</t>
    </rPh>
    <rPh sb="27" eb="28">
      <t>ナミ</t>
    </rPh>
    <rPh sb="30" eb="31">
      <t>サン</t>
    </rPh>
    <rPh sb="31" eb="32">
      <t>ショ</t>
    </rPh>
    <rPh sb="32" eb="34">
      <t>ゴウイ</t>
    </rPh>
    <rPh sb="34" eb="36">
      <t>ジコウ</t>
    </rPh>
    <phoneticPr fontId="22"/>
  </si>
  <si>
    <t>設置されている天吊クレーンの力量
※200ｔの補正は基準解説より（２００ｔまでの記載のため２００ｔで上限止め）</t>
    <rPh sb="23" eb="25">
      <t>ホセイ</t>
    </rPh>
    <rPh sb="26" eb="28">
      <t>キジュン</t>
    </rPh>
    <rPh sb="28" eb="30">
      <t>カイセツ</t>
    </rPh>
    <rPh sb="40" eb="42">
      <t>キサイ</t>
    </rPh>
    <rPh sb="50" eb="52">
      <t>ジョウゲン</t>
    </rPh>
    <rPh sb="52" eb="53">
      <t>ド</t>
    </rPh>
    <phoneticPr fontId="22"/>
  </si>
  <si>
    <t>デッキプレート+溶接金網+コンクリート想定</t>
    <rPh sb="8" eb="10">
      <t>ヨウセツ</t>
    </rPh>
    <rPh sb="10" eb="12">
      <t>カナアミ</t>
    </rPh>
    <rPh sb="19" eb="21">
      <t>ソウテイ</t>
    </rPh>
    <phoneticPr fontId="22"/>
  </si>
  <si>
    <t>フラットデッキ+鉄筋＋コンクリート想定</t>
    <rPh sb="8" eb="10">
      <t>テッキン</t>
    </rPh>
    <rPh sb="17" eb="19">
      <t>ソウテイ</t>
    </rPh>
    <phoneticPr fontId="22"/>
  </si>
  <si>
    <t>Ｈ２７までのコンクリート叩。「鉄筋コンクリート基礎」に含まれるスラブと二重計上しないよう注意すること</t>
    <rPh sb="12" eb="13">
      <t>タタ</t>
    </rPh>
    <rPh sb="15" eb="17">
      <t>テッキン</t>
    </rPh>
    <rPh sb="23" eb="25">
      <t>キソ</t>
    </rPh>
    <rPh sb="27" eb="28">
      <t>フク</t>
    </rPh>
    <rPh sb="35" eb="37">
      <t>ニジュウ</t>
    </rPh>
    <rPh sb="37" eb="39">
      <t>ケイジョウ</t>
    </rPh>
    <rPh sb="44" eb="46">
      <t>チュウイ</t>
    </rPh>
    <phoneticPr fontId="22"/>
  </si>
  <si>
    <t>上端が平に成形され、構造部材でなく型枠として機能するもの</t>
    <rPh sb="0" eb="2">
      <t>ジョウタン</t>
    </rPh>
    <rPh sb="3" eb="4">
      <t>タイラ</t>
    </rPh>
    <rPh sb="5" eb="7">
      <t>セイケイ</t>
    </rPh>
    <rPh sb="10" eb="12">
      <t>コウゾウ</t>
    </rPh>
    <rPh sb="12" eb="14">
      <t>ブザイ</t>
    </rPh>
    <rPh sb="17" eb="19">
      <t>カタワク</t>
    </rPh>
    <rPh sb="22" eb="24">
      <t>キノウ</t>
    </rPh>
    <phoneticPr fontId="22"/>
  </si>
  <si>
    <t>プレート自体がコンクリートと併せて構造部材となるもの</t>
    <rPh sb="4" eb="6">
      <t>ジタイ</t>
    </rPh>
    <rPh sb="14" eb="15">
      <t>アワ</t>
    </rPh>
    <rPh sb="17" eb="19">
      <t>コウゾウ</t>
    </rPh>
    <rPh sb="19" eb="21">
      <t>ブザイ</t>
    </rPh>
    <phoneticPr fontId="22"/>
  </si>
  <si>
    <t>コン打デッキプレート（捨型枠）1.6㎜厚</t>
    <phoneticPr fontId="22"/>
  </si>
  <si>
    <t>コン打デッキプレート（捨型枠）1.2㎜厚</t>
    <phoneticPr fontId="22"/>
  </si>
  <si>
    <t>コン打デッキプレート（捨型枠）1.0㎜厚</t>
    <phoneticPr fontId="22"/>
  </si>
  <si>
    <t>鉄筋コン打フラットデッキ（捨型枠）1.2㎜厚</t>
    <phoneticPr fontId="22"/>
  </si>
  <si>
    <t>鉄筋コン打フラットデッキ（捨型枠）0.8㎜厚</t>
    <phoneticPr fontId="22"/>
  </si>
  <si>
    <t>カーテンウォール ステンレス パネル形式</t>
    <phoneticPr fontId="22"/>
  </si>
  <si>
    <t>カーテンウォール アルミ 方立形式</t>
    <phoneticPr fontId="22"/>
  </si>
  <si>
    <t>珪酸カルシウム板</t>
    <phoneticPr fontId="22"/>
  </si>
  <si>
    <t>化粧珪酸カルシウム板</t>
    <phoneticPr fontId="22"/>
  </si>
  <si>
    <t>亜鉛めっき鋼板</t>
    <phoneticPr fontId="22"/>
  </si>
  <si>
    <t>塗装亜鉛めっき鋼板平板</t>
    <phoneticPr fontId="22"/>
  </si>
  <si>
    <t>塗装亜鉛めっき鋼板波板</t>
    <phoneticPr fontId="22"/>
  </si>
  <si>
    <t>ほうろう鋼板</t>
    <phoneticPr fontId="22"/>
  </si>
  <si>
    <t>塩化ビニル樹脂被覆鋼板</t>
    <phoneticPr fontId="22"/>
  </si>
  <si>
    <t>プリント鋼板</t>
    <phoneticPr fontId="22"/>
  </si>
  <si>
    <t>塗装亜鉛めっき鋼板平板(RCﾌﾟﾚ)</t>
    <phoneticPr fontId="22"/>
  </si>
  <si>
    <t>ほうろう鋼板(RCﾌﾟﾚ)</t>
    <phoneticPr fontId="22"/>
  </si>
  <si>
    <t>塩化ビニル樹脂被覆鋼板(RCﾌﾟﾚ)</t>
    <phoneticPr fontId="22"/>
  </si>
  <si>
    <t>プリント鋼板(RCﾌﾟﾚ)</t>
    <phoneticPr fontId="22"/>
  </si>
  <si>
    <t>塗装亜鉛めっき鋼板</t>
    <phoneticPr fontId="22"/>
  </si>
  <si>
    <t>ほうろう鋼板</t>
    <phoneticPr fontId="22"/>
  </si>
  <si>
    <t>へいばん</t>
    <phoneticPr fontId="22"/>
  </si>
  <si>
    <t>※H30.10.30　免震装置のゴム外径補正は保留し今後検討</t>
    <rPh sb="11" eb="13">
      <t>メンシン</t>
    </rPh>
    <rPh sb="13" eb="15">
      <t>ソウチ</t>
    </rPh>
    <rPh sb="18" eb="20">
      <t>ガイケイ</t>
    </rPh>
    <rPh sb="20" eb="22">
      <t>ホセイ</t>
    </rPh>
    <rPh sb="23" eb="25">
      <t>ホリュウ</t>
    </rPh>
    <rPh sb="26" eb="28">
      <t>コンゴ</t>
    </rPh>
    <rPh sb="28" eb="30">
      <t>ケントウ</t>
    </rPh>
    <phoneticPr fontId="22"/>
  </si>
  <si>
    <t>※H30.10.29　SRCの規模補正は保留し今後検討</t>
    <rPh sb="15" eb="17">
      <t>キボ</t>
    </rPh>
    <rPh sb="17" eb="19">
      <t>ホセイ</t>
    </rPh>
    <rPh sb="20" eb="22">
      <t>ホリュウ</t>
    </rPh>
    <rPh sb="23" eb="25">
      <t>コンゴ</t>
    </rPh>
    <rPh sb="25" eb="27">
      <t>ケントウ</t>
    </rPh>
    <phoneticPr fontId="22"/>
  </si>
  <si>
    <t>耐火被覆加算項目</t>
    <rPh sb="0" eb="2">
      <t>タイカ</t>
    </rPh>
    <rPh sb="2" eb="4">
      <t>ヒフク</t>
    </rPh>
    <rPh sb="4" eb="6">
      <t>カサン</t>
    </rPh>
    <rPh sb="6" eb="8">
      <t>コウモク</t>
    </rPh>
    <phoneticPr fontId="22"/>
  </si>
  <si>
    <t>標準評点数</t>
    <rPh sb="0" eb="2">
      <t>ヒョウジュン</t>
    </rPh>
    <rPh sb="2" eb="4">
      <t>ヒョウテン</t>
    </rPh>
    <rPh sb="4" eb="5">
      <t>スウ</t>
    </rPh>
    <phoneticPr fontId="22"/>
  </si>
  <si>
    <t>数量（単位）</t>
    <phoneticPr fontId="22"/>
  </si>
  <si>
    <t>評 点 数</t>
    <phoneticPr fontId="8"/>
  </si>
  <si>
    <t>耐火性能</t>
    <rPh sb="0" eb="2">
      <t>タイカ</t>
    </rPh>
    <rPh sb="2" eb="4">
      <t>セイノウ</t>
    </rPh>
    <phoneticPr fontId="22"/>
  </si>
  <si>
    <t>耐火被覆評点数</t>
    <rPh sb="0" eb="2">
      <t>タイカ</t>
    </rPh>
    <rPh sb="2" eb="4">
      <t>ヒフク</t>
    </rPh>
    <rPh sb="4" eb="6">
      <t>ヒョウテン</t>
    </rPh>
    <rPh sb="6" eb="7">
      <t>スウ</t>
    </rPh>
    <phoneticPr fontId="22"/>
  </si>
  <si>
    <t>－</t>
    <phoneticPr fontId="22"/>
  </si>
  <si>
    <t>鉄骨 ［塗装無］（ｔ）</t>
    <phoneticPr fontId="22"/>
  </si>
  <si>
    <t>鉄骨 ［錆止め塗装］（ｔ）</t>
    <rPh sb="4" eb="5">
      <t>サビ</t>
    </rPh>
    <rPh sb="5" eb="6">
      <t>ド</t>
    </rPh>
    <phoneticPr fontId="22"/>
  </si>
  <si>
    <t>鉄骨 ［亜鉛めっき］（ｔ）</t>
    <phoneticPr fontId="22"/>
  </si>
  <si>
    <t>耐火被覆［塗装・３時間耐火］（㎡）</t>
    <rPh sb="0" eb="2">
      <t>タイカ</t>
    </rPh>
    <rPh sb="2" eb="4">
      <t>ヒフク</t>
    </rPh>
    <rPh sb="5" eb="7">
      <t>トソウ</t>
    </rPh>
    <rPh sb="9" eb="11">
      <t>ジカン</t>
    </rPh>
    <rPh sb="11" eb="13">
      <t>タイカ</t>
    </rPh>
    <phoneticPr fontId="22"/>
  </si>
  <si>
    <t>耐火被覆［塗装・２時間耐火］（㎡）</t>
    <rPh sb="0" eb="2">
      <t>タイカ</t>
    </rPh>
    <rPh sb="2" eb="4">
      <t>ヒフク</t>
    </rPh>
    <rPh sb="5" eb="7">
      <t>トソウ</t>
    </rPh>
    <rPh sb="9" eb="11">
      <t>ジカン</t>
    </rPh>
    <rPh sb="11" eb="13">
      <t>タイカ</t>
    </rPh>
    <phoneticPr fontId="22"/>
  </si>
  <si>
    <t>耐火被覆［塗装・１時間耐火］（㎡）</t>
    <rPh sb="0" eb="2">
      <t>タイカ</t>
    </rPh>
    <rPh sb="2" eb="4">
      <t>ヒフク</t>
    </rPh>
    <rPh sb="5" eb="7">
      <t>トソウ</t>
    </rPh>
    <rPh sb="9" eb="11">
      <t>ジカン</t>
    </rPh>
    <rPh sb="11" eb="13">
      <t>タイカ</t>
    </rPh>
    <phoneticPr fontId="22"/>
  </si>
  <si>
    <t>耐火被覆［成形板・２時間耐火］（㎡）</t>
    <rPh sb="0" eb="2">
      <t>タイカ</t>
    </rPh>
    <rPh sb="2" eb="4">
      <t>ヒフク</t>
    </rPh>
    <rPh sb="5" eb="7">
      <t>セイケイ</t>
    </rPh>
    <rPh sb="7" eb="8">
      <t>イタ</t>
    </rPh>
    <rPh sb="10" eb="12">
      <t>ジカン</t>
    </rPh>
    <rPh sb="12" eb="14">
      <t>タイカ</t>
    </rPh>
    <phoneticPr fontId="22"/>
  </si>
  <si>
    <t>耐火被覆［成形板・１時間耐火］（㎡）</t>
    <rPh sb="0" eb="2">
      <t>タイカ</t>
    </rPh>
    <rPh sb="2" eb="4">
      <t>ヒフク</t>
    </rPh>
    <rPh sb="5" eb="7">
      <t>セイケイ</t>
    </rPh>
    <rPh sb="7" eb="8">
      <t>バン</t>
    </rPh>
    <rPh sb="10" eb="12">
      <t>ジカン</t>
    </rPh>
    <rPh sb="12" eb="14">
      <t>タイカ</t>
    </rPh>
    <phoneticPr fontId="22"/>
  </si>
  <si>
    <t>外壁仕上</t>
    <rPh sb="0" eb="1">
      <t>ソト</t>
    </rPh>
    <rPh sb="1" eb="2">
      <t>カベ</t>
    </rPh>
    <rPh sb="2" eb="3">
      <t>ツコウ</t>
    </rPh>
    <rPh sb="3" eb="4">
      <t>ジョウ</t>
    </rPh>
    <phoneticPr fontId="8"/>
  </si>
  <si>
    <t>内壁仕上</t>
    <rPh sb="0" eb="1">
      <t>ウチ</t>
    </rPh>
    <rPh sb="1" eb="2">
      <t>カベ</t>
    </rPh>
    <rPh sb="2" eb="3">
      <t>ツコウ</t>
    </rPh>
    <rPh sb="3" eb="4">
      <t>ジョウ</t>
    </rPh>
    <phoneticPr fontId="8"/>
  </si>
  <si>
    <t>内　壁　仕　上</t>
    <rPh sb="0" eb="1">
      <t>ナイ</t>
    </rPh>
    <rPh sb="2" eb="3">
      <t>カベ</t>
    </rPh>
    <rPh sb="4" eb="5">
      <t>ツコウ</t>
    </rPh>
    <rPh sb="6" eb="7">
      <t>ジョウ</t>
    </rPh>
    <phoneticPr fontId="8"/>
  </si>
  <si>
    <t>外　壁　仕　上</t>
    <rPh sb="0" eb="1">
      <t>ソト</t>
    </rPh>
    <rPh sb="2" eb="3">
      <t>カベ</t>
    </rPh>
    <rPh sb="4" eb="5">
      <t>ツコウ</t>
    </rPh>
    <rPh sb="6" eb="7">
      <t>ジョウ</t>
    </rPh>
    <phoneticPr fontId="8"/>
  </si>
  <si>
    <t>外壁仕上</t>
    <rPh sb="0" eb="1">
      <t>ソト</t>
    </rPh>
    <rPh sb="1" eb="2">
      <t>カベ</t>
    </rPh>
    <rPh sb="2" eb="3">
      <t>ツコウ</t>
    </rPh>
    <rPh sb="3" eb="4">
      <t>ジョウ</t>
    </rPh>
    <phoneticPr fontId="19"/>
  </si>
  <si>
    <t>内壁仕上</t>
    <rPh sb="0" eb="1">
      <t>ウチ</t>
    </rPh>
    <rPh sb="1" eb="2">
      <t>カベ</t>
    </rPh>
    <rPh sb="2" eb="3">
      <t>ツコウ</t>
    </rPh>
    <rPh sb="3" eb="4">
      <t>ジョウ</t>
    </rPh>
    <phoneticPr fontId="19"/>
  </si>
  <si>
    <t>メラミン樹脂化粧板</t>
    <rPh sb="4" eb="6">
      <t>ジュシ</t>
    </rPh>
    <rPh sb="6" eb="9">
      <t>ケショウバン</t>
    </rPh>
    <phoneticPr fontId="22"/>
  </si>
  <si>
    <t>メラミン樹脂化粧板（RCプレ）</t>
    <rPh sb="4" eb="6">
      <t>ジュシ</t>
    </rPh>
    <rPh sb="6" eb="9">
      <t>ケショウバン</t>
    </rPh>
    <phoneticPr fontId="22"/>
  </si>
  <si>
    <t>板ガラス［中・厚7.0mm以下］</t>
    <rPh sb="5" eb="6">
      <t>チュウ</t>
    </rPh>
    <rPh sb="7" eb="8">
      <t>アツシ</t>
    </rPh>
    <rPh sb="13" eb="15">
      <t>イカ</t>
    </rPh>
    <phoneticPr fontId="22"/>
  </si>
  <si>
    <t>板ガラス［並・厚7.0mm以下］</t>
    <rPh sb="5" eb="6">
      <t>ナミ</t>
    </rPh>
    <rPh sb="7" eb="8">
      <t>アツシ</t>
    </rPh>
    <rPh sb="13" eb="15">
      <t>イカ</t>
    </rPh>
    <phoneticPr fontId="22"/>
  </si>
  <si>
    <t>空気層を除いた板厚の合計</t>
    <rPh sb="0" eb="2">
      <t>クウキ</t>
    </rPh>
    <rPh sb="2" eb="3">
      <t>ソウ</t>
    </rPh>
    <rPh sb="4" eb="5">
      <t>ノゾ</t>
    </rPh>
    <rPh sb="7" eb="9">
      <t>イタアツ</t>
    </rPh>
    <rPh sb="10" eb="12">
      <t>ゴウケイ</t>
    </rPh>
    <phoneticPr fontId="8"/>
  </si>
  <si>
    <t>板ガラス　中12mm超</t>
    <rPh sb="0" eb="1">
      <t>イタ</t>
    </rPh>
    <rPh sb="5" eb="6">
      <t>チュウ</t>
    </rPh>
    <rPh sb="10" eb="11">
      <t>チョウ</t>
    </rPh>
    <phoneticPr fontId="8"/>
  </si>
  <si>
    <t>板ガラス　中7mm超12mm以下</t>
    <rPh sb="0" eb="1">
      <t>イタ</t>
    </rPh>
    <rPh sb="5" eb="6">
      <t>チュウ</t>
    </rPh>
    <rPh sb="9" eb="10">
      <t>チョウ</t>
    </rPh>
    <rPh sb="14" eb="16">
      <t>イカ</t>
    </rPh>
    <phoneticPr fontId="8"/>
  </si>
  <si>
    <t>板ガラス　中7mm以下</t>
    <rPh sb="0" eb="1">
      <t>イタ</t>
    </rPh>
    <rPh sb="5" eb="6">
      <t>チュウ</t>
    </rPh>
    <rPh sb="9" eb="11">
      <t>イカ</t>
    </rPh>
    <phoneticPr fontId="8"/>
  </si>
  <si>
    <t>板ガラス　並7mm超</t>
    <rPh sb="0" eb="1">
      <t>イタ</t>
    </rPh>
    <rPh sb="5" eb="6">
      <t>ナミ</t>
    </rPh>
    <rPh sb="9" eb="10">
      <t>チョウ</t>
    </rPh>
    <phoneticPr fontId="8"/>
  </si>
  <si>
    <t>板ガラス　並7mm以下</t>
    <rPh sb="0" eb="1">
      <t>イタ</t>
    </rPh>
    <rPh sb="5" eb="6">
      <t>ナミ</t>
    </rPh>
    <rPh sb="9" eb="11">
      <t>イカ</t>
    </rPh>
    <phoneticPr fontId="8"/>
  </si>
  <si>
    <t>電灯</t>
    <rPh sb="0" eb="2">
      <t>デントウ</t>
    </rPh>
    <phoneticPr fontId="8"/>
  </si>
  <si>
    <t>［電灯］</t>
    <rPh sb="1" eb="3">
      <t>デントウ</t>
    </rPh>
    <phoneticPr fontId="8"/>
  </si>
  <si>
    <t>明るさ</t>
    <rPh sb="0" eb="1">
      <t>アカ</t>
    </rPh>
    <phoneticPr fontId="8"/>
  </si>
  <si>
    <t>必要</t>
    <rPh sb="0" eb="2">
      <t>ヒツヨウ</t>
    </rPh>
    <phoneticPr fontId="8"/>
  </si>
  <si>
    <t>不要</t>
    <rPh sb="0" eb="2">
      <t>フヨウ</t>
    </rPh>
    <phoneticPr fontId="8"/>
  </si>
  <si>
    <t>呼出表示</t>
    <rPh sb="0" eb="1">
      <t>ヨ</t>
    </rPh>
    <rPh sb="1" eb="2">
      <t>ダ</t>
    </rPh>
    <rPh sb="2" eb="4">
      <t>ヒョウジ</t>
    </rPh>
    <phoneticPr fontId="8"/>
  </si>
  <si>
    <t>箇所</t>
    <rPh sb="0" eb="2">
      <t>カショ</t>
    </rPh>
    <phoneticPr fontId="8"/>
  </si>
  <si>
    <t>呼出表示</t>
    <rPh sb="0" eb="2">
      <t>ヨビダ</t>
    </rPh>
    <rPh sb="2" eb="4">
      <t>ヒョウジ</t>
    </rPh>
    <phoneticPr fontId="8"/>
  </si>
  <si>
    <t>監視カメラ</t>
    <rPh sb="0" eb="2">
      <t>カンシ</t>
    </rPh>
    <phoneticPr fontId="8"/>
  </si>
  <si>
    <t>(系統・階層)</t>
    <rPh sb="1" eb="3">
      <t>ケイトウ</t>
    </rPh>
    <rPh sb="4" eb="6">
      <t>カイソウ</t>
    </rPh>
    <phoneticPr fontId="8"/>
  </si>
  <si>
    <t>階高</t>
    <rPh sb="0" eb="2">
      <t>カイダカ</t>
    </rPh>
    <phoneticPr fontId="8"/>
  </si>
  <si>
    <t>ガス主管</t>
    <rPh sb="2" eb="4">
      <t>シュカン</t>
    </rPh>
    <phoneticPr fontId="8"/>
  </si>
  <si>
    <t>系統・階層</t>
    <rPh sb="0" eb="2">
      <t>ケイトウ</t>
    </rPh>
    <rPh sb="3" eb="5">
      <t>カイソウ</t>
    </rPh>
    <phoneticPr fontId="8"/>
  </si>
  <si>
    <t>給水主管1.2F</t>
    <rPh sb="0" eb="2">
      <t>キュウスイ</t>
    </rPh>
    <rPh sb="2" eb="4">
      <t>シュカン</t>
    </rPh>
    <phoneticPr fontId="8"/>
  </si>
  <si>
    <t>給水主管その他</t>
    <rPh sb="0" eb="2">
      <t>キュウスイ</t>
    </rPh>
    <rPh sb="2" eb="4">
      <t>シュカン</t>
    </rPh>
    <rPh sb="6" eb="7">
      <t>タ</t>
    </rPh>
    <phoneticPr fontId="8"/>
  </si>
  <si>
    <t>［給水小］</t>
    <rPh sb="1" eb="3">
      <t>キュウスイ</t>
    </rPh>
    <rPh sb="3" eb="4">
      <t>ショウ</t>
    </rPh>
    <phoneticPr fontId="8"/>
  </si>
  <si>
    <t>［給水大］</t>
    <rPh sb="1" eb="3">
      <t>キュウスイ</t>
    </rPh>
    <rPh sb="3" eb="4">
      <t>ダイ</t>
    </rPh>
    <phoneticPr fontId="8"/>
  </si>
  <si>
    <t>増圧ポンプ機</t>
    <rPh sb="0" eb="2">
      <t>ゾウアツ</t>
    </rPh>
    <rPh sb="5" eb="6">
      <t>キ</t>
    </rPh>
    <phoneticPr fontId="8"/>
  </si>
  <si>
    <t>［増圧ポンプ］</t>
    <rPh sb="1" eb="3">
      <t>ゾウアツ</t>
    </rPh>
    <phoneticPr fontId="8"/>
  </si>
  <si>
    <t>受水槽</t>
    <rPh sb="0" eb="3">
      <t>ジュスイソウ</t>
    </rPh>
    <phoneticPr fontId="8"/>
  </si>
  <si>
    <t>［受水槽］</t>
    <rPh sb="1" eb="4">
      <t>ジュスイソウ</t>
    </rPh>
    <phoneticPr fontId="8"/>
  </si>
  <si>
    <t>出力</t>
    <rPh sb="0" eb="2">
      <t>シュツリョク</t>
    </rPh>
    <phoneticPr fontId="8"/>
  </si>
  <si>
    <t>口径</t>
    <rPh sb="0" eb="2">
      <t>コウケイ</t>
    </rPh>
    <phoneticPr fontId="8"/>
  </si>
  <si>
    <t>階高</t>
    <rPh sb="0" eb="2">
      <t>カイダカ</t>
    </rPh>
    <phoneticPr fontId="8"/>
  </si>
  <si>
    <t>容量</t>
    <rPh sb="0" eb="2">
      <t>ヨウリョウ</t>
    </rPh>
    <phoneticPr fontId="8"/>
  </si>
  <si>
    <t>出力</t>
    <rPh sb="0" eb="2">
      <t>シュツリョク</t>
    </rPh>
    <phoneticPr fontId="8"/>
  </si>
  <si>
    <t>口径</t>
    <rPh sb="0" eb="2">
      <t>コウケイ</t>
    </rPh>
    <phoneticPr fontId="8"/>
  </si>
  <si>
    <t>排水主管1.2F</t>
    <rPh sb="0" eb="2">
      <t>ハイスイ</t>
    </rPh>
    <rPh sb="2" eb="4">
      <t>シュカン</t>
    </rPh>
    <phoneticPr fontId="8"/>
  </si>
  <si>
    <t>［排水小］</t>
    <rPh sb="1" eb="3">
      <t>ハイスイ</t>
    </rPh>
    <rPh sb="3" eb="4">
      <t>ショウ</t>
    </rPh>
    <phoneticPr fontId="8"/>
  </si>
  <si>
    <t>排水主管その他</t>
    <rPh sb="0" eb="2">
      <t>ハイスイ</t>
    </rPh>
    <rPh sb="2" eb="4">
      <t>シュカン</t>
    </rPh>
    <rPh sb="6" eb="7">
      <t>タ</t>
    </rPh>
    <phoneticPr fontId="8"/>
  </si>
  <si>
    <t>［排水大］</t>
    <rPh sb="1" eb="3">
      <t>ハイスイ</t>
    </rPh>
    <rPh sb="3" eb="4">
      <t>ダイ</t>
    </rPh>
    <phoneticPr fontId="8"/>
  </si>
  <si>
    <t>排水ポンプ機</t>
    <rPh sb="0" eb="2">
      <t>ハイスイ</t>
    </rPh>
    <rPh sb="5" eb="6">
      <t>キ</t>
    </rPh>
    <phoneticPr fontId="8"/>
  </si>
  <si>
    <t>［排水ポンプ］</t>
    <rPh sb="1" eb="3">
      <t>ハイスイ</t>
    </rPh>
    <phoneticPr fontId="8"/>
  </si>
  <si>
    <t>計算値</t>
    <rPh sb="0" eb="3">
      <t>ケイサンチ</t>
    </rPh>
    <phoneticPr fontId="8"/>
  </si>
  <si>
    <t>給水主管</t>
    <rPh sb="0" eb="2">
      <t>キュウスイ</t>
    </rPh>
    <rPh sb="2" eb="4">
      <t>シュカン</t>
    </rPh>
    <phoneticPr fontId="8"/>
  </si>
  <si>
    <t>基</t>
    <rPh sb="0" eb="1">
      <t>モト</t>
    </rPh>
    <phoneticPr fontId="8"/>
  </si>
  <si>
    <t>(基)</t>
    <rPh sb="1" eb="2">
      <t>モトイ</t>
    </rPh>
    <phoneticPr fontId="8"/>
  </si>
  <si>
    <t>増圧
ポンプ機</t>
    <rPh sb="0" eb="2">
      <t>ゾウアツ</t>
    </rPh>
    <rPh sb="6" eb="7">
      <t>キ</t>
    </rPh>
    <phoneticPr fontId="8"/>
  </si>
  <si>
    <t>台</t>
    <rPh sb="0" eb="1">
      <t>ダイ</t>
    </rPh>
    <phoneticPr fontId="8"/>
  </si>
  <si>
    <t>(台)</t>
    <rPh sb="1" eb="2">
      <t>ダイ</t>
    </rPh>
    <phoneticPr fontId="8"/>
  </si>
  <si>
    <t>排水主管</t>
    <rPh sb="0" eb="2">
      <t>ハイスイ</t>
    </rPh>
    <rPh sb="2" eb="4">
      <t>シュカン</t>
    </rPh>
    <phoneticPr fontId="8"/>
  </si>
  <si>
    <t>排水
ポンプ機</t>
    <rPh sb="0" eb="2">
      <t>ハイスイ</t>
    </rPh>
    <rPh sb="6" eb="7">
      <t>キ</t>
    </rPh>
    <phoneticPr fontId="8"/>
  </si>
  <si>
    <t>１，２階のみの施工の場合は（1・2Fのみ）を使用する</t>
    <rPh sb="3" eb="4">
      <t>カイ</t>
    </rPh>
    <rPh sb="7" eb="9">
      <t>セコウ</t>
    </rPh>
    <rPh sb="10" eb="12">
      <t>バアイ</t>
    </rPh>
    <rPh sb="22" eb="24">
      <t>シヨウ</t>
    </rPh>
    <phoneticPr fontId="8"/>
  </si>
  <si>
    <t>使用口</t>
    <rPh sb="0" eb="2">
      <t>シヨウ</t>
    </rPh>
    <rPh sb="2" eb="3">
      <t>グチ</t>
    </rPh>
    <phoneticPr fontId="8"/>
  </si>
  <si>
    <t>［使用口］</t>
    <rPh sb="1" eb="3">
      <t>シヨウ</t>
    </rPh>
    <rPh sb="3" eb="4">
      <t>グチ</t>
    </rPh>
    <phoneticPr fontId="8"/>
  </si>
  <si>
    <t>LGS建物・CB住宅は個別評点項目を使用</t>
    <rPh sb="3" eb="5">
      <t>タテモノ</t>
    </rPh>
    <rPh sb="8" eb="10">
      <t>ジュウタク</t>
    </rPh>
    <rPh sb="11" eb="13">
      <t>コベツ</t>
    </rPh>
    <rPh sb="13" eb="15">
      <t>ヒョウテン</t>
    </rPh>
    <rPh sb="15" eb="17">
      <t>コウモク</t>
    </rPh>
    <rPh sb="18" eb="20">
      <t>シヨウ</t>
    </rPh>
    <phoneticPr fontId="8"/>
  </si>
  <si>
    <t>洋式便器</t>
    <rPh sb="0" eb="2">
      <t>ヨウシキ</t>
    </rPh>
    <rPh sb="2" eb="4">
      <t>ベンキ</t>
    </rPh>
    <phoneticPr fontId="8"/>
  </si>
  <si>
    <t>和式便器</t>
    <rPh sb="0" eb="1">
      <t>ワ</t>
    </rPh>
    <rPh sb="1" eb="2">
      <t>シキ</t>
    </rPh>
    <rPh sb="2" eb="4">
      <t>ベンキ</t>
    </rPh>
    <phoneticPr fontId="8"/>
  </si>
  <si>
    <t>小便器</t>
    <rPh sb="0" eb="3">
      <t>ショウベンキ</t>
    </rPh>
    <phoneticPr fontId="8"/>
  </si>
  <si>
    <t>［小便器］</t>
    <rPh sb="1" eb="4">
      <t>ショウベンキ</t>
    </rPh>
    <phoneticPr fontId="8"/>
  </si>
  <si>
    <t>洗面器</t>
    <rPh sb="0" eb="3">
      <t>センメンキ</t>
    </rPh>
    <phoneticPr fontId="8"/>
  </si>
  <si>
    <t>［洗面器］</t>
    <rPh sb="1" eb="4">
      <t>センメンキ</t>
    </rPh>
    <phoneticPr fontId="8"/>
  </si>
  <si>
    <t>［洗濯流し］</t>
    <rPh sb="1" eb="3">
      <t>センタク</t>
    </rPh>
    <rPh sb="3" eb="4">
      <t>ナガ</t>
    </rPh>
    <phoneticPr fontId="8"/>
  </si>
  <si>
    <t>50*45</t>
  </si>
  <si>
    <t>50*45</t>
    <phoneticPr fontId="8"/>
  </si>
  <si>
    <t>45*40</t>
  </si>
  <si>
    <t>45*40</t>
    <phoneticPr fontId="8"/>
  </si>
  <si>
    <t>［和便器］</t>
    <rPh sb="1" eb="2">
      <t>ワ</t>
    </rPh>
    <rPh sb="2" eb="4">
      <t>ベンキ</t>
    </rPh>
    <phoneticPr fontId="8"/>
  </si>
  <si>
    <t>［洋便器］</t>
    <rPh sb="1" eb="2">
      <t>ヨウ</t>
    </rPh>
    <rPh sb="2" eb="4">
      <t>ベンキ</t>
    </rPh>
    <phoneticPr fontId="8"/>
  </si>
  <si>
    <t>和式便器</t>
    <rPh sb="0" eb="2">
      <t>ワシキ</t>
    </rPh>
    <rPh sb="2" eb="4">
      <t>ベンキ</t>
    </rPh>
    <phoneticPr fontId="8"/>
  </si>
  <si>
    <t>小便器</t>
    <rPh sb="0" eb="1">
      <t>ショウ</t>
    </rPh>
    <rPh sb="1" eb="3">
      <t>ベンキ</t>
    </rPh>
    <phoneticPr fontId="8"/>
  </si>
  <si>
    <t>ガス主管</t>
    <rPh sb="2" eb="4">
      <t>シュカン</t>
    </rPh>
    <phoneticPr fontId="8"/>
  </si>
  <si>
    <t>洗面化粧台</t>
    <rPh sb="0" eb="5">
      <t>センメンケショウダイ</t>
    </rPh>
    <phoneticPr fontId="8"/>
  </si>
  <si>
    <t>［化粧台］</t>
    <rPh sb="1" eb="4">
      <t>ケショウダイ</t>
    </rPh>
    <phoneticPr fontId="8"/>
  </si>
  <si>
    <t>洗面
化粧台</t>
    <rPh sb="0" eb="2">
      <t>センメン</t>
    </rPh>
    <rPh sb="3" eb="6">
      <t>ケショウダイ</t>
    </rPh>
    <phoneticPr fontId="8"/>
  </si>
  <si>
    <t>間口寸法</t>
    <rPh sb="0" eb="2">
      <t>マグチ</t>
    </rPh>
    <rPh sb="2" eb="4">
      <t>スンポウ</t>
    </rPh>
    <phoneticPr fontId="8"/>
  </si>
  <si>
    <t>-</t>
    <phoneticPr fontId="8"/>
  </si>
  <si>
    <t>換気（一戸建）</t>
    <rPh sb="0" eb="2">
      <t>カンキ</t>
    </rPh>
    <rPh sb="3" eb="5">
      <t>イッコ</t>
    </rPh>
    <rPh sb="5" eb="6">
      <t>ダテ</t>
    </rPh>
    <phoneticPr fontId="8"/>
  </si>
  <si>
    <t>換気（集合形式）</t>
    <rPh sb="0" eb="2">
      <t>カンキ</t>
    </rPh>
    <rPh sb="3" eb="5">
      <t>シュウゴウ</t>
    </rPh>
    <rPh sb="5" eb="7">
      <t>ケイシキ</t>
    </rPh>
    <phoneticPr fontId="8"/>
  </si>
  <si>
    <t>［換気一戸建］</t>
    <rPh sb="1" eb="3">
      <t>カンキ</t>
    </rPh>
    <rPh sb="3" eb="5">
      <t>イッコ</t>
    </rPh>
    <rPh sb="5" eb="6">
      <t>ダテ</t>
    </rPh>
    <phoneticPr fontId="8"/>
  </si>
  <si>
    <t>［換気集合形式］</t>
    <rPh sb="1" eb="3">
      <t>カンキ</t>
    </rPh>
    <rPh sb="3" eb="5">
      <t>シュウゴウ</t>
    </rPh>
    <rPh sb="5" eb="7">
      <t>ケイシキ</t>
    </rPh>
    <phoneticPr fontId="8"/>
  </si>
  <si>
    <t>給排気ダクト</t>
    <rPh sb="0" eb="1">
      <t>キュウ</t>
    </rPh>
    <rPh sb="1" eb="3">
      <t>ハイキ</t>
    </rPh>
    <phoneticPr fontId="8"/>
  </si>
  <si>
    <t>一方ダクト</t>
    <rPh sb="0" eb="2">
      <t>イッポウ</t>
    </rPh>
    <phoneticPr fontId="8"/>
  </si>
  <si>
    <t>換気扇・口</t>
    <rPh sb="0" eb="3">
      <t>カンキセン</t>
    </rPh>
    <rPh sb="4" eb="5">
      <t>クチ</t>
    </rPh>
    <phoneticPr fontId="8"/>
  </si>
  <si>
    <t>住宅一戸建</t>
    <rPh sb="0" eb="2">
      <t>ジュウタク</t>
    </rPh>
    <rPh sb="2" eb="4">
      <t>イッコ</t>
    </rPh>
    <rPh sb="4" eb="5">
      <t>ダ</t>
    </rPh>
    <phoneticPr fontId="8"/>
  </si>
  <si>
    <t>住宅集合形式</t>
    <rPh sb="0" eb="2">
      <t>ジュウタク</t>
    </rPh>
    <rPh sb="2" eb="4">
      <t>シュウゴウ</t>
    </rPh>
    <rPh sb="4" eb="6">
      <t>ケイシキ</t>
    </rPh>
    <phoneticPr fontId="8"/>
  </si>
  <si>
    <t>総合評点集合形式</t>
    <rPh sb="0" eb="2">
      <t>ソウゴウ</t>
    </rPh>
    <rPh sb="2" eb="4">
      <t>ヒョウテン</t>
    </rPh>
    <rPh sb="4" eb="6">
      <t>シュウゴウ</t>
    </rPh>
    <rPh sb="6" eb="8">
      <t>ケイシキ</t>
    </rPh>
    <phoneticPr fontId="8"/>
  </si>
  <si>
    <t>戸当たり平均床面積</t>
    <rPh sb="0" eb="1">
      <t>コ</t>
    </rPh>
    <rPh sb="1" eb="2">
      <t>ア</t>
    </rPh>
    <rPh sb="4" eb="6">
      <t>ヘイキン</t>
    </rPh>
    <rPh sb="6" eb="9">
      <t>ユカメンセキ</t>
    </rPh>
    <phoneticPr fontId="8"/>
  </si>
  <si>
    <t>施工量の多少</t>
    <rPh sb="0" eb="2">
      <t>セコウ</t>
    </rPh>
    <rPh sb="2" eb="3">
      <t>リョウ</t>
    </rPh>
    <rPh sb="4" eb="6">
      <t>タショウ</t>
    </rPh>
    <phoneticPr fontId="8"/>
  </si>
  <si>
    <t>程度</t>
    <rPh sb="0" eb="2">
      <t>テイド</t>
    </rPh>
    <phoneticPr fontId="8"/>
  </si>
  <si>
    <t>×</t>
    <phoneticPr fontId="8"/>
  </si>
  <si>
    <t>多い</t>
    <rPh sb="0" eb="1">
      <t>オオ</t>
    </rPh>
    <phoneticPr fontId="8"/>
  </si>
  <si>
    <t>普通</t>
    <rPh sb="0" eb="2">
      <t>フツウ</t>
    </rPh>
    <phoneticPr fontId="8"/>
  </si>
  <si>
    <t>少ない</t>
    <rPh sb="0" eb="1">
      <t>スク</t>
    </rPh>
    <phoneticPr fontId="8"/>
  </si>
  <si>
    <t>良い</t>
    <rPh sb="0" eb="1">
      <t>ヨ</t>
    </rPh>
    <phoneticPr fontId="8"/>
  </si>
  <si>
    <t>悪い</t>
    <rPh sb="0" eb="1">
      <t>ワル</t>
    </rPh>
    <phoneticPr fontId="8"/>
  </si>
  <si>
    <t>総合評点集合形式1・２F</t>
    <rPh sb="0" eb="2">
      <t>ソウゴウ</t>
    </rPh>
    <rPh sb="2" eb="4">
      <t>ヒョウテン</t>
    </rPh>
    <rPh sb="4" eb="6">
      <t>シュウゴウ</t>
    </rPh>
    <rPh sb="6" eb="8">
      <t>ケイシキ</t>
    </rPh>
    <phoneticPr fontId="8"/>
  </si>
  <si>
    <t>ガスの有無</t>
    <rPh sb="3" eb="5">
      <t>ウム</t>
    </rPh>
    <phoneticPr fontId="8"/>
  </si>
  <si>
    <t>－</t>
    <phoneticPr fontId="8"/>
  </si>
  <si>
    <t>-</t>
    <phoneticPr fontId="8"/>
  </si>
  <si>
    <t>あり</t>
    <phoneticPr fontId="8"/>
  </si>
  <si>
    <t>なし</t>
    <phoneticPr fontId="8"/>
  </si>
  <si>
    <t>［総合集合大］</t>
    <rPh sb="1" eb="3">
      <t>ソウゴウ</t>
    </rPh>
    <rPh sb="3" eb="5">
      <t>シュウゴウ</t>
    </rPh>
    <rPh sb="5" eb="6">
      <t>ダイ</t>
    </rPh>
    <phoneticPr fontId="8"/>
  </si>
  <si>
    <t>［総合集合小］</t>
    <rPh sb="1" eb="3">
      <t>ソウゴウ</t>
    </rPh>
    <rPh sb="3" eb="5">
      <t>シュウゴウ</t>
    </rPh>
    <rPh sb="5" eb="6">
      <t>ショウ</t>
    </rPh>
    <phoneticPr fontId="8"/>
  </si>
  <si>
    <t>戸当たり
平均床面積</t>
    <rPh sb="0" eb="1">
      <t>ト</t>
    </rPh>
    <rPh sb="1" eb="2">
      <t>ア</t>
    </rPh>
    <rPh sb="5" eb="7">
      <t>ヘイキン</t>
    </rPh>
    <rPh sb="7" eb="10">
      <t>ユカメンセキ</t>
    </rPh>
    <phoneticPr fontId="8"/>
  </si>
  <si>
    <t>施工量の
多少</t>
    <rPh sb="0" eb="3">
      <t>セコウリョウ</t>
    </rPh>
    <rPh sb="5" eb="7">
      <t>タショウ</t>
    </rPh>
    <phoneticPr fontId="8"/>
  </si>
  <si>
    <t>ガスの有無</t>
    <rPh sb="3" eb="5">
      <t>ウム</t>
    </rPh>
    <phoneticPr fontId="8"/>
  </si>
  <si>
    <t>平均床面積</t>
    <rPh sb="0" eb="5">
      <t>ヘイキンユカメンセキ</t>
    </rPh>
    <phoneticPr fontId="8"/>
  </si>
  <si>
    <t>小規模な1戸建は個別項目（木造転用）を使用。</t>
    <rPh sb="0" eb="3">
      <t>ショウキボ</t>
    </rPh>
    <rPh sb="5" eb="7">
      <t>コダテ</t>
    </rPh>
    <rPh sb="8" eb="10">
      <t>コベツ</t>
    </rPh>
    <rPh sb="10" eb="12">
      <t>コウモク</t>
    </rPh>
    <rPh sb="13" eb="15">
      <t>モクゾウ</t>
    </rPh>
    <rPh sb="15" eb="17">
      <t>テンヨウ</t>
    </rPh>
    <rPh sb="19" eb="21">
      <t>シヨウ</t>
    </rPh>
    <phoneticPr fontId="8"/>
  </si>
  <si>
    <t>［流し台］</t>
    <rPh sb="1" eb="2">
      <t>ナガ</t>
    </rPh>
    <rPh sb="3" eb="4">
      <t>ダイ</t>
    </rPh>
    <phoneticPr fontId="8"/>
  </si>
  <si>
    <t>流し台（SUS）</t>
    <rPh sb="0" eb="1">
      <t>ナガ</t>
    </rPh>
    <rPh sb="2" eb="3">
      <t>ダイ</t>
    </rPh>
    <phoneticPr fontId="8"/>
  </si>
  <si>
    <t>流し台・程度</t>
    <rPh sb="0" eb="1">
      <t>ナガ</t>
    </rPh>
    <rPh sb="2" eb="3">
      <t>ダイ</t>
    </rPh>
    <rPh sb="4" eb="6">
      <t>テイド</t>
    </rPh>
    <phoneticPr fontId="8"/>
  </si>
  <si>
    <t>流し台・大きさ</t>
    <rPh sb="0" eb="1">
      <t>ナガ</t>
    </rPh>
    <rPh sb="2" eb="3">
      <t>ダイ</t>
    </rPh>
    <rPh sb="4" eb="5">
      <t>オオ</t>
    </rPh>
    <phoneticPr fontId="8"/>
  </si>
  <si>
    <t>150cm*56cm</t>
    <phoneticPr fontId="8"/>
  </si>
  <si>
    <t>105cm*56cm</t>
    <phoneticPr fontId="8"/>
  </si>
  <si>
    <t>120cm*56cm</t>
    <phoneticPr fontId="8"/>
  </si>
  <si>
    <t>流し台
（SUS）</t>
    <rPh sb="0" eb="1">
      <t>ナガ</t>
    </rPh>
    <rPh sb="2" eb="3">
      <t>ダイ</t>
    </rPh>
    <phoneticPr fontId="8"/>
  </si>
  <si>
    <t>150cm*56cm</t>
  </si>
  <si>
    <t>120cm*56cm</t>
  </si>
  <si>
    <t>105cm*56cm</t>
  </si>
  <si>
    <t>※病・ホ、劇場、工・倉・市に設定あり、その他基準は、1個いくらのため、そのまま転用</t>
    <rPh sb="1" eb="2">
      <t>ビョウ</t>
    </rPh>
    <rPh sb="5" eb="7">
      <t>ゲキジョウ</t>
    </rPh>
    <rPh sb="8" eb="9">
      <t>コウ</t>
    </rPh>
    <rPh sb="10" eb="11">
      <t>クラ</t>
    </rPh>
    <rPh sb="12" eb="13">
      <t>イチ</t>
    </rPh>
    <rPh sb="14" eb="16">
      <t>セッテイ</t>
    </rPh>
    <rPh sb="21" eb="22">
      <t>タ</t>
    </rPh>
    <rPh sb="22" eb="24">
      <t>キジュン</t>
    </rPh>
    <rPh sb="27" eb="28">
      <t>コ</t>
    </rPh>
    <rPh sb="39" eb="41">
      <t>テンヨウ</t>
    </rPh>
    <phoneticPr fontId="8"/>
  </si>
  <si>
    <t>※事・店・百、住・ア、工場に設定あり、その他の基準は、1個いくらのため、そのまま転用</t>
    <rPh sb="1" eb="2">
      <t>ジ</t>
    </rPh>
    <rPh sb="3" eb="4">
      <t>ミセ</t>
    </rPh>
    <rPh sb="5" eb="6">
      <t>ヒャク</t>
    </rPh>
    <rPh sb="7" eb="8">
      <t>ジュウ</t>
    </rPh>
    <rPh sb="11" eb="13">
      <t>コウジョウ</t>
    </rPh>
    <rPh sb="14" eb="16">
      <t>セッテイ</t>
    </rPh>
    <rPh sb="21" eb="22">
      <t>タ</t>
    </rPh>
    <rPh sb="23" eb="25">
      <t>キジュン</t>
    </rPh>
    <rPh sb="28" eb="29">
      <t>コ</t>
    </rPh>
    <rPh sb="40" eb="42">
      <t>テンヨウ</t>
    </rPh>
    <phoneticPr fontId="8"/>
  </si>
  <si>
    <t>耐火被覆</t>
    <rPh sb="0" eb="2">
      <t>タイカ</t>
    </rPh>
    <rPh sb="2" eb="4">
      <t>ヒフク</t>
    </rPh>
    <phoneticPr fontId="19"/>
  </si>
  <si>
    <t>個別評点数</t>
    <rPh sb="0" eb="2">
      <t>コベツ</t>
    </rPh>
    <rPh sb="2" eb="4">
      <t>ヒョウテン</t>
    </rPh>
    <rPh sb="4" eb="5">
      <t>スウ</t>
    </rPh>
    <phoneticPr fontId="22"/>
  </si>
  <si>
    <t>R3基準</t>
    <phoneticPr fontId="19"/>
  </si>
  <si>
    <t>アパート用の項目です。補正は一戸建てと同じ。</t>
    <rPh sb="4" eb="5">
      <t>ヨウ</t>
    </rPh>
    <rPh sb="6" eb="8">
      <t>コウモク</t>
    </rPh>
    <rPh sb="11" eb="13">
      <t>ホセイ</t>
    </rPh>
    <rPh sb="14" eb="16">
      <t>イッコ</t>
    </rPh>
    <rPh sb="16" eb="17">
      <t>ダ</t>
    </rPh>
    <rPh sb="19" eb="20">
      <t>オナ</t>
    </rPh>
    <phoneticPr fontId="8"/>
  </si>
  <si>
    <t>外壁に取り付けられた換気扇・換気口の個数により評点付設します</t>
    <rPh sb="0" eb="2">
      <t>ガイヘキ</t>
    </rPh>
    <rPh sb="3" eb="4">
      <t>ト</t>
    </rPh>
    <rPh sb="5" eb="6">
      <t>ツ</t>
    </rPh>
    <rPh sb="10" eb="13">
      <t>カンキセン</t>
    </rPh>
    <rPh sb="14" eb="17">
      <t>カンキコウ</t>
    </rPh>
    <rPh sb="18" eb="20">
      <t>コスウ</t>
    </rPh>
    <rPh sb="23" eb="25">
      <t>ヒョウテン</t>
    </rPh>
    <rPh sb="25" eb="27">
      <t>フセツ</t>
    </rPh>
    <phoneticPr fontId="19"/>
  </si>
  <si>
    <t>住・アは換気設備（住宅用）を使用すること</t>
    <rPh sb="0" eb="1">
      <t>ジュウ</t>
    </rPh>
    <rPh sb="4" eb="6">
      <t>カンキ</t>
    </rPh>
    <rPh sb="6" eb="8">
      <t>セツビ</t>
    </rPh>
    <rPh sb="9" eb="12">
      <t>ジュウタクヨウ</t>
    </rPh>
    <rPh sb="14" eb="16">
      <t>シヨウ</t>
    </rPh>
    <phoneticPr fontId="19"/>
  </si>
  <si>
    <t>給排気ダクト</t>
    <rPh sb="0" eb="1">
      <t>キュウ</t>
    </rPh>
    <rPh sb="1" eb="3">
      <t>ハイキ</t>
    </rPh>
    <phoneticPr fontId="19"/>
  </si>
  <si>
    <t>一方がダクト</t>
    <rPh sb="0" eb="2">
      <t>イッポウ</t>
    </rPh>
    <phoneticPr fontId="19"/>
  </si>
  <si>
    <t>換気扇のみ</t>
    <rPh sb="0" eb="3">
      <t>カンキセン</t>
    </rPh>
    <phoneticPr fontId="19"/>
  </si>
  <si>
    <t>一戸建て住宅用の項目です。
給排気どちらもダクト付（一種換気）は3.0、いずれかがダクト付（三種換気）は1.7、換気扇のみは1.0
※計算単位は延床面積です（換気のない部分があることを想定した評点数です）が、階単位で設備のない階がある場合は、設備のある階のみの面積としてください。</t>
    <rPh sb="0" eb="2">
      <t>イッコ</t>
    </rPh>
    <rPh sb="2" eb="3">
      <t>ダ</t>
    </rPh>
    <rPh sb="4" eb="6">
      <t>ジュウタク</t>
    </rPh>
    <rPh sb="8" eb="10">
      <t>コウモク</t>
    </rPh>
    <rPh sb="14" eb="15">
      <t>キュウ</t>
    </rPh>
    <rPh sb="15" eb="17">
      <t>ハイキ</t>
    </rPh>
    <rPh sb="24" eb="25">
      <t>ツ</t>
    </rPh>
    <rPh sb="26" eb="28">
      <t>イッシュ</t>
    </rPh>
    <rPh sb="28" eb="30">
      <t>カンキ</t>
    </rPh>
    <rPh sb="44" eb="45">
      <t>ツ</t>
    </rPh>
    <rPh sb="46" eb="48">
      <t>サンシュ</t>
    </rPh>
    <rPh sb="48" eb="50">
      <t>カンキ</t>
    </rPh>
    <rPh sb="56" eb="59">
      <t>カンキセン</t>
    </rPh>
    <rPh sb="67" eb="69">
      <t>ケイサン</t>
    </rPh>
    <rPh sb="69" eb="71">
      <t>タンイ</t>
    </rPh>
    <rPh sb="72" eb="74">
      <t>ノベユカ</t>
    </rPh>
    <rPh sb="74" eb="76">
      <t>メンセキ</t>
    </rPh>
    <rPh sb="79" eb="81">
      <t>カンキ</t>
    </rPh>
    <rPh sb="84" eb="86">
      <t>ブブン</t>
    </rPh>
    <rPh sb="92" eb="94">
      <t>ソウテイ</t>
    </rPh>
    <rPh sb="96" eb="98">
      <t>ヒョウテン</t>
    </rPh>
    <rPh sb="98" eb="99">
      <t>スウ</t>
    </rPh>
    <rPh sb="104" eb="105">
      <t>カイ</t>
    </rPh>
    <rPh sb="105" eb="107">
      <t>タンイ</t>
    </rPh>
    <rPh sb="108" eb="110">
      <t>セツビ</t>
    </rPh>
    <rPh sb="113" eb="114">
      <t>カイ</t>
    </rPh>
    <rPh sb="117" eb="119">
      <t>バアイ</t>
    </rPh>
    <rPh sb="121" eb="123">
      <t>セツビ</t>
    </rPh>
    <rPh sb="126" eb="127">
      <t>カイ</t>
    </rPh>
    <rPh sb="130" eb="132">
      <t>メンセキ</t>
    </rPh>
    <phoneticPr fontId="8"/>
  </si>
  <si>
    <t>住・アの換気設備です。換気扇はとりません。</t>
    <rPh sb="0" eb="1">
      <t>ジュウ</t>
    </rPh>
    <rPh sb="4" eb="6">
      <t>カンキ</t>
    </rPh>
    <rPh sb="6" eb="8">
      <t>セツビ</t>
    </rPh>
    <rPh sb="11" eb="14">
      <t>カンキセン</t>
    </rPh>
    <phoneticPr fontId="19"/>
  </si>
  <si>
    <t>耐火被覆［吹付・３時間耐火］（㎡）</t>
  </si>
  <si>
    <t>耐火被覆［吹付・２時間耐火］（㎡）</t>
  </si>
  <si>
    <t>耐火被覆［吹付・１時間耐火］（㎡）</t>
  </si>
  <si>
    <t>耐火被覆［巻付・３時間耐火］（㎡）</t>
  </si>
  <si>
    <t>耐火被覆［巻付・２時間耐火］（㎡）</t>
  </si>
  <si>
    <t>耐火被覆［巻付・１時間耐火］（㎡）</t>
  </si>
  <si>
    <t>洗濯流し
汚物流し</t>
    <rPh sb="0" eb="2">
      <t>センタク</t>
    </rPh>
    <rPh sb="2" eb="3">
      <t>ナガ</t>
    </rPh>
    <rPh sb="5" eb="7">
      <t>オブツ</t>
    </rPh>
    <rPh sb="7" eb="8">
      <t>ナガ</t>
    </rPh>
    <phoneticPr fontId="8"/>
  </si>
  <si>
    <t>［住宅用建具総合評点方式ＤＢ］</t>
    <rPh sb="1" eb="4">
      <t>ジュウタクヨウ</t>
    </rPh>
    <rPh sb="4" eb="6">
      <t>タテグ</t>
    </rPh>
    <rPh sb="6" eb="8">
      <t>ソウゴウ</t>
    </rPh>
    <rPh sb="8" eb="10">
      <t>ヒョウテン</t>
    </rPh>
    <rPh sb="10" eb="12">
      <t>ホウシキ</t>
    </rPh>
    <phoneticPr fontId="8"/>
  </si>
  <si>
    <t>住宅用建具総合</t>
    <rPh sb="0" eb="3">
      <t>ジュウタクヨウ</t>
    </rPh>
    <rPh sb="3" eb="5">
      <t>タテグ</t>
    </rPh>
    <rPh sb="5" eb="7">
      <t>ソウゴウ</t>
    </rPh>
    <phoneticPr fontId="8"/>
  </si>
  <si>
    <t>［住宅建具総合］</t>
    <rPh sb="1" eb="3">
      <t>ジュウタク</t>
    </rPh>
    <rPh sb="3" eb="5">
      <t>タテグ</t>
    </rPh>
    <rPh sb="5" eb="7">
      <t>ソウゴウ</t>
    </rPh>
    <phoneticPr fontId="8"/>
  </si>
  <si>
    <t>一戸建型式　上</t>
    <rPh sb="0" eb="2">
      <t>イッコ</t>
    </rPh>
    <rPh sb="2" eb="3">
      <t>ダ</t>
    </rPh>
    <rPh sb="3" eb="5">
      <t>ケイシキ</t>
    </rPh>
    <rPh sb="6" eb="7">
      <t>ジョウ</t>
    </rPh>
    <phoneticPr fontId="8"/>
  </si>
  <si>
    <t>一戸建型式　中</t>
    <rPh sb="0" eb="2">
      <t>イッコ</t>
    </rPh>
    <rPh sb="2" eb="3">
      <t>ダ</t>
    </rPh>
    <rPh sb="3" eb="5">
      <t>ケイシキ</t>
    </rPh>
    <rPh sb="6" eb="7">
      <t>ナカ</t>
    </rPh>
    <phoneticPr fontId="8"/>
  </si>
  <si>
    <t>一戸建型式　並</t>
    <rPh sb="0" eb="3">
      <t>イッコダテ</t>
    </rPh>
    <rPh sb="3" eb="5">
      <t>ケイシキ</t>
    </rPh>
    <rPh sb="6" eb="7">
      <t>ナミ</t>
    </rPh>
    <phoneticPr fontId="8"/>
  </si>
  <si>
    <t>集合形式　中</t>
    <rPh sb="0" eb="2">
      <t>シュウゴウ</t>
    </rPh>
    <rPh sb="2" eb="4">
      <t>ケイシキ</t>
    </rPh>
    <rPh sb="5" eb="6">
      <t>ナカ</t>
    </rPh>
    <phoneticPr fontId="8"/>
  </si>
  <si>
    <t>良い</t>
    <rPh sb="0" eb="1">
      <t>ヨ</t>
    </rPh>
    <phoneticPr fontId="8"/>
  </si>
  <si>
    <t>普通</t>
    <rPh sb="0" eb="2">
      <t>フツウ</t>
    </rPh>
    <phoneticPr fontId="8"/>
  </si>
  <si>
    <t>悪い</t>
    <rPh sb="0" eb="1">
      <t>ワル</t>
    </rPh>
    <phoneticPr fontId="8"/>
  </si>
  <si>
    <t>戸当たり平均床面積</t>
    <rPh sb="0" eb="1">
      <t>ト</t>
    </rPh>
    <rPh sb="1" eb="2">
      <t>ア</t>
    </rPh>
    <rPh sb="4" eb="6">
      <t>ヘイキン</t>
    </rPh>
    <rPh sb="6" eb="9">
      <t>ユカメンセキ</t>
    </rPh>
    <phoneticPr fontId="8"/>
  </si>
  <si>
    <t>施工量の多少</t>
    <rPh sb="0" eb="3">
      <t>セコウリョウ</t>
    </rPh>
    <rPh sb="4" eb="6">
      <t>タショウ</t>
    </rPh>
    <phoneticPr fontId="8"/>
  </si>
  <si>
    <t>－</t>
    <phoneticPr fontId="8"/>
  </si>
  <si>
    <t>標準</t>
    <rPh sb="0" eb="2">
      <t>ヒョウジュン</t>
    </rPh>
    <phoneticPr fontId="8"/>
  </si>
  <si>
    <t>減点補正率</t>
    <rPh sb="0" eb="2">
      <t>ゲンテン</t>
    </rPh>
    <rPh sb="2" eb="4">
      <t>ホセイ</t>
    </rPh>
    <rPh sb="4" eb="5">
      <t>リツ</t>
    </rPh>
    <phoneticPr fontId="8"/>
  </si>
  <si>
    <t>多い</t>
    <rPh sb="0" eb="1">
      <t>オオ</t>
    </rPh>
    <phoneticPr fontId="8"/>
  </si>
  <si>
    <t>少ない</t>
    <rPh sb="0" eb="1">
      <t>スク</t>
    </rPh>
    <phoneticPr fontId="8"/>
  </si>
  <si>
    <t>普通</t>
    <rPh sb="0" eb="2">
      <t>フツウ</t>
    </rPh>
    <phoneticPr fontId="8"/>
  </si>
  <si>
    <t>施工量の多少</t>
    <rPh sb="0" eb="2">
      <t>セコウ</t>
    </rPh>
    <rPh sb="2" eb="3">
      <t>リョウ</t>
    </rPh>
    <rPh sb="4" eb="6">
      <t>タショウ</t>
    </rPh>
    <phoneticPr fontId="8"/>
  </si>
  <si>
    <t>計算値</t>
    <rPh sb="0" eb="3">
      <t>ケイサンチ</t>
    </rPh>
    <phoneticPr fontId="8"/>
  </si>
  <si>
    <t>施工の程度</t>
    <rPh sb="0" eb="2">
      <t>セコウ</t>
    </rPh>
    <rPh sb="3" eb="5">
      <t>テイド</t>
    </rPh>
    <phoneticPr fontId="8"/>
  </si>
  <si>
    <t>戸当たり平均床面積</t>
    <rPh sb="0" eb="1">
      <t>ト</t>
    </rPh>
    <rPh sb="1" eb="2">
      <t>ア</t>
    </rPh>
    <rPh sb="4" eb="6">
      <t>ヘイキン</t>
    </rPh>
    <rPh sb="6" eb="9">
      <t>ユカメンセキ</t>
    </rPh>
    <phoneticPr fontId="8"/>
  </si>
  <si>
    <t>建具面積計</t>
    <rPh sb="0" eb="2">
      <t>タテグ</t>
    </rPh>
    <rPh sb="2" eb="4">
      <t>メンセキ</t>
    </rPh>
    <rPh sb="4" eb="5">
      <t>ケイ</t>
    </rPh>
    <phoneticPr fontId="8"/>
  </si>
  <si>
    <t>戸当たり
平均床面積</t>
    <rPh sb="0" eb="1">
      <t>ト</t>
    </rPh>
    <rPh sb="1" eb="2">
      <t>ア</t>
    </rPh>
    <rPh sb="5" eb="7">
      <t>ヘイキン</t>
    </rPh>
    <rPh sb="7" eb="10">
      <t>ユカメンセキ</t>
    </rPh>
    <phoneticPr fontId="8"/>
  </si>
  <si>
    <t>補正係数</t>
    <rPh sb="0" eb="2">
      <t>ホセイ</t>
    </rPh>
    <rPh sb="2" eb="4">
      <t>ケイスウ</t>
    </rPh>
    <phoneticPr fontId="8"/>
  </si>
  <si>
    <t>㎡</t>
    <phoneticPr fontId="8"/>
  </si>
  <si>
    <t>標準評点数</t>
    <rPh sb="0" eb="2">
      <t>ヒョウジュン</t>
    </rPh>
    <rPh sb="2" eb="4">
      <t>ヒョウテン</t>
    </rPh>
    <rPh sb="4" eb="5">
      <t>スウ</t>
    </rPh>
    <phoneticPr fontId="8"/>
  </si>
  <si>
    <t>延床面積</t>
    <rPh sb="0" eb="4">
      <t>ノベユカメンセキ</t>
    </rPh>
    <phoneticPr fontId="8"/>
  </si>
  <si>
    <t>部分別評点数</t>
    <rPh sb="0" eb="2">
      <t>ブブン</t>
    </rPh>
    <rPh sb="2" eb="3">
      <t>ベツ</t>
    </rPh>
    <rPh sb="3" eb="5">
      <t>ヒョウテン</t>
    </rPh>
    <rPh sb="5" eb="6">
      <t>スウ</t>
    </rPh>
    <phoneticPr fontId="8"/>
  </si>
  <si>
    <t>型　式</t>
    <rPh sb="0" eb="1">
      <t>カタ</t>
    </rPh>
    <rPh sb="2" eb="3">
      <t>シキ</t>
    </rPh>
    <phoneticPr fontId="8"/>
  </si>
  <si>
    <t>住宅用建具の総合評点方式</t>
    <rPh sb="0" eb="3">
      <t>ジュウタクヨウ</t>
    </rPh>
    <rPh sb="3" eb="5">
      <t>タテグ</t>
    </rPh>
    <rPh sb="6" eb="8">
      <t>ソウゴウ</t>
    </rPh>
    <rPh sb="8" eb="10">
      <t>ヒョウテン</t>
    </rPh>
    <rPh sb="10" eb="12">
      <t>ホウシキ</t>
    </rPh>
    <phoneticPr fontId="8"/>
  </si>
  <si>
    <t>戸当たり平均床面積は集合形式のみ。延床面積（住宅用部分）／戸数で面積算定</t>
    <rPh sb="0" eb="1">
      <t>ト</t>
    </rPh>
    <rPh sb="1" eb="2">
      <t>ア</t>
    </rPh>
    <rPh sb="4" eb="6">
      <t>ヘイキン</t>
    </rPh>
    <rPh sb="6" eb="9">
      <t>ユカメンセキ</t>
    </rPh>
    <rPh sb="10" eb="12">
      <t>シュウゴウ</t>
    </rPh>
    <rPh sb="12" eb="14">
      <t>ケイシキ</t>
    </rPh>
    <rPh sb="17" eb="21">
      <t>ノベユカメンセキ</t>
    </rPh>
    <rPh sb="22" eb="25">
      <t>ジュウタクヨウ</t>
    </rPh>
    <rPh sb="25" eb="27">
      <t>ブブン</t>
    </rPh>
    <rPh sb="29" eb="31">
      <t>コスウ</t>
    </rPh>
    <rPh sb="32" eb="34">
      <t>メンセキ</t>
    </rPh>
    <rPh sb="34" eb="36">
      <t>サンテイ</t>
    </rPh>
    <phoneticPr fontId="8"/>
  </si>
  <si>
    <t>施工量の多少は建具面積の計により比例計算</t>
    <rPh sb="0" eb="2">
      <t>セコウ</t>
    </rPh>
    <rPh sb="2" eb="3">
      <t>リョウ</t>
    </rPh>
    <rPh sb="4" eb="6">
      <t>タショウ</t>
    </rPh>
    <rPh sb="7" eb="9">
      <t>タテグ</t>
    </rPh>
    <rPh sb="9" eb="11">
      <t>メンセキ</t>
    </rPh>
    <rPh sb="12" eb="13">
      <t>ケイ</t>
    </rPh>
    <rPh sb="16" eb="18">
      <t>ヒレイ</t>
    </rPh>
    <rPh sb="18" eb="20">
      <t>ケイサン</t>
    </rPh>
    <phoneticPr fontId="8"/>
  </si>
  <si>
    <t>マンションのエントランスの特殊自動ドア等は別途個別評点でとる</t>
    <rPh sb="13" eb="15">
      <t>トクシュ</t>
    </rPh>
    <rPh sb="15" eb="17">
      <t>ジドウ</t>
    </rPh>
    <rPh sb="19" eb="20">
      <t>トウ</t>
    </rPh>
    <rPh sb="21" eb="23">
      <t>ベット</t>
    </rPh>
    <rPh sb="23" eb="25">
      <t>コベツ</t>
    </rPh>
    <rPh sb="25" eb="27">
      <t>ヒョウテン</t>
    </rPh>
    <phoneticPr fontId="8"/>
  </si>
  <si>
    <t>評価調書更新ログ</t>
    <rPh sb="0" eb="2">
      <t>ヒョウカ</t>
    </rPh>
    <rPh sb="2" eb="4">
      <t>チョウショ</t>
    </rPh>
    <rPh sb="4" eb="6">
      <t>コウシン</t>
    </rPh>
    <phoneticPr fontId="8"/>
  </si>
  <si>
    <t>年月日</t>
    <rPh sb="0" eb="3">
      <t>ネンガッピ</t>
    </rPh>
    <phoneticPr fontId="8"/>
  </si>
  <si>
    <t>区分</t>
    <rPh sb="0" eb="2">
      <t>クブン</t>
    </rPh>
    <phoneticPr fontId="8"/>
  </si>
  <si>
    <t>項目</t>
    <rPh sb="0" eb="2">
      <t>コウモク</t>
    </rPh>
    <phoneticPr fontId="8"/>
  </si>
  <si>
    <t>担当</t>
    <rPh sb="0" eb="2">
      <t>タントウ</t>
    </rPh>
    <phoneticPr fontId="8"/>
  </si>
  <si>
    <t>基準替</t>
    <rPh sb="0" eb="2">
      <t>キジュン</t>
    </rPh>
    <rPh sb="2" eb="3">
      <t>ガ</t>
    </rPh>
    <phoneticPr fontId="8"/>
  </si>
  <si>
    <t>取扱変更</t>
    <rPh sb="0" eb="2">
      <t>トリアツカ</t>
    </rPh>
    <rPh sb="2" eb="4">
      <t>ヘンコウ</t>
    </rPh>
    <phoneticPr fontId="8"/>
  </si>
  <si>
    <t>訂正</t>
    <rPh sb="0" eb="2">
      <t>テイセイ</t>
    </rPh>
    <phoneticPr fontId="8"/>
  </si>
  <si>
    <t>補足説明</t>
    <rPh sb="0" eb="2">
      <t>ホソク</t>
    </rPh>
    <rPh sb="2" eb="4">
      <t>セツメイ</t>
    </rPh>
    <phoneticPr fontId="8"/>
  </si>
  <si>
    <t>その他</t>
    <rPh sb="2" eb="3">
      <t>タ</t>
    </rPh>
    <phoneticPr fontId="8"/>
  </si>
  <si>
    <t>更　　新　　内　　容</t>
    <rPh sb="0" eb="1">
      <t>サラ</t>
    </rPh>
    <rPh sb="3" eb="4">
      <t>シン</t>
    </rPh>
    <rPh sb="6" eb="7">
      <t>ナイ</t>
    </rPh>
    <rPh sb="9" eb="10">
      <t>カタチ</t>
    </rPh>
    <phoneticPr fontId="8"/>
  </si>
  <si>
    <t>明るさ　必要：精密機械工場等、普通：普通の工場、不要：荷捌き用倉庫等</t>
    <rPh sb="0" eb="1">
      <t>アカ</t>
    </rPh>
    <rPh sb="4" eb="6">
      <t>ヒツヨウ</t>
    </rPh>
    <rPh sb="7" eb="9">
      <t>セイミツ</t>
    </rPh>
    <rPh sb="9" eb="11">
      <t>キカイ</t>
    </rPh>
    <rPh sb="11" eb="13">
      <t>コウジョウ</t>
    </rPh>
    <rPh sb="13" eb="14">
      <t>トウ</t>
    </rPh>
    <rPh sb="15" eb="17">
      <t>フツウ</t>
    </rPh>
    <rPh sb="18" eb="20">
      <t>フツウ</t>
    </rPh>
    <rPh sb="21" eb="23">
      <t>コウジョウ</t>
    </rPh>
    <rPh sb="24" eb="26">
      <t>フヨウ</t>
    </rPh>
    <rPh sb="27" eb="29">
      <t>ニサバ</t>
    </rPh>
    <rPh sb="30" eb="31">
      <t>ヨウ</t>
    </rPh>
    <rPh sb="31" eb="33">
      <t>ソウコ</t>
    </rPh>
    <rPh sb="33" eb="34">
      <t>トウ</t>
    </rPh>
    <phoneticPr fontId="8"/>
  </si>
  <si>
    <t>住宅用・一戸建型式</t>
    <rPh sb="0" eb="3">
      <t>ジュウタクヨウ</t>
    </rPh>
    <rPh sb="4" eb="6">
      <t>イッコ</t>
    </rPh>
    <rPh sb="6" eb="7">
      <t>ダ</t>
    </rPh>
    <rPh sb="7" eb="9">
      <t>ケイシキ</t>
    </rPh>
    <phoneticPr fontId="19"/>
  </si>
  <si>
    <t>住宅用・集合型式</t>
    <rPh sb="0" eb="3">
      <t>ジュウタクヨウ</t>
    </rPh>
    <rPh sb="4" eb="6">
      <t>シュウゴウ</t>
    </rPh>
    <rPh sb="6" eb="8">
      <t>ケイシキ</t>
    </rPh>
    <phoneticPr fontId="19"/>
  </si>
  <si>
    <t>発泡性の耐火塗料を塗装したもの</t>
    <rPh sb="0" eb="3">
      <t>ハッポウセイ</t>
    </rPh>
    <rPh sb="4" eb="6">
      <t>タイカ</t>
    </rPh>
    <rPh sb="6" eb="8">
      <t>トリョウ</t>
    </rPh>
    <rPh sb="9" eb="11">
      <t>トソウ</t>
    </rPh>
    <phoneticPr fontId="22"/>
  </si>
  <si>
    <t>珪酸カルシウム板耐火被覆</t>
    <rPh sb="0" eb="2">
      <t>ケイサン</t>
    </rPh>
    <rPh sb="7" eb="8">
      <t>イタ</t>
    </rPh>
    <rPh sb="8" eb="10">
      <t>タイカ</t>
    </rPh>
    <rPh sb="10" eb="12">
      <t>ヒフク</t>
    </rPh>
    <phoneticPr fontId="22"/>
  </si>
  <si>
    <t>巻付耐火被覆</t>
    <rPh sb="0" eb="2">
      <t>マキツ</t>
    </rPh>
    <rPh sb="2" eb="4">
      <t>タイカ</t>
    </rPh>
    <rPh sb="4" eb="6">
      <t>ヒフク</t>
    </rPh>
    <phoneticPr fontId="22"/>
  </si>
  <si>
    <t>半乾式吹付ロックウール</t>
    <rPh sb="0" eb="1">
      <t>ハン</t>
    </rPh>
    <rPh sb="1" eb="3">
      <t>カンシキ</t>
    </rPh>
    <rPh sb="3" eb="5">
      <t>フキツケ</t>
    </rPh>
    <phoneticPr fontId="22"/>
  </si>
  <si>
    <t>中：複層、網入磨き、熱線吸収、熱線反射、合わせ、強化</t>
    <rPh sb="0" eb="1">
      <t>チュウ</t>
    </rPh>
    <rPh sb="2" eb="4">
      <t>フクソウ</t>
    </rPh>
    <rPh sb="5" eb="6">
      <t>アミ</t>
    </rPh>
    <rPh sb="6" eb="7">
      <t>イ</t>
    </rPh>
    <rPh sb="7" eb="8">
      <t>ミガ</t>
    </rPh>
    <rPh sb="10" eb="12">
      <t>ネッセン</t>
    </rPh>
    <rPh sb="12" eb="14">
      <t>キュウシュウ</t>
    </rPh>
    <rPh sb="15" eb="17">
      <t>ネッセン</t>
    </rPh>
    <rPh sb="17" eb="19">
      <t>ハンシャ</t>
    </rPh>
    <rPh sb="20" eb="21">
      <t>ア</t>
    </rPh>
    <rPh sb="24" eb="26">
      <t>キョウカ</t>
    </rPh>
    <phoneticPr fontId="8"/>
  </si>
  <si>
    <t>並：フロート、型板、網入型</t>
    <rPh sb="0" eb="1">
      <t>ナミ</t>
    </rPh>
    <rPh sb="7" eb="9">
      <t>カタイタ</t>
    </rPh>
    <rPh sb="10" eb="11">
      <t>アミ</t>
    </rPh>
    <rPh sb="11" eb="12">
      <t>イ</t>
    </rPh>
    <rPh sb="12" eb="13">
      <t>カタ</t>
    </rPh>
    <phoneticPr fontId="8"/>
  </si>
  <si>
    <t>◆　住宅用総合評点　◆</t>
    <rPh sb="2" eb="5">
      <t>ジュウタクヨウ</t>
    </rPh>
    <rPh sb="5" eb="7">
      <t>ソウゴウ</t>
    </rPh>
    <rPh sb="7" eb="9">
      <t>ヒョウテン</t>
    </rPh>
    <phoneticPr fontId="8"/>
  </si>
  <si>
    <t>住宅用建具</t>
    <rPh sb="0" eb="3">
      <t>ジュウタクヨウ</t>
    </rPh>
    <rPh sb="3" eb="5">
      <t>タテグ</t>
    </rPh>
    <phoneticPr fontId="8"/>
  </si>
  <si>
    <t>総合評点方式で算定</t>
    <rPh sb="0" eb="2">
      <t>ソウゴウ</t>
    </rPh>
    <rPh sb="2" eb="4">
      <t>ヒョウテン</t>
    </rPh>
    <rPh sb="4" eb="6">
      <t>ホウシキ</t>
    </rPh>
    <rPh sb="7" eb="9">
      <t>サンテイ</t>
    </rPh>
    <phoneticPr fontId="8"/>
  </si>
  <si>
    <t>●補助票＜間仕切・内壁仕上面積計算書＞</t>
    <rPh sb="1" eb="3">
      <t>ホジョ</t>
    </rPh>
    <rPh sb="3" eb="4">
      <t>ヒョウ</t>
    </rPh>
    <rPh sb="5" eb="8">
      <t>マジキ</t>
    </rPh>
    <rPh sb="9" eb="11">
      <t>ナイヘキ</t>
    </rPh>
    <rPh sb="11" eb="13">
      <t>シア</t>
    </rPh>
    <phoneticPr fontId="19"/>
  </si>
  <si>
    <t>内壁仕上合計面積</t>
    <rPh sb="0" eb="2">
      <t>ナイヘキ</t>
    </rPh>
    <rPh sb="2" eb="4">
      <t>シア</t>
    </rPh>
    <rPh sb="4" eb="6">
      <t>ゴウケイ</t>
    </rPh>
    <rPh sb="6" eb="7">
      <t>メン</t>
    </rPh>
    <rPh sb="7" eb="8">
      <t>セキ</t>
    </rPh>
    <phoneticPr fontId="6"/>
  </si>
  <si>
    <t>240*160</t>
    <phoneticPr fontId="19"/>
  </si>
  <si>
    <t>105*56</t>
    <phoneticPr fontId="19"/>
  </si>
  <si>
    <t>240cm*160cm</t>
    <phoneticPr fontId="8"/>
  </si>
  <si>
    <t>240cm*160cm</t>
    <phoneticPr fontId="8"/>
  </si>
  <si>
    <t>小規模</t>
    <rPh sb="0" eb="3">
      <t>ショウキボ</t>
    </rPh>
    <phoneticPr fontId="19"/>
  </si>
  <si>
    <t>手動水栓の小さなものは「小規模」とする（R3Q&amp;A)</t>
    <rPh sb="0" eb="2">
      <t>シュドウ</t>
    </rPh>
    <rPh sb="2" eb="4">
      <t>スイセン</t>
    </rPh>
    <rPh sb="5" eb="6">
      <t>チイ</t>
    </rPh>
    <rPh sb="12" eb="15">
      <t>ショウキボ</t>
    </rPh>
    <phoneticPr fontId="19"/>
  </si>
  <si>
    <t>レンジフード、浴室乾燥機は除かれている</t>
    <rPh sb="7" eb="9">
      <t>ヨクシツ</t>
    </rPh>
    <rPh sb="9" eb="12">
      <t>カンソウキ</t>
    </rPh>
    <rPh sb="13" eb="14">
      <t>ノゾ</t>
    </rPh>
    <phoneticPr fontId="19"/>
  </si>
  <si>
    <t>小規模</t>
    <rPh sb="0" eb="3">
      <t>ショウキボ</t>
    </rPh>
    <phoneticPr fontId="8"/>
  </si>
  <si>
    <t>一戸建てと同じ</t>
    <rPh sb="0" eb="2">
      <t>イッコ</t>
    </rPh>
    <rPh sb="2" eb="3">
      <t>ダ</t>
    </rPh>
    <rPh sb="5" eb="6">
      <t>オナ</t>
    </rPh>
    <phoneticPr fontId="19"/>
  </si>
  <si>
    <t>ガラス・ガラリ付・吊引戸（折り戸）のかまち戸（※鏡板がガラスの框戸（三所合意事項））</t>
    <rPh sb="9" eb="10">
      <t>ツリ</t>
    </rPh>
    <rPh sb="34" eb="35">
      <t>サン</t>
    </rPh>
    <rPh sb="35" eb="36">
      <t>ショ</t>
    </rPh>
    <rPh sb="36" eb="38">
      <t>ゴウイ</t>
    </rPh>
    <rPh sb="38" eb="40">
      <t>ジコウ</t>
    </rPh>
    <phoneticPr fontId="8"/>
  </si>
  <si>
    <t>両親開き：住宅用の玄関扉（原則一戸建の住宅用とする）</t>
    <rPh sb="5" eb="8">
      <t>ジュウタクヨウ</t>
    </rPh>
    <rPh sb="9" eb="11">
      <t>ゲンカン</t>
    </rPh>
    <rPh sb="11" eb="12">
      <t>トビラ</t>
    </rPh>
    <rPh sb="13" eb="15">
      <t>ゲンソク</t>
    </rPh>
    <rPh sb="15" eb="17">
      <t>イッコ</t>
    </rPh>
    <rPh sb="17" eb="18">
      <t>ダ</t>
    </rPh>
    <rPh sb="19" eb="21">
      <t>ジュウタク</t>
    </rPh>
    <rPh sb="21" eb="22">
      <t>ヨウ</t>
    </rPh>
    <phoneticPr fontId="8"/>
  </si>
  <si>
    <t>電動と同様に開閉でき、火災時に煙感知機と連動し自動でｼｬｯﾀｰが閉まるもの</t>
    <rPh sb="0" eb="2">
      <t>デンドウ</t>
    </rPh>
    <rPh sb="3" eb="5">
      <t>ドウヨウ</t>
    </rPh>
    <rPh sb="6" eb="8">
      <t>カイヘイ</t>
    </rPh>
    <rPh sb="11" eb="13">
      <t>カサイ</t>
    </rPh>
    <rPh sb="13" eb="14">
      <t>ジ</t>
    </rPh>
    <rPh sb="15" eb="16">
      <t>ケムリ</t>
    </rPh>
    <rPh sb="16" eb="18">
      <t>カンチ</t>
    </rPh>
    <rPh sb="18" eb="19">
      <t>キ</t>
    </rPh>
    <rPh sb="20" eb="22">
      <t>レンドウ</t>
    </rPh>
    <rPh sb="23" eb="25">
      <t>ジドウ</t>
    </rPh>
    <rPh sb="32" eb="33">
      <t>シ</t>
    </rPh>
    <phoneticPr fontId="8"/>
  </si>
  <si>
    <t>使用栓
(配管共)</t>
    <rPh sb="2" eb="3">
      <t>セン</t>
    </rPh>
    <phoneticPr fontId="19"/>
  </si>
  <si>
    <t>洗濯流し・汚物流し</t>
    <rPh sb="5" eb="7">
      <t>オブツ</t>
    </rPh>
    <rPh sb="7" eb="8">
      <t>ナガ</t>
    </rPh>
    <phoneticPr fontId="19"/>
  </si>
  <si>
    <t>耐火被覆［成形板・３時間耐火］（㎡）</t>
    <rPh sb="0" eb="2">
      <t>タイカ</t>
    </rPh>
    <rPh sb="2" eb="4">
      <t>ヒフク</t>
    </rPh>
    <rPh sb="5" eb="7">
      <t>セイケイ</t>
    </rPh>
    <rPh sb="7" eb="8">
      <t>イタ</t>
    </rPh>
    <rPh sb="10" eb="12">
      <t>ジカン</t>
    </rPh>
    <rPh sb="12" eb="14">
      <t>タイカ</t>
    </rPh>
    <phoneticPr fontId="22"/>
  </si>
  <si>
    <t>―</t>
    <phoneticPr fontId="22"/>
  </si>
  <si>
    <t>CLTパネル150mm厚</t>
    <rPh sb="11" eb="12">
      <t>アツ</t>
    </rPh>
    <phoneticPr fontId="22"/>
  </si>
  <si>
    <t>監視ｶﾒﾗ
配線</t>
    <rPh sb="0" eb="2">
      <t>カンシ</t>
    </rPh>
    <rPh sb="6" eb="8">
      <t>ハイセン</t>
    </rPh>
    <phoneticPr fontId="8"/>
  </si>
  <si>
    <t>(箇所数)</t>
    <rPh sb="1" eb="3">
      <t>カショ</t>
    </rPh>
    <rPh sb="3" eb="4">
      <t>スウ</t>
    </rPh>
    <phoneticPr fontId="8"/>
  </si>
  <si>
    <t>]</t>
    <phoneticPr fontId="9"/>
  </si>
  <si>
    <t>1･2（減点なし）</t>
    <rPh sb="4" eb="6">
      <t>ゲンテン</t>
    </rPh>
    <phoneticPr fontId="8"/>
  </si>
  <si>
    <t>240cm*160cm</t>
  </si>
  <si>
    <t>160cm*1２0cm</t>
  </si>
  <si>
    <t>洗濯流し・汚物流し</t>
    <rPh sb="0" eb="2">
      <t>センタク</t>
    </rPh>
    <rPh sb="2" eb="3">
      <t>ナガ</t>
    </rPh>
    <rPh sb="5" eb="7">
      <t>オブツ</t>
    </rPh>
    <rPh sb="7" eb="8">
      <t>ナガ</t>
    </rPh>
    <phoneticPr fontId="8"/>
  </si>
  <si>
    <t>※設備の種類（例：動力配線）ごとに「名前の定義（例：動力C6:AY11）」がされています　　※紫字は数式</t>
    <rPh sb="1" eb="3">
      <t>セツビ</t>
    </rPh>
    <rPh sb="4" eb="6">
      <t>シュルイ</t>
    </rPh>
    <rPh sb="7" eb="8">
      <t>レイ</t>
    </rPh>
    <rPh sb="9" eb="11">
      <t>ドウリョク</t>
    </rPh>
    <rPh sb="11" eb="13">
      <t>ハイセン</t>
    </rPh>
    <rPh sb="18" eb="20">
      <t>ナマエ</t>
    </rPh>
    <rPh sb="21" eb="23">
      <t>テイギ</t>
    </rPh>
    <rPh sb="24" eb="25">
      <t>レイ</t>
    </rPh>
    <rPh sb="26" eb="28">
      <t>ドウリョク</t>
    </rPh>
    <rPh sb="47" eb="48">
      <t>ムラサキ</t>
    </rPh>
    <rPh sb="48" eb="49">
      <t>ジ</t>
    </rPh>
    <rPh sb="50" eb="52">
      <t>スウシキ</t>
    </rPh>
    <phoneticPr fontId="8"/>
  </si>
  <si>
    <t>※配置補正は解説(○㎡当たり１個)を１㎡当たり個数に換算。</t>
    <rPh sb="1" eb="3">
      <t>ハイチ</t>
    </rPh>
    <rPh sb="3" eb="5">
      <t>ホセイ</t>
    </rPh>
    <rPh sb="11" eb="12">
      <t>ア</t>
    </rPh>
    <rPh sb="15" eb="16">
      <t>コ</t>
    </rPh>
    <rPh sb="20" eb="21">
      <t>ア</t>
    </rPh>
    <rPh sb="23" eb="25">
      <t>コスウ</t>
    </rPh>
    <phoneticPr fontId="8"/>
  </si>
  <si>
    <t>※住アの配置補正はH21質疑応答追録問16より</t>
    <rPh sb="1" eb="2">
      <t>ジュウ</t>
    </rPh>
    <rPh sb="4" eb="6">
      <t>ハイチ</t>
    </rPh>
    <rPh sb="6" eb="8">
      <t>ホセイ</t>
    </rPh>
    <rPh sb="12" eb="14">
      <t>シツギ</t>
    </rPh>
    <rPh sb="14" eb="16">
      <t>オウトウ</t>
    </rPh>
    <rPh sb="16" eb="18">
      <t>ツイロク</t>
    </rPh>
    <rPh sb="18" eb="19">
      <t>ト</t>
    </rPh>
    <phoneticPr fontId="8"/>
  </si>
  <si>
    <t>※事・店・百から比例計算</t>
    <phoneticPr fontId="8"/>
  </si>
  <si>
    <t>※器具数補正は解説(○㎡当たり１個)を100㎡当たり個数に換算。</t>
    <rPh sb="1" eb="3">
      <t>キグ</t>
    </rPh>
    <rPh sb="3" eb="4">
      <t>スウ</t>
    </rPh>
    <phoneticPr fontId="8"/>
  </si>
  <si>
    <t>基準替</t>
  </si>
  <si>
    <t>櫻井</t>
  </si>
  <si>
    <t>訂正</t>
  </si>
  <si>
    <t>桑谷</t>
  </si>
  <si>
    <t>全熱交換機</t>
    <rPh sb="0" eb="2">
      <t>ゼンネツ</t>
    </rPh>
    <rPh sb="2" eb="5">
      <t>コウカンキ</t>
    </rPh>
    <phoneticPr fontId="19"/>
  </si>
  <si>
    <r>
      <t xml:space="preserve">標準評点数
</t>
    </r>
    <r>
      <rPr>
        <sz val="8"/>
        <rFont val="ＭＳ Ｐゴシック"/>
        <family val="3"/>
        <charset val="128"/>
      </rPr>
      <t>(全熱交換機無)</t>
    </r>
    <rPh sb="0" eb="2">
      <t>ヒョウジュン</t>
    </rPh>
    <rPh sb="2" eb="3">
      <t>ヒョウ</t>
    </rPh>
    <rPh sb="3" eb="5">
      <t>テンスウ</t>
    </rPh>
    <rPh sb="7" eb="9">
      <t>ゼンネツ</t>
    </rPh>
    <rPh sb="9" eb="12">
      <t>コウカンキ</t>
    </rPh>
    <rPh sb="12" eb="13">
      <t>ナシ</t>
    </rPh>
    <phoneticPr fontId="8"/>
  </si>
  <si>
    <r>
      <t xml:space="preserve">標準評点数
</t>
    </r>
    <r>
      <rPr>
        <sz val="8"/>
        <rFont val="ＭＳ Ｐゴシック"/>
        <family val="3"/>
        <charset val="128"/>
      </rPr>
      <t>(全熱交換機有)</t>
    </r>
    <rPh sb="0" eb="2">
      <t>ヒョウジュン</t>
    </rPh>
    <rPh sb="2" eb="3">
      <t>ヒョウ</t>
    </rPh>
    <rPh sb="3" eb="5">
      <t>テンスウ</t>
    </rPh>
    <rPh sb="7" eb="9">
      <t>ゼンネツ</t>
    </rPh>
    <rPh sb="9" eb="12">
      <t>コウカンキ</t>
    </rPh>
    <rPh sb="12" eb="13">
      <t>アリ</t>
    </rPh>
    <phoneticPr fontId="8"/>
  </si>
  <si>
    <t>設置有無</t>
    <rPh sb="0" eb="2">
      <t>セッチ</t>
    </rPh>
    <rPh sb="2" eb="4">
      <t>ウム</t>
    </rPh>
    <phoneticPr fontId="8"/>
  </si>
  <si>
    <t>水道直結型スプリンクラーが必ず計上されていたのを選択式に修正</t>
    <phoneticPr fontId="8"/>
  </si>
  <si>
    <t>点数、表記、数式等の誤り修正（2/19まで指摘分）　、給湯管更新</t>
    <rPh sb="21" eb="23">
      <t>シテキ</t>
    </rPh>
    <rPh sb="23" eb="24">
      <t>ブン</t>
    </rPh>
    <rPh sb="27" eb="30">
      <t>キュウトウカン</t>
    </rPh>
    <rPh sb="30" eb="32">
      <t>コウシン</t>
    </rPh>
    <phoneticPr fontId="8"/>
  </si>
  <si>
    <t>自動制御盤</t>
    <rPh sb="0" eb="2">
      <t>ジドウ</t>
    </rPh>
    <rPh sb="2" eb="4">
      <t>セイギョ</t>
    </rPh>
    <rPh sb="4" eb="5">
      <t>バン</t>
    </rPh>
    <phoneticPr fontId="8"/>
  </si>
  <si>
    <t>自動制御盤</t>
  </si>
  <si>
    <t>※住・ア、病ホ、工場のみ設定あり、その他基準は、1個いくらのため、そのまま転用</t>
    <rPh sb="1" eb="2">
      <t>ジュウ</t>
    </rPh>
    <rPh sb="5" eb="6">
      <t>ビョウ</t>
    </rPh>
    <rPh sb="8" eb="10">
      <t>コウジョウ</t>
    </rPh>
    <rPh sb="12" eb="14">
      <t>セッテイ</t>
    </rPh>
    <rPh sb="19" eb="20">
      <t>タ</t>
    </rPh>
    <rPh sb="20" eb="22">
      <t>キジュン</t>
    </rPh>
    <rPh sb="25" eb="26">
      <t>コ</t>
    </rPh>
    <rPh sb="37" eb="39">
      <t>テンヨウ</t>
    </rPh>
    <phoneticPr fontId="8"/>
  </si>
  <si>
    <t>桑谷</t>
    <phoneticPr fontId="8"/>
  </si>
  <si>
    <t>減点補正率１</t>
    <rPh sb="0" eb="2">
      <t>ゲンテン</t>
    </rPh>
    <rPh sb="2" eb="5">
      <t>ホセイリツ</t>
    </rPh>
    <phoneticPr fontId="8"/>
  </si>
  <si>
    <t>減点補正率２</t>
    <rPh sb="0" eb="2">
      <t>ゲンテン</t>
    </rPh>
    <rPh sb="2" eb="4">
      <t>ホセイ</t>
    </rPh>
    <rPh sb="4" eb="5">
      <t>リツ</t>
    </rPh>
    <phoneticPr fontId="8"/>
  </si>
  <si>
    <t>空調の全熱交換を区別していないバージョンを基にしてたのを直した</t>
    <phoneticPr fontId="8"/>
  </si>
  <si>
    <t>点数、表記、数式等の誤り修正（2/22指摘分、DB建具総合）</t>
    <rPh sb="25" eb="27">
      <t>タテグ</t>
    </rPh>
    <rPh sb="27" eb="29">
      <t>ソウゴウ</t>
    </rPh>
    <phoneticPr fontId="8"/>
  </si>
  <si>
    <t>点数、表記、数式等の誤り修正（2/22指摘分、DB建具総合以外）</t>
    <rPh sb="25" eb="27">
      <t>タテグ</t>
    </rPh>
    <rPh sb="27" eb="29">
      <t>ソウゴウ</t>
    </rPh>
    <rPh sb="29" eb="31">
      <t>イガイ</t>
    </rPh>
    <phoneticPr fontId="8"/>
  </si>
  <si>
    <t>※単位当たり標準評点数積算基礎及びR３評価替Q&amp;Aより（木造評点+11570（給排水湯分岐管））</t>
    <rPh sb="1" eb="4">
      <t>タンイア</t>
    </rPh>
    <rPh sb="6" eb="8">
      <t>ヒョウジュン</t>
    </rPh>
    <rPh sb="8" eb="11">
      <t>ヒョウテンスウ</t>
    </rPh>
    <rPh sb="11" eb="15">
      <t>セキサンキソ</t>
    </rPh>
    <rPh sb="15" eb="16">
      <t>オヨ</t>
    </rPh>
    <rPh sb="19" eb="22">
      <t>ヒョウカガ</t>
    </rPh>
    <rPh sb="28" eb="30">
      <t>モクゾウ</t>
    </rPh>
    <rPh sb="30" eb="32">
      <t>ヒョウテン</t>
    </rPh>
    <rPh sb="39" eb="42">
      <t>キュウハイスイ</t>
    </rPh>
    <rPh sb="42" eb="43">
      <t>ユ</t>
    </rPh>
    <rPh sb="43" eb="45">
      <t>ブンキ</t>
    </rPh>
    <rPh sb="45" eb="46">
      <t>クダ</t>
    </rPh>
    <phoneticPr fontId="8"/>
  </si>
  <si>
    <t>浴槽の評点数を木造転用から単位当たり積算基礎計算の点数に変更</t>
    <rPh sb="0" eb="2">
      <t>ヨクソウ</t>
    </rPh>
    <rPh sb="3" eb="6">
      <t>ヒョウテンスウ</t>
    </rPh>
    <rPh sb="7" eb="9">
      <t>モクゾウ</t>
    </rPh>
    <rPh sb="9" eb="11">
      <t>テンヨウ</t>
    </rPh>
    <rPh sb="13" eb="16">
      <t>タンイア</t>
    </rPh>
    <rPh sb="18" eb="22">
      <t>セキサンキソ</t>
    </rPh>
    <rPh sb="22" eb="24">
      <t>ケイサン</t>
    </rPh>
    <rPh sb="25" eb="27">
      <t>テンスウ</t>
    </rPh>
    <rPh sb="28" eb="30">
      <t>ヘンコウ</t>
    </rPh>
    <phoneticPr fontId="8"/>
  </si>
  <si>
    <t>※CATV補正は実務提要より。</t>
    <phoneticPr fontId="8"/>
  </si>
  <si>
    <t>上下限止　計算値の減点より下を赤→無色（条件付書式/ルールの管理　増～減以外→増点より大）　
対象補正項目：動力負荷・電話配線配置・インターホン規模・拡声器器具数・TV器具数、空調能力</t>
    <rPh sb="0" eb="4">
      <t>ジョウカゲンド</t>
    </rPh>
    <rPh sb="5" eb="8">
      <t>ケイサンチ</t>
    </rPh>
    <rPh sb="9" eb="11">
      <t>ゲンテン</t>
    </rPh>
    <rPh sb="13" eb="14">
      <t>シタ</t>
    </rPh>
    <rPh sb="15" eb="16">
      <t>アカ</t>
    </rPh>
    <rPh sb="17" eb="19">
      <t>ムショク</t>
    </rPh>
    <rPh sb="20" eb="23">
      <t>ジョウケンツ</t>
    </rPh>
    <rPh sb="23" eb="25">
      <t>ショシキ</t>
    </rPh>
    <rPh sb="30" eb="32">
      <t>カンリ</t>
    </rPh>
    <rPh sb="33" eb="34">
      <t>ゾウ</t>
    </rPh>
    <rPh sb="35" eb="36">
      <t>ゲン</t>
    </rPh>
    <rPh sb="36" eb="38">
      <t>イガイ</t>
    </rPh>
    <rPh sb="39" eb="41">
      <t>ゾウテン</t>
    </rPh>
    <rPh sb="43" eb="44">
      <t>ダイ</t>
    </rPh>
    <rPh sb="47" eb="49">
      <t>タイショウ</t>
    </rPh>
    <rPh sb="49" eb="53">
      <t>ホセイコウモク</t>
    </rPh>
    <rPh sb="54" eb="56">
      <t>ドウリョク</t>
    </rPh>
    <rPh sb="56" eb="58">
      <t>フカ</t>
    </rPh>
    <rPh sb="59" eb="61">
      <t>デンワ</t>
    </rPh>
    <rPh sb="61" eb="63">
      <t>ハイセン</t>
    </rPh>
    <rPh sb="63" eb="65">
      <t>ハイチ</t>
    </rPh>
    <rPh sb="72" eb="74">
      <t>キボ</t>
    </rPh>
    <rPh sb="75" eb="78">
      <t>カクセイキ</t>
    </rPh>
    <rPh sb="78" eb="81">
      <t>キグスウ</t>
    </rPh>
    <rPh sb="84" eb="86">
      <t>キグ</t>
    </rPh>
    <rPh sb="86" eb="87">
      <t>スウ</t>
    </rPh>
    <rPh sb="88" eb="90">
      <t>クウチョウ</t>
    </rPh>
    <rPh sb="90" eb="92">
      <t>ノウリョク</t>
    </rPh>
    <phoneticPr fontId="8"/>
  </si>
  <si>
    <t>　胴縁・母屋の控除は、上の鉄骨の区分のうち、使用量が最大のものから控除するようにしてあります</t>
    <rPh sb="1" eb="2">
      <t>ドウ</t>
    </rPh>
    <rPh sb="2" eb="3">
      <t>フチ</t>
    </rPh>
    <rPh sb="4" eb="6">
      <t>モヤ</t>
    </rPh>
    <rPh sb="7" eb="9">
      <t>コウジョ</t>
    </rPh>
    <rPh sb="11" eb="12">
      <t>ウエ</t>
    </rPh>
    <rPh sb="13" eb="15">
      <t>テッコツ</t>
    </rPh>
    <rPh sb="16" eb="18">
      <t>クブン</t>
    </rPh>
    <rPh sb="22" eb="24">
      <t>シヨウ</t>
    </rPh>
    <rPh sb="24" eb="25">
      <t>リョウ</t>
    </rPh>
    <rPh sb="26" eb="28">
      <t>サイダイ</t>
    </rPh>
    <rPh sb="33" eb="35">
      <t>コウジョ</t>
    </rPh>
    <phoneticPr fontId="22"/>
  </si>
  <si>
    <t>　その他の区分からの控除とする場合は、左の標準評点数のセルに直接点数を入力してください</t>
    <rPh sb="3" eb="4">
      <t>ホカ</t>
    </rPh>
    <rPh sb="5" eb="7">
      <t>クブン</t>
    </rPh>
    <rPh sb="10" eb="12">
      <t>コウジョ</t>
    </rPh>
    <rPh sb="15" eb="17">
      <t>バアイ</t>
    </rPh>
    <rPh sb="19" eb="20">
      <t>ヒダリ</t>
    </rPh>
    <rPh sb="21" eb="23">
      <t>ヒョウジュン</t>
    </rPh>
    <rPh sb="23" eb="25">
      <t>ヒョウテン</t>
    </rPh>
    <rPh sb="25" eb="26">
      <t>スウ</t>
    </rPh>
    <rPh sb="30" eb="32">
      <t>チョクセツ</t>
    </rPh>
    <rPh sb="32" eb="34">
      <t>テンスウ</t>
    </rPh>
    <rPh sb="35" eb="37">
      <t>ニュウリョク</t>
    </rPh>
    <phoneticPr fontId="22"/>
  </si>
  <si>
    <t>　※（H30～）胴縁・母屋の控除については、左の延床面積あたり（＝仕上面の標準量当たり）５ｋｇ控除も引き続き使用できますが、</t>
    <rPh sb="8" eb="9">
      <t>ドウ</t>
    </rPh>
    <rPh sb="9" eb="10">
      <t>フチ</t>
    </rPh>
    <rPh sb="11" eb="13">
      <t>モヤ</t>
    </rPh>
    <rPh sb="14" eb="16">
      <t>コウジョ</t>
    </rPh>
    <rPh sb="22" eb="23">
      <t>ヒダリ</t>
    </rPh>
    <rPh sb="24" eb="26">
      <t>ノベユカ</t>
    </rPh>
    <rPh sb="26" eb="28">
      <t>メンセキ</t>
    </rPh>
    <rPh sb="33" eb="35">
      <t>シアゲ</t>
    </rPh>
    <rPh sb="35" eb="36">
      <t>メン</t>
    </rPh>
    <rPh sb="37" eb="39">
      <t>ヒョウジュン</t>
    </rPh>
    <rPh sb="39" eb="40">
      <t>リョウ</t>
    </rPh>
    <rPh sb="40" eb="41">
      <t>ア</t>
    </rPh>
    <rPh sb="47" eb="49">
      <t>コウジョ</t>
    </rPh>
    <rPh sb="50" eb="51">
      <t>ヒ</t>
    </rPh>
    <rPh sb="52" eb="53">
      <t>ツヅ</t>
    </rPh>
    <rPh sb="54" eb="56">
      <t>シヨウ</t>
    </rPh>
    <phoneticPr fontId="22"/>
  </si>
  <si>
    <t>　　「（参考）下地・加算一覧」シート記載の控除点数を、外部・内部・屋根仕上の下地入替欄に追加して評点付設することとしてください</t>
    <rPh sb="4" eb="6">
      <t>サンコウ</t>
    </rPh>
    <rPh sb="7" eb="9">
      <t>シタジ</t>
    </rPh>
    <rPh sb="10" eb="12">
      <t>カサン</t>
    </rPh>
    <rPh sb="12" eb="14">
      <t>イチラン</t>
    </rPh>
    <rPh sb="18" eb="20">
      <t>キサイ</t>
    </rPh>
    <rPh sb="21" eb="23">
      <t>コウジョ</t>
    </rPh>
    <rPh sb="23" eb="25">
      <t>テンスウ</t>
    </rPh>
    <rPh sb="27" eb="29">
      <t>ガイブ</t>
    </rPh>
    <rPh sb="30" eb="32">
      <t>ナイブ</t>
    </rPh>
    <rPh sb="33" eb="35">
      <t>ヤネ</t>
    </rPh>
    <rPh sb="35" eb="37">
      <t>シアゲ</t>
    </rPh>
    <rPh sb="38" eb="40">
      <t>シタジ</t>
    </rPh>
    <rPh sb="40" eb="42">
      <t>イレカエ</t>
    </rPh>
    <rPh sb="42" eb="43">
      <t>ラン</t>
    </rPh>
    <rPh sb="44" eb="46">
      <t>ツイカ</t>
    </rPh>
    <rPh sb="48" eb="50">
      <t>ヒョウテン</t>
    </rPh>
    <rPh sb="50" eb="52">
      <t>フセツ</t>
    </rPh>
    <phoneticPr fontId="22"/>
  </si>
  <si>
    <t>R3.3時点で胴縁控除は使っていないが行は残してあります</t>
    <rPh sb="4" eb="6">
      <t>ジテン</t>
    </rPh>
    <rPh sb="7" eb="9">
      <t>ドウブチ</t>
    </rPh>
    <rPh sb="9" eb="11">
      <t>コウジョ</t>
    </rPh>
    <rPh sb="12" eb="13">
      <t>ツカ</t>
    </rPh>
    <rPh sb="19" eb="20">
      <t>ギョウ</t>
    </rPh>
    <rPh sb="21" eb="22">
      <t>ノコ</t>
    </rPh>
    <phoneticPr fontId="22"/>
  </si>
  <si>
    <t>桑谷</t>
    <phoneticPr fontId="8"/>
  </si>
  <si>
    <t>R3.3　デッキプレートｔ数出典はH30実務提要のためR3年度版入手後に確認すること</t>
    <rPh sb="13" eb="14">
      <t>スウ</t>
    </rPh>
    <rPh sb="14" eb="16">
      <t>シュッテン</t>
    </rPh>
    <rPh sb="20" eb="24">
      <t>ジツムテイヨウ</t>
    </rPh>
    <rPh sb="29" eb="31">
      <t>ネンド</t>
    </rPh>
    <rPh sb="31" eb="32">
      <t>バン</t>
    </rPh>
    <rPh sb="32" eb="35">
      <t>ニュウシュゴ</t>
    </rPh>
    <rPh sb="36" eb="38">
      <t>カクニン</t>
    </rPh>
    <phoneticPr fontId="22"/>
  </si>
  <si>
    <t>※設定なし、事店百から転用</t>
    <rPh sb="1" eb="3">
      <t>セッテイ</t>
    </rPh>
    <rPh sb="6" eb="7">
      <t>ジ</t>
    </rPh>
    <rPh sb="7" eb="8">
      <t>ミセ</t>
    </rPh>
    <rPh sb="8" eb="9">
      <t>ヒャク</t>
    </rPh>
    <rPh sb="11" eb="13">
      <t>テンヨウ</t>
    </rPh>
    <phoneticPr fontId="8"/>
  </si>
  <si>
    <t>根切土量は増減点超可能（上下限止めしない）</t>
    <rPh sb="0" eb="2">
      <t>ネギリ</t>
    </rPh>
    <rPh sb="2" eb="3">
      <t>ツチ</t>
    </rPh>
    <rPh sb="3" eb="4">
      <t>リョウ</t>
    </rPh>
    <rPh sb="5" eb="7">
      <t>ゾウゲン</t>
    </rPh>
    <rPh sb="7" eb="8">
      <t>テン</t>
    </rPh>
    <rPh sb="8" eb="9">
      <t>コ</t>
    </rPh>
    <rPh sb="9" eb="11">
      <t>カノウ</t>
    </rPh>
    <rPh sb="12" eb="15">
      <t>ジョウカゲン</t>
    </rPh>
    <rPh sb="15" eb="16">
      <t>ド</t>
    </rPh>
    <phoneticPr fontId="22"/>
  </si>
  <si>
    <t>施工量は増減点超可能（上下限止めしない）</t>
    <rPh sb="0" eb="3">
      <t>セコウリョウ</t>
    </rPh>
    <rPh sb="4" eb="6">
      <t>ゾウゲン</t>
    </rPh>
    <rPh sb="6" eb="7">
      <t>テン</t>
    </rPh>
    <rPh sb="7" eb="8">
      <t>コ</t>
    </rPh>
    <rPh sb="8" eb="10">
      <t>カノウ</t>
    </rPh>
    <rPh sb="11" eb="14">
      <t>ジョウカゲン</t>
    </rPh>
    <rPh sb="14" eb="15">
      <t>ド</t>
    </rPh>
    <phoneticPr fontId="22"/>
  </si>
  <si>
    <t>共同住宅は採用見送り（対象線引き困難が予想される）。</t>
    <rPh sb="5" eb="7">
      <t>サイヨウ</t>
    </rPh>
    <phoneticPr fontId="8"/>
  </si>
  <si>
    <t>一戸建　上：アルミ樹脂複合サッシLow-Eガラス、中：アルミサッシLow-Eガラス</t>
    <rPh sb="0" eb="3">
      <t>イッコダ</t>
    </rPh>
    <rPh sb="4" eb="5">
      <t>ジョウ</t>
    </rPh>
    <rPh sb="9" eb="11">
      <t>ジュシ</t>
    </rPh>
    <rPh sb="11" eb="13">
      <t>フクゴウ</t>
    </rPh>
    <phoneticPr fontId="8"/>
  </si>
  <si>
    <t>　　　　並：アルミサッシ複層ガラス　　（木造、ﾌﾟﾚ住と同じ）</t>
    <rPh sb="20" eb="22">
      <t>モクゾウ</t>
    </rPh>
    <rPh sb="26" eb="27">
      <t>ジュウ</t>
    </rPh>
    <rPh sb="28" eb="29">
      <t>オナ</t>
    </rPh>
    <phoneticPr fontId="8"/>
  </si>
  <si>
    <t>その他工事：以上に含まれない木工事、金属工事、雑工事</t>
    <rPh sb="2" eb="3">
      <t>タ</t>
    </rPh>
    <rPh sb="3" eb="5">
      <t>コウジ</t>
    </rPh>
    <rPh sb="6" eb="8">
      <t>イジョウ</t>
    </rPh>
    <rPh sb="9" eb="10">
      <t>フク</t>
    </rPh>
    <rPh sb="14" eb="17">
      <t>モッコウジ</t>
    </rPh>
    <rPh sb="18" eb="22">
      <t>キンゾクコウジ</t>
    </rPh>
    <rPh sb="23" eb="26">
      <t>ザツコウジ</t>
    </rPh>
    <phoneticPr fontId="22"/>
  </si>
  <si>
    <t>　　（床間・鴨居等造作、樋・棚・梯子・手摺等）</t>
    <rPh sb="3" eb="4">
      <t>トコ</t>
    </rPh>
    <rPh sb="4" eb="5">
      <t>マ</t>
    </rPh>
    <rPh sb="6" eb="8">
      <t>カモイ</t>
    </rPh>
    <rPh sb="8" eb="9">
      <t>トウ</t>
    </rPh>
    <rPh sb="9" eb="11">
      <t>ゾウサク</t>
    </rPh>
    <rPh sb="12" eb="13">
      <t>トイ</t>
    </rPh>
    <rPh sb="14" eb="15">
      <t>タナ</t>
    </rPh>
    <rPh sb="16" eb="18">
      <t>ハシゴ</t>
    </rPh>
    <rPh sb="19" eb="21">
      <t>テスリ</t>
    </rPh>
    <rPh sb="21" eb="22">
      <t>トウ</t>
    </rPh>
    <phoneticPr fontId="22"/>
  </si>
  <si>
    <t>仮設工事：仮囲、水盛、遣方、足場、養生、清掃片付け等</t>
    <rPh sb="0" eb="4">
      <t>カセツコウジ</t>
    </rPh>
    <rPh sb="5" eb="7">
      <t>カリカコ</t>
    </rPh>
    <rPh sb="8" eb="10">
      <t>ミズモリ</t>
    </rPh>
    <rPh sb="11" eb="12">
      <t>ケン</t>
    </rPh>
    <rPh sb="12" eb="13">
      <t>カタ</t>
    </rPh>
    <rPh sb="14" eb="16">
      <t>アシバ</t>
    </rPh>
    <rPh sb="17" eb="19">
      <t>ヨウジョウ</t>
    </rPh>
    <rPh sb="20" eb="22">
      <t>セイソウ</t>
    </rPh>
    <rPh sb="22" eb="24">
      <t>カタヅ</t>
    </rPh>
    <rPh sb="25" eb="26">
      <t>トウ</t>
    </rPh>
    <phoneticPr fontId="22"/>
  </si>
  <si>
    <t>H30までは明確計算を工事多少0.5としていたが評価基準や解説に沿っていないためR3取りやめ。</t>
    <rPh sb="6" eb="10">
      <t>メイカクケイサン</t>
    </rPh>
    <rPh sb="11" eb="13">
      <t>コウジ</t>
    </rPh>
    <rPh sb="13" eb="15">
      <t>タショウ</t>
    </rPh>
    <rPh sb="24" eb="28">
      <t>ヒョウカキジュン</t>
    </rPh>
    <rPh sb="29" eb="31">
      <t>カイセツ</t>
    </rPh>
    <rPh sb="32" eb="33">
      <t>ソ</t>
    </rPh>
    <rPh sb="42" eb="43">
      <t>ト</t>
    </rPh>
    <phoneticPr fontId="22"/>
  </si>
  <si>
    <t>１，２階のみの施工の場合に使用</t>
    <rPh sb="3" eb="4">
      <t>カイ</t>
    </rPh>
    <rPh sb="7" eb="9">
      <t>セコウ</t>
    </rPh>
    <rPh sb="10" eb="12">
      <t>バアイ</t>
    </rPh>
    <rPh sb="13" eb="15">
      <t>シヨウ</t>
    </rPh>
    <phoneticPr fontId="8"/>
  </si>
  <si>
    <t>３階以上の施工の場合に使用</t>
    <rPh sb="1" eb="4">
      <t>カイイジョウ</t>
    </rPh>
    <rPh sb="5" eb="7">
      <t>セコウ</t>
    </rPh>
    <rPh sb="8" eb="10">
      <t>バアイ</t>
    </rPh>
    <rPh sb="11" eb="13">
      <t>シヨウ</t>
    </rPh>
    <phoneticPr fontId="8"/>
  </si>
  <si>
    <t>１戸30㎡未満は1.2、70㎡超は1.0（減点なし）　R3QA37</t>
    <rPh sb="1" eb="2">
      <t>コ</t>
    </rPh>
    <rPh sb="5" eb="7">
      <t>ミマン</t>
    </rPh>
    <rPh sb="15" eb="16">
      <t>コ</t>
    </rPh>
    <rPh sb="21" eb="23">
      <t>ゲンテン</t>
    </rPh>
    <phoneticPr fontId="8"/>
  </si>
  <si>
    <t>一棟全体が集合形式の場合に使用</t>
    <rPh sb="0" eb="2">
      <t>イットウ</t>
    </rPh>
    <rPh sb="2" eb="4">
      <t>ゼンタイ</t>
    </rPh>
    <rPh sb="5" eb="7">
      <t>シュウゴウ</t>
    </rPh>
    <rPh sb="7" eb="9">
      <t>ケイシキ</t>
    </rPh>
    <rPh sb="10" eb="12">
      <t>バアイ</t>
    </rPh>
    <rPh sb="13" eb="15">
      <t>シヨウ</t>
    </rPh>
    <phoneticPr fontId="8"/>
  </si>
  <si>
    <t>平屋は評点付設しない</t>
    <rPh sb="0" eb="2">
      <t>ヒラヤ</t>
    </rPh>
    <rPh sb="3" eb="5">
      <t>ヒョウテン</t>
    </rPh>
    <rPh sb="5" eb="7">
      <t>フセツ</t>
    </rPh>
    <phoneticPr fontId="8"/>
  </si>
  <si>
    <t>号数の計算値は上限止めする（R3.3.2協議）</t>
    <rPh sb="0" eb="2">
      <t>ゴウスウ</t>
    </rPh>
    <rPh sb="3" eb="6">
      <t>ケイサンチ</t>
    </rPh>
    <rPh sb="7" eb="10">
      <t>ジョウゲンド</t>
    </rPh>
    <rPh sb="20" eb="22">
      <t>キョウギ</t>
    </rPh>
    <phoneticPr fontId="8"/>
  </si>
  <si>
    <t>↑計算値</t>
    <rPh sb="1" eb="4">
      <t>ケイサンチ</t>
    </rPh>
    <phoneticPr fontId="8"/>
  </si>
  <si>
    <t>給湯機号数の上限止め（R3.3.2協議）と同様に設定</t>
    <rPh sb="0" eb="5">
      <t>キュウトウキゴウスウ</t>
    </rPh>
    <rPh sb="6" eb="9">
      <t>ジョウゲンド</t>
    </rPh>
    <rPh sb="17" eb="19">
      <t>キョウギ</t>
    </rPh>
    <rPh sb="21" eb="23">
      <t>ドウヨウ</t>
    </rPh>
    <rPh sb="24" eb="26">
      <t>セッテイ</t>
    </rPh>
    <phoneticPr fontId="8"/>
  </si>
  <si>
    <t>戸当たり平均床面積の30㎡未満及び110超の場合は0.8とする（R3QA14）</t>
    <rPh sb="0" eb="1">
      <t>ト</t>
    </rPh>
    <rPh sb="1" eb="2">
      <t>ア</t>
    </rPh>
    <rPh sb="4" eb="6">
      <t>ヘイキン</t>
    </rPh>
    <rPh sb="6" eb="9">
      <t>ユカメンセキ</t>
    </rPh>
    <rPh sb="13" eb="15">
      <t>ミマン</t>
    </rPh>
    <rPh sb="15" eb="16">
      <t>オヨ</t>
    </rPh>
    <rPh sb="20" eb="21">
      <t>チョウ</t>
    </rPh>
    <rPh sb="22" eb="24">
      <t>バアイ</t>
    </rPh>
    <phoneticPr fontId="8"/>
  </si>
  <si>
    <t>戸当たり30㎡未満は1.2、70㎡超は1.0（減点なし）　R3QA37</t>
    <rPh sb="0" eb="1">
      <t>コ</t>
    </rPh>
    <rPh sb="1" eb="2">
      <t>ア</t>
    </rPh>
    <rPh sb="7" eb="9">
      <t>ミマン</t>
    </rPh>
    <rPh sb="17" eb="18">
      <t>コ</t>
    </rPh>
    <rPh sb="23" eb="25">
      <t>ゲンテン</t>
    </rPh>
    <phoneticPr fontId="8"/>
  </si>
  <si>
    <t>有</t>
    <rPh sb="0" eb="1">
      <t>アリ</t>
    </rPh>
    <phoneticPr fontId="8"/>
  </si>
  <si>
    <t>(延床㎡)</t>
    <rPh sb="1" eb="2">
      <t>ノ</t>
    </rPh>
    <rPh sb="2" eb="3">
      <t>ユカ</t>
    </rPh>
    <phoneticPr fontId="8"/>
  </si>
  <si>
    <t>延床面積</t>
    <rPh sb="0" eb="2">
      <t>ノベユカ</t>
    </rPh>
    <rPh sb="2" eb="4">
      <t>メンセキ</t>
    </rPh>
    <phoneticPr fontId="8"/>
  </si>
  <si>
    <t>R3.3.2担当者会議での協議事項を反映(各種コメント、設備補正上下限止めなど）
RC基礎延長の補正：根切土量と同じく上限止めしないとコメント
給湯機容量：号数と同じく上限止め赤塗りを設定　※個別シートも同様に設定
設備シートの冒頭のコメントを実態に合わせて更新
建具、設備の戸当たり平均床面積は自動計算（MAX/MIN使用）が本来だがうまくいかず赤塗+コメントにした
電灯（工場倉庫市場以外）が常に計算されていたが選択式に変更
※DBシートの種類別色分け、数値入力セルの半角設定は未着手</t>
    <rPh sb="6" eb="9">
      <t>タントウシャ</t>
    </rPh>
    <rPh sb="9" eb="11">
      <t>カイギ</t>
    </rPh>
    <rPh sb="13" eb="17">
      <t>キョウギジコウ</t>
    </rPh>
    <rPh sb="18" eb="20">
      <t>ハンエイ</t>
    </rPh>
    <rPh sb="21" eb="23">
      <t>カクシュ</t>
    </rPh>
    <rPh sb="28" eb="30">
      <t>セツビ</t>
    </rPh>
    <rPh sb="30" eb="32">
      <t>ホセイ</t>
    </rPh>
    <rPh sb="32" eb="35">
      <t>ジョウカゲン</t>
    </rPh>
    <rPh sb="35" eb="36">
      <t>ド</t>
    </rPh>
    <rPh sb="43" eb="47">
      <t>キソエンチョウ</t>
    </rPh>
    <rPh sb="48" eb="50">
      <t>ホセイ</t>
    </rPh>
    <rPh sb="51" eb="53">
      <t>ネギリ</t>
    </rPh>
    <rPh sb="53" eb="54">
      <t>ツチ</t>
    </rPh>
    <rPh sb="54" eb="55">
      <t>リョウ</t>
    </rPh>
    <rPh sb="56" eb="57">
      <t>オナ</t>
    </rPh>
    <rPh sb="59" eb="61">
      <t>ジョウゲン</t>
    </rPh>
    <rPh sb="61" eb="62">
      <t>ド</t>
    </rPh>
    <rPh sb="72" eb="75">
      <t>キュウトウキ</t>
    </rPh>
    <rPh sb="75" eb="77">
      <t>ヨウリョウ</t>
    </rPh>
    <rPh sb="78" eb="80">
      <t>ゴウスウ</t>
    </rPh>
    <rPh sb="81" eb="82">
      <t>オナ</t>
    </rPh>
    <rPh sb="84" eb="87">
      <t>ジョウゲンド</t>
    </rPh>
    <rPh sb="88" eb="90">
      <t>アカヌリ</t>
    </rPh>
    <rPh sb="92" eb="94">
      <t>セッテイ</t>
    </rPh>
    <rPh sb="96" eb="98">
      <t>コベツ</t>
    </rPh>
    <rPh sb="102" eb="104">
      <t>ドウヨウ</t>
    </rPh>
    <rPh sb="105" eb="107">
      <t>セッテイ</t>
    </rPh>
    <rPh sb="108" eb="110">
      <t>セツビ</t>
    </rPh>
    <rPh sb="114" eb="116">
      <t>ボウトウ</t>
    </rPh>
    <rPh sb="122" eb="124">
      <t>ジッタイ</t>
    </rPh>
    <rPh sb="125" eb="126">
      <t>ア</t>
    </rPh>
    <rPh sb="129" eb="131">
      <t>コウシン</t>
    </rPh>
    <rPh sb="132" eb="134">
      <t>タテグ</t>
    </rPh>
    <rPh sb="135" eb="137">
      <t>セツビ</t>
    </rPh>
    <rPh sb="138" eb="139">
      <t>コ</t>
    </rPh>
    <rPh sb="139" eb="140">
      <t>ア</t>
    </rPh>
    <rPh sb="142" eb="144">
      <t>ヘイキン</t>
    </rPh>
    <rPh sb="144" eb="147">
      <t>ユカメンセキ</t>
    </rPh>
    <rPh sb="148" eb="152">
      <t>ジドウケイサン</t>
    </rPh>
    <rPh sb="160" eb="162">
      <t>シヨウ</t>
    </rPh>
    <rPh sb="164" eb="166">
      <t>ホンライ</t>
    </rPh>
    <rPh sb="174" eb="176">
      <t>アカヌリ</t>
    </rPh>
    <rPh sb="185" eb="187">
      <t>デントウ</t>
    </rPh>
    <rPh sb="188" eb="194">
      <t>コウジョウソウコイチバ</t>
    </rPh>
    <rPh sb="194" eb="196">
      <t>イガイ</t>
    </rPh>
    <rPh sb="198" eb="199">
      <t>ツネ</t>
    </rPh>
    <rPh sb="200" eb="202">
      <t>ケイサン</t>
    </rPh>
    <rPh sb="208" eb="211">
      <t>センタクシキ</t>
    </rPh>
    <rPh sb="212" eb="214">
      <t>ヘンコウ</t>
    </rPh>
    <rPh sb="222" eb="225">
      <t>シュルイベツ</t>
    </rPh>
    <rPh sb="225" eb="227">
      <t>イロワ</t>
    </rPh>
    <rPh sb="229" eb="233">
      <t>スウチニュウリョク</t>
    </rPh>
    <rPh sb="236" eb="238">
      <t>ハンカク</t>
    </rPh>
    <rPh sb="238" eb="240">
      <t>セッテイ</t>
    </rPh>
    <rPh sb="241" eb="244">
      <t>ミチャクシュ</t>
    </rPh>
    <phoneticPr fontId="8"/>
  </si>
  <si>
    <t>減点なし</t>
    <rPh sb="0" eb="2">
      <t>ゲンテン</t>
    </rPh>
    <phoneticPr fontId="8"/>
  </si>
  <si>
    <t>減点なし</t>
    <rPh sb="0" eb="2">
      <t>ゲンテン</t>
    </rPh>
    <phoneticPr fontId="19"/>
  </si>
  <si>
    <t>桑谷</t>
    <rPh sb="0" eb="2">
      <t>クワタニ</t>
    </rPh>
    <phoneticPr fontId="8"/>
  </si>
  <si>
    <t>R3.3.4～19各所確認による指摘事項を修正
ハーフユニットバス数式（max関数で減点補正なしにで変更＋参照箇所修正）、新設設備について上段ハイパーリンク設定（A列にrow関数を入れて該当行を返し、E列＋該当行に飛ばす設定）、他表示設定</t>
    <rPh sb="9" eb="11">
      <t>カクショ</t>
    </rPh>
    <rPh sb="11" eb="13">
      <t>カクニン</t>
    </rPh>
    <rPh sb="16" eb="18">
      <t>シテキ</t>
    </rPh>
    <rPh sb="18" eb="20">
      <t>ジコウ</t>
    </rPh>
    <rPh sb="21" eb="23">
      <t>シュウセイ</t>
    </rPh>
    <rPh sb="33" eb="35">
      <t>スウシキ</t>
    </rPh>
    <rPh sb="39" eb="41">
      <t>カンスウ</t>
    </rPh>
    <rPh sb="42" eb="44">
      <t>ゲンテン</t>
    </rPh>
    <rPh sb="44" eb="46">
      <t>ホセイ</t>
    </rPh>
    <rPh sb="50" eb="52">
      <t>ヘンコウ</t>
    </rPh>
    <rPh sb="53" eb="55">
      <t>サンショウ</t>
    </rPh>
    <rPh sb="55" eb="57">
      <t>カショ</t>
    </rPh>
    <rPh sb="57" eb="59">
      <t>シュウセイ</t>
    </rPh>
    <rPh sb="61" eb="63">
      <t>シンセツ</t>
    </rPh>
    <rPh sb="63" eb="65">
      <t>セツビ</t>
    </rPh>
    <rPh sb="69" eb="71">
      <t>ジョウダン</t>
    </rPh>
    <rPh sb="78" eb="80">
      <t>セッテイ</t>
    </rPh>
    <rPh sb="82" eb="83">
      <t>レツ</t>
    </rPh>
    <rPh sb="87" eb="89">
      <t>カンスウ</t>
    </rPh>
    <rPh sb="90" eb="91">
      <t>イ</t>
    </rPh>
    <rPh sb="93" eb="95">
      <t>ガイトウ</t>
    </rPh>
    <rPh sb="95" eb="96">
      <t>ギョウ</t>
    </rPh>
    <rPh sb="97" eb="98">
      <t>カエ</t>
    </rPh>
    <rPh sb="101" eb="102">
      <t>レツ</t>
    </rPh>
    <rPh sb="103" eb="105">
      <t>ガイトウ</t>
    </rPh>
    <rPh sb="105" eb="106">
      <t>ギョウ</t>
    </rPh>
    <rPh sb="107" eb="108">
      <t>ト</t>
    </rPh>
    <rPh sb="110" eb="112">
      <t>セッテイ</t>
    </rPh>
    <rPh sb="114" eb="115">
      <t>ホカ</t>
    </rPh>
    <rPh sb="115" eb="117">
      <t>ヒョウジ</t>
    </rPh>
    <rPh sb="117" eb="119">
      <t>セッテイ</t>
    </rPh>
    <phoneticPr fontId="8"/>
  </si>
  <si>
    <t>R3更新していません</t>
    <rPh sb="2" eb="4">
      <t>コウシン</t>
    </rPh>
    <phoneticPr fontId="8"/>
  </si>
  <si>
    <r>
      <t xml:space="preserve">電　灯
</t>
    </r>
    <r>
      <rPr>
        <sz val="6"/>
        <rFont val="HG創英角ｺﾞｼｯｸUB"/>
        <family val="3"/>
        <charset val="128"/>
      </rPr>
      <t>(工倉市以外)</t>
    </r>
    <rPh sb="0" eb="1">
      <t>デン</t>
    </rPh>
    <rPh sb="2" eb="3">
      <t>ヒ</t>
    </rPh>
    <rPh sb="5" eb="6">
      <t>コウ</t>
    </rPh>
    <rPh sb="6" eb="7">
      <t>クラ</t>
    </rPh>
    <rPh sb="7" eb="8">
      <t>シ</t>
    </rPh>
    <rPh sb="8" eb="10">
      <t>イガイ</t>
    </rPh>
    <phoneticPr fontId="8"/>
  </si>
  <si>
    <r>
      <t xml:space="preserve">電　灯
</t>
    </r>
    <r>
      <rPr>
        <sz val="6"/>
        <rFont val="HG創英角ｺﾞｼｯｸUB"/>
        <family val="3"/>
        <charset val="128"/>
      </rPr>
      <t>（工・倉・市）</t>
    </r>
    <rPh sb="0" eb="1">
      <t>デン</t>
    </rPh>
    <rPh sb="2" eb="3">
      <t>ヒ</t>
    </rPh>
    <rPh sb="5" eb="6">
      <t>コウ</t>
    </rPh>
    <rPh sb="7" eb="8">
      <t>クラ</t>
    </rPh>
    <rPh sb="9" eb="10">
      <t>イチ</t>
    </rPh>
    <phoneticPr fontId="8"/>
  </si>
  <si>
    <r>
      <t xml:space="preserve">給水主管
</t>
    </r>
    <r>
      <rPr>
        <sz val="6"/>
        <rFont val="HG創英角ｺﾞｼｯｸUB"/>
        <family val="3"/>
        <charset val="128"/>
      </rPr>
      <t>（1・2Fのみ）</t>
    </r>
    <rPh sb="0" eb="2">
      <t>キュウスイ</t>
    </rPh>
    <rPh sb="2" eb="4">
      <t>シュカン</t>
    </rPh>
    <phoneticPr fontId="8"/>
  </si>
  <si>
    <r>
      <t xml:space="preserve">排水主管
</t>
    </r>
    <r>
      <rPr>
        <sz val="6"/>
        <rFont val="HG創英角ｺﾞｼｯｸUB"/>
        <family val="3"/>
        <charset val="128"/>
      </rPr>
      <t>（1・2Fのみ）</t>
    </r>
    <rPh sb="0" eb="2">
      <t>ハイスイ</t>
    </rPh>
    <rPh sb="2" eb="4">
      <t>シュカン</t>
    </rPh>
    <phoneticPr fontId="8"/>
  </si>
  <si>
    <r>
      <rPr>
        <sz val="6"/>
        <rFont val="HG創英角ｺﾞｼｯｸUB"/>
        <family val="3"/>
        <charset val="128"/>
      </rPr>
      <t>（集合住宅1・2Fのみ）</t>
    </r>
    <r>
      <rPr>
        <sz val="9"/>
        <rFont val="HG創英角ｺﾞｼｯｸUB"/>
        <family val="3"/>
        <charset val="128"/>
      </rPr>
      <t xml:space="preserve">
総合評点方式
</t>
    </r>
    <r>
      <rPr>
        <sz val="8"/>
        <rFont val="HG創英角ｺﾞｼｯｸUB"/>
        <family val="3"/>
        <charset val="128"/>
      </rPr>
      <t>電灯・ガス・給水・排水</t>
    </r>
    <rPh sb="13" eb="15">
      <t>ソウゴウ</t>
    </rPh>
    <rPh sb="15" eb="17">
      <t>ヒョウテン</t>
    </rPh>
    <rPh sb="17" eb="19">
      <t>ホウシキ</t>
    </rPh>
    <rPh sb="20" eb="22">
      <t>デントウ</t>
    </rPh>
    <rPh sb="26" eb="28">
      <t>キュウスイ</t>
    </rPh>
    <rPh sb="29" eb="31">
      <t>ハイスイ</t>
    </rPh>
    <phoneticPr fontId="8"/>
  </si>
  <si>
    <r>
      <rPr>
        <sz val="6"/>
        <rFont val="HG創英角ｺﾞｼｯｸUB"/>
        <family val="3"/>
        <charset val="128"/>
      </rPr>
      <t>（集合住宅３F以上）</t>
    </r>
    <r>
      <rPr>
        <sz val="9"/>
        <rFont val="HG創英角ｺﾞｼｯｸUB"/>
        <family val="3"/>
        <charset val="128"/>
      </rPr>
      <t xml:space="preserve">
総合評点方式
</t>
    </r>
    <r>
      <rPr>
        <sz val="8"/>
        <rFont val="HG創英角ｺﾞｼｯｸUB"/>
        <family val="3"/>
        <charset val="128"/>
      </rPr>
      <t>電灯・ガス・給水・排水</t>
    </r>
    <rPh sb="7" eb="9">
      <t>イジョウ</t>
    </rPh>
    <rPh sb="11" eb="13">
      <t>ソウゴウ</t>
    </rPh>
    <rPh sb="13" eb="15">
      <t>ヒョウテン</t>
    </rPh>
    <rPh sb="15" eb="17">
      <t>ホウシキ</t>
    </rPh>
    <phoneticPr fontId="8"/>
  </si>
  <si>
    <t>不明確計算数値入力セルの入力規則を日本語ｵﾌに設定、赤字→黒字、基準年修正追加
暫定版完成</t>
    <rPh sb="0" eb="3">
      <t>フメイカク</t>
    </rPh>
    <rPh sb="3" eb="5">
      <t>ケイサン</t>
    </rPh>
    <rPh sb="5" eb="7">
      <t>スウチ</t>
    </rPh>
    <rPh sb="7" eb="9">
      <t>ニュウリョク</t>
    </rPh>
    <rPh sb="12" eb="14">
      <t>ニュウリョク</t>
    </rPh>
    <rPh sb="14" eb="16">
      <t>キソク</t>
    </rPh>
    <rPh sb="17" eb="20">
      <t>ニホンゴ</t>
    </rPh>
    <rPh sb="23" eb="25">
      <t>セッテイ</t>
    </rPh>
    <rPh sb="26" eb="28">
      <t>アカジ</t>
    </rPh>
    <rPh sb="29" eb="31">
      <t>クロジ</t>
    </rPh>
    <rPh sb="32" eb="34">
      <t>キジュン</t>
    </rPh>
    <rPh sb="34" eb="35">
      <t>ネン</t>
    </rPh>
    <rPh sb="35" eb="37">
      <t>シュウセイ</t>
    </rPh>
    <rPh sb="37" eb="39">
      <t>ツイカ</t>
    </rPh>
    <rPh sb="40" eb="43">
      <t>ザンテイバン</t>
    </rPh>
    <rPh sb="43" eb="45">
      <t>カンセイ</t>
    </rPh>
    <phoneticPr fontId="8"/>
  </si>
  <si>
    <t>計算単位は延床面積ですが、機器が階で違う場合、行を増やしてそれぞれの階面積で計算してください。</t>
    <rPh sb="0" eb="2">
      <t>ケイサン</t>
    </rPh>
    <rPh sb="2" eb="4">
      <t>タンイ</t>
    </rPh>
    <rPh sb="5" eb="7">
      <t>ノベユカ</t>
    </rPh>
    <rPh sb="7" eb="9">
      <t>メンセキ</t>
    </rPh>
    <rPh sb="13" eb="15">
      <t>キキ</t>
    </rPh>
    <rPh sb="16" eb="17">
      <t>カイ</t>
    </rPh>
    <rPh sb="18" eb="19">
      <t>チガ</t>
    </rPh>
    <rPh sb="20" eb="22">
      <t>バアイ</t>
    </rPh>
    <rPh sb="23" eb="24">
      <t>ギョウ</t>
    </rPh>
    <rPh sb="25" eb="26">
      <t>フ</t>
    </rPh>
    <rPh sb="34" eb="35">
      <t>カイ</t>
    </rPh>
    <rPh sb="35" eb="37">
      <t>メンセキ</t>
    </rPh>
    <rPh sb="38" eb="40">
      <t>ケイサン</t>
    </rPh>
    <phoneticPr fontId="19"/>
  </si>
  <si>
    <t>（住宅用で評価）</t>
    <rPh sb="1" eb="4">
      <t>ジュウタクヨウ</t>
    </rPh>
    <rPh sb="5" eb="7">
      <t>ヒョウカ</t>
    </rPh>
    <phoneticPr fontId="8"/>
  </si>
  <si>
    <t>R3.9　総合評点方式は一戸建と共同住宅で使用。</t>
    <rPh sb="5" eb="7">
      <t>ソウゴウ</t>
    </rPh>
    <rPh sb="7" eb="11">
      <t>ヒョウテンホウシキ</t>
    </rPh>
    <rPh sb="12" eb="15">
      <t>イッコダ</t>
    </rPh>
    <rPh sb="16" eb="20">
      <t>キョウドウジュウタク</t>
    </rPh>
    <rPh sb="21" eb="23">
      <t>シヨウ</t>
    </rPh>
    <phoneticPr fontId="8"/>
  </si>
  <si>
    <t>(R3.9統一事項)共同住宅のUBは0.9の減点補正とする。</t>
    <rPh sb="5" eb="9">
      <t>トウイツジコウ</t>
    </rPh>
    <rPh sb="10" eb="14">
      <t>キョウドウジュウタク</t>
    </rPh>
    <rPh sb="22" eb="26">
      <t>ゲンテンホセイ</t>
    </rPh>
    <phoneticPr fontId="8"/>
  </si>
  <si>
    <t>※ワンルームマンションや、事務所の給湯室等で使われるような、シンクと吊戸棚及び周囲のパネルでユニットになっている程度のものです。レンジフードファン等の換気設備は含みませんので別途評点付設します。
(R3.9統一事項)165cm以下のシステムキッチンは、ミニシステムキッチンとレンジフードファンで評点付設する。</t>
    <phoneticPr fontId="8"/>
  </si>
  <si>
    <t>(R3.9統一事項)165cm以下のシステムキッチンは、ミニシステムキッチンとレンジフードファンで評点付設する。</t>
    <phoneticPr fontId="19"/>
  </si>
  <si>
    <t>(R3.9統一事項)共同住宅のUBは0.9の減点補正とする。</t>
    <phoneticPr fontId="19"/>
  </si>
  <si>
    <t>　→R3実務提要で確認済(H30と変更なし)</t>
    <rPh sb="4" eb="8">
      <t>ジツムテイヨウ</t>
    </rPh>
    <rPh sb="9" eb="12">
      <t>カクニンズ</t>
    </rPh>
    <rPh sb="17" eb="19">
      <t>ヘンコウ</t>
    </rPh>
    <phoneticPr fontId="22"/>
  </si>
  <si>
    <t>※ドラッグストア、ホームセンターの適用基準は「工・倉・市」を適用する。</t>
    <rPh sb="17" eb="21">
      <t>テキヨウキジュン</t>
    </rPh>
    <rPh sb="23" eb="24">
      <t>コウ</t>
    </rPh>
    <rPh sb="25" eb="26">
      <t>クラ</t>
    </rPh>
    <rPh sb="27" eb="28">
      <t>シ</t>
    </rPh>
    <rPh sb="30" eb="32">
      <t>テキヨウ</t>
    </rPh>
    <phoneticPr fontId="22"/>
  </si>
  <si>
    <t>※ﾃﾚﾋﾞｼﾞｮﾝ共同聴視設備の評点付設は共同住宅や雑居ビルのような事務所を対象とする。
器具数補正は、「○㎡につき１箇所」程度として数量が示されており、それを面積当たりの個数に換算している。
㎡当にすると、小さくなりすぎて端数処理するとすごくおおざっぱになるので、
１００㎡当の個数としている
CVTVの減点補正はH21実務提要より</t>
    <rPh sb="46" eb="48">
      <t>キグ</t>
    </rPh>
    <rPh sb="48" eb="49">
      <t>スウ</t>
    </rPh>
    <rPh sb="49" eb="51">
      <t>ホセイ</t>
    </rPh>
    <rPh sb="60" eb="62">
      <t>カショ</t>
    </rPh>
    <rPh sb="63" eb="65">
      <t>テイド</t>
    </rPh>
    <rPh sb="68" eb="70">
      <t>スウリョウ</t>
    </rPh>
    <rPh sb="71" eb="72">
      <t>シメ</t>
    </rPh>
    <rPh sb="81" eb="83">
      <t>メンセキ</t>
    </rPh>
    <rPh sb="83" eb="84">
      <t>ア</t>
    </rPh>
    <rPh sb="87" eb="89">
      <t>コスウ</t>
    </rPh>
    <rPh sb="90" eb="92">
      <t>カンサン</t>
    </rPh>
    <rPh sb="99" eb="100">
      <t>ア</t>
    </rPh>
    <rPh sb="105" eb="106">
      <t>チイ</t>
    </rPh>
    <rPh sb="113" eb="115">
      <t>ハスウ</t>
    </rPh>
    <rPh sb="115" eb="117">
      <t>ショリ</t>
    </rPh>
    <rPh sb="139" eb="140">
      <t>ア</t>
    </rPh>
    <rPh sb="141" eb="143">
      <t>コスウ</t>
    </rPh>
    <rPh sb="155" eb="157">
      <t>ゲンテン</t>
    </rPh>
    <rPh sb="157" eb="159">
      <t>ホセイ</t>
    </rPh>
    <rPh sb="163" eb="167">
      <t>ジツムテイヨウ</t>
    </rPh>
    <phoneticPr fontId="8"/>
  </si>
  <si>
    <t>水銀灯は2021年以降国内製造が禁止されている。水銀灯を評点付設する場合は要確認。</t>
    <rPh sb="0" eb="3">
      <t>スイギントウ</t>
    </rPh>
    <rPh sb="8" eb="11">
      <t>ネンイコウ</t>
    </rPh>
    <rPh sb="11" eb="15">
      <t>コクナイセイゾウ</t>
    </rPh>
    <rPh sb="16" eb="18">
      <t>キンシ</t>
    </rPh>
    <rPh sb="24" eb="27">
      <t>スイギントウ</t>
    </rPh>
    <rPh sb="28" eb="32">
      <t>ヒョウテンフセツ</t>
    </rPh>
    <rPh sb="34" eb="36">
      <t>バアイ</t>
    </rPh>
    <rPh sb="37" eb="38">
      <t>ヨウ</t>
    </rPh>
    <rPh sb="38" eb="40">
      <t>カクニン</t>
    </rPh>
    <phoneticPr fontId="19"/>
  </si>
  <si>
    <t>母屋、胴縁に耐火被覆が施工されていることがあきらかな場合は評点付設しない。</t>
    <rPh sb="0" eb="2">
      <t>モヤ</t>
    </rPh>
    <rPh sb="3" eb="5">
      <t>ドウブチ</t>
    </rPh>
    <rPh sb="6" eb="10">
      <t>タイカヒフク</t>
    </rPh>
    <rPh sb="11" eb="13">
      <t>セコウ</t>
    </rPh>
    <rPh sb="26" eb="28">
      <t>バアイ</t>
    </rPh>
    <rPh sb="29" eb="31">
      <t>ヒョウテン</t>
    </rPh>
    <rPh sb="31" eb="33">
      <t>フセツ</t>
    </rPh>
    <phoneticPr fontId="22"/>
  </si>
  <si>
    <t>C種。テント膜倉庫で同一素材で施工されていれば外壁仕上に統一して面積計算する。</t>
    <rPh sb="1" eb="2">
      <t>シュ</t>
    </rPh>
    <rPh sb="6" eb="7">
      <t>マク</t>
    </rPh>
    <rPh sb="7" eb="9">
      <t>ソウコ</t>
    </rPh>
    <rPh sb="10" eb="14">
      <t>ドウイツソザイ</t>
    </rPh>
    <rPh sb="15" eb="17">
      <t>セコウ</t>
    </rPh>
    <rPh sb="23" eb="27">
      <t>ガイヘキシアゲ</t>
    </rPh>
    <rPh sb="28" eb="30">
      <t>トウイツ</t>
    </rPh>
    <rPh sb="32" eb="36">
      <t>メンセキケイサン</t>
    </rPh>
    <phoneticPr fontId="22"/>
  </si>
  <si>
    <t>テント膜倉庫で同一素材で施工されていれば外壁仕上に統一して面積計算する。</t>
    <phoneticPr fontId="22"/>
  </si>
  <si>
    <t>ピット内などにある雨水排水ポンプ・湧水ポンプも評点対象</t>
    <rPh sb="3" eb="4">
      <t>ナイ</t>
    </rPh>
    <rPh sb="9" eb="13">
      <t>ウスイハイスイ</t>
    </rPh>
    <rPh sb="17" eb="19">
      <t>ユウスイ</t>
    </rPh>
    <rPh sb="23" eb="27">
      <t>ヒョウテンタイショウ</t>
    </rPh>
    <phoneticPr fontId="8"/>
  </si>
  <si>
    <t>排水ポンプ機が交互運転の場合、稼働するポンプの台数と出力を評点付設する。</t>
    <rPh sb="0" eb="2">
      <t>ハイスイ</t>
    </rPh>
    <rPh sb="5" eb="6">
      <t>キ</t>
    </rPh>
    <rPh sb="7" eb="11">
      <t>コウゴウンテン</t>
    </rPh>
    <rPh sb="12" eb="14">
      <t>バアイ</t>
    </rPh>
    <rPh sb="15" eb="17">
      <t>カドウ</t>
    </rPh>
    <rPh sb="23" eb="25">
      <t>ダイスウ</t>
    </rPh>
    <rPh sb="26" eb="28">
      <t>シュツリョク</t>
    </rPh>
    <rPh sb="29" eb="33">
      <t>ヒョウテンフセツ</t>
    </rPh>
    <phoneticPr fontId="8"/>
  </si>
  <si>
    <t>例：排水ポンプ機が2台あって、1台ずつ稼働する場合は1台分の出力と台数を評点付設する。</t>
    <rPh sb="0" eb="1">
      <t>レイ</t>
    </rPh>
    <rPh sb="2" eb="4">
      <t>ハイスイ</t>
    </rPh>
    <rPh sb="7" eb="8">
      <t>キ</t>
    </rPh>
    <rPh sb="10" eb="11">
      <t>ダイ</t>
    </rPh>
    <rPh sb="16" eb="17">
      <t>ダイ</t>
    </rPh>
    <rPh sb="19" eb="21">
      <t>カドウ</t>
    </rPh>
    <rPh sb="23" eb="25">
      <t>バアイ</t>
    </rPh>
    <rPh sb="27" eb="29">
      <t>ダイブン</t>
    </rPh>
    <rPh sb="30" eb="32">
      <t>シュツリョク</t>
    </rPh>
    <rPh sb="33" eb="35">
      <t>ダイスウ</t>
    </rPh>
    <rPh sb="36" eb="40">
      <t>ヒョウテンフセツ</t>
    </rPh>
    <phoneticPr fontId="8"/>
  </si>
  <si>
    <t>見積価格との比較や過去の類似家屋との取扱いから「普通」がなじまない場合は「簡易」の補正をしてもよい。</t>
    <rPh sb="0" eb="2">
      <t>ミツモリ</t>
    </rPh>
    <rPh sb="2" eb="4">
      <t>カカク</t>
    </rPh>
    <rPh sb="6" eb="8">
      <t>ヒカク</t>
    </rPh>
    <rPh sb="9" eb="11">
      <t>カコ</t>
    </rPh>
    <rPh sb="12" eb="16">
      <t>ルイジカオク</t>
    </rPh>
    <rPh sb="18" eb="20">
      <t>トリアツカ</t>
    </rPh>
    <rPh sb="24" eb="26">
      <t>フツウ</t>
    </rPh>
    <rPh sb="33" eb="35">
      <t>バアイ</t>
    </rPh>
    <rPh sb="37" eb="39">
      <t>カンイ</t>
    </rPh>
    <rPh sb="41" eb="43">
      <t>ホセイ</t>
    </rPh>
    <phoneticPr fontId="22"/>
  </si>
  <si>
    <t>過去の類似家屋との取扱いから「普通」がなじまない場合は「簡易」の補正をしてもよい。</t>
    <rPh sb="0" eb="2">
      <t>カコ</t>
    </rPh>
    <rPh sb="3" eb="7">
      <t>ルイジカオク</t>
    </rPh>
    <rPh sb="9" eb="11">
      <t>トリアツカ</t>
    </rPh>
    <rPh sb="15" eb="17">
      <t>フツウ</t>
    </rPh>
    <rPh sb="24" eb="26">
      <t>バアイ</t>
    </rPh>
    <rPh sb="28" eb="30">
      <t>カンイ</t>
    </rPh>
    <rPh sb="32" eb="34">
      <t>ホセイ</t>
    </rPh>
    <phoneticPr fontId="22"/>
  </si>
  <si>
    <t>①②の場合は適宜修正する。</t>
    <rPh sb="3" eb="5">
      <t>バアイ</t>
    </rPh>
    <rPh sb="6" eb="10">
      <t>テキギシュウセイ</t>
    </rPh>
    <phoneticPr fontId="8"/>
  </si>
  <si>
    <t>①壁掛け空調の部屋がある場合は、空調能力の対象外であり対象床面積であり対象床面積から除外する。</t>
    <rPh sb="1" eb="3">
      <t>カベカ</t>
    </rPh>
    <rPh sb="4" eb="6">
      <t>クウチョウ</t>
    </rPh>
    <rPh sb="7" eb="9">
      <t>ヘヤ</t>
    </rPh>
    <rPh sb="12" eb="14">
      <t>バアイ</t>
    </rPh>
    <rPh sb="16" eb="20">
      <t>クウチョウノウリョク</t>
    </rPh>
    <rPh sb="21" eb="24">
      <t>タイショウガイ</t>
    </rPh>
    <rPh sb="27" eb="32">
      <t>タイショウユカメンセキ</t>
    </rPh>
    <rPh sb="35" eb="40">
      <t>タイショウユカメンセキ</t>
    </rPh>
    <rPh sb="42" eb="44">
      <t>ジョガイ</t>
    </rPh>
    <phoneticPr fontId="8"/>
  </si>
  <si>
    <t>②トイレ等の部分的に空調吹き出し口が設置されない部分がある場合は対象以下面積から除外する。</t>
    <rPh sb="4" eb="5">
      <t>トウ</t>
    </rPh>
    <rPh sb="6" eb="9">
      <t>ブブンテキ</t>
    </rPh>
    <rPh sb="10" eb="13">
      <t>クウチョウフ</t>
    </rPh>
    <rPh sb="14" eb="15">
      <t>ダ</t>
    </rPh>
    <rPh sb="16" eb="17">
      <t>グチ</t>
    </rPh>
    <rPh sb="18" eb="20">
      <t>セッチ</t>
    </rPh>
    <rPh sb="24" eb="26">
      <t>ブブン</t>
    </rPh>
    <rPh sb="29" eb="31">
      <t>バアイ</t>
    </rPh>
    <rPh sb="32" eb="38">
      <t>タイショウイカメンセキ</t>
    </rPh>
    <rPh sb="40" eb="42">
      <t>ジョガイ</t>
    </rPh>
    <phoneticPr fontId="8"/>
  </si>
  <si>
    <t>①壁掛け空調の部屋がある場合は、空調能力の対象外であり対象床面積から除外する。</t>
    <rPh sb="1" eb="3">
      <t>カベカ</t>
    </rPh>
    <rPh sb="4" eb="6">
      <t>クウチョウ</t>
    </rPh>
    <rPh sb="7" eb="9">
      <t>ヘヤ</t>
    </rPh>
    <rPh sb="12" eb="14">
      <t>バアイ</t>
    </rPh>
    <rPh sb="16" eb="20">
      <t>クウチョウノウリョク</t>
    </rPh>
    <rPh sb="21" eb="24">
      <t>タイショウガイ</t>
    </rPh>
    <rPh sb="27" eb="32">
      <t>タイショウユカメンセキ</t>
    </rPh>
    <rPh sb="34" eb="36">
      <t>ジョガイ</t>
    </rPh>
    <phoneticPr fontId="8"/>
  </si>
  <si>
    <t>②トイレ等の部分的に空調吹き出し口が設置されない部分がある場合は対象床面積から除外する。</t>
    <rPh sb="4" eb="5">
      <t>トウ</t>
    </rPh>
    <rPh sb="6" eb="9">
      <t>ブブンテキ</t>
    </rPh>
    <rPh sb="10" eb="13">
      <t>クウチョウフ</t>
    </rPh>
    <rPh sb="14" eb="15">
      <t>ダ</t>
    </rPh>
    <rPh sb="16" eb="17">
      <t>グチ</t>
    </rPh>
    <rPh sb="18" eb="20">
      <t>セッチ</t>
    </rPh>
    <rPh sb="24" eb="26">
      <t>ブブン</t>
    </rPh>
    <rPh sb="29" eb="31">
      <t>バアイ</t>
    </rPh>
    <rPh sb="32" eb="34">
      <t>タイショウ</t>
    </rPh>
    <rPh sb="34" eb="37">
      <t>ユカメンセキ</t>
    </rPh>
    <rPh sb="39" eb="41">
      <t>ジョガイ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</si>
</sst>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176" formatCode="[$-411]ggge&quot;年&quot;m&quot;月&quot;d&quot;日&quot;;@"/>
    <numFmt numFmtId="177" formatCode="#,##0.000;[Red]\-#,##0.000"/>
    <numFmt numFmtId="178" formatCode="0.00_ "/>
    <numFmt numFmtId="179" formatCode="#,##0.00_ "/>
    <numFmt numFmtId="180" formatCode="#,##0_ "/>
    <numFmt numFmtId="181" formatCode="0_ "/>
    <numFmt numFmtId="182" formatCode="0_);[Red]\(0\)"/>
    <numFmt numFmtId="183" formatCode="#,##0.00&quot;Kw&quot;"/>
    <numFmt numFmtId="184" formatCode="#,##0_ ;[Red]\-#,##0\ "/>
    <numFmt numFmtId="185" formatCode="#,##0.00_ ;[Red]\-#,##0.00\ "/>
    <numFmt numFmtId="186" formatCode="#&quot;cm&quot;"/>
    <numFmt numFmtId="187" formatCode="0.00&quot;kw&quot;"/>
    <numFmt numFmtId="188" formatCode="0.00&quot;㎡&quot;"/>
    <numFmt numFmtId="189" formatCode="0.00&quot;m&quot;"/>
    <numFmt numFmtId="190" formatCode="0.000&quot;箇所&quot;"/>
    <numFmt numFmtId="191" formatCode="0&quot;cm&quot;"/>
    <numFmt numFmtId="192" formatCode="0.00&quot;箇所&quot;"/>
    <numFmt numFmtId="193" formatCode="#,##0&quot;kg&quot;"/>
    <numFmt numFmtId="194" formatCode="0&quot;m/min&quot;"/>
    <numFmt numFmtId="195" formatCode="0&quot;箇所&quot;"/>
    <numFmt numFmtId="196" formatCode="0&quot;個&quot;"/>
    <numFmt numFmtId="197" formatCode="0&quot;組&quot;"/>
    <numFmt numFmtId="198" formatCode="##&quot;㎡&quot;"/>
    <numFmt numFmtId="199" formatCode="0.00&quot;m3&quot;"/>
    <numFmt numFmtId="200" formatCode="0.000&quot;ｔ&quot;"/>
    <numFmt numFmtId="201" formatCode="0&quot;mm&quot;"/>
    <numFmt numFmtId="202" formatCode="0&quot;㎡&quot;"/>
    <numFmt numFmtId="203" formatCode="0&quot;m3&quot;"/>
    <numFmt numFmtId="204" formatCode="#,##0.000_ ;[Red]\-#,##0.000\ "/>
    <numFmt numFmtId="205" formatCode="#&quot;L&quot;"/>
    <numFmt numFmtId="206" formatCode="##&quot;㎡程度&quot;"/>
    <numFmt numFmtId="207" formatCode="General\L"/>
    <numFmt numFmtId="208" formatCode="0.00_);[Red]\(0.00\)"/>
    <numFmt numFmtId="209" formatCode="0&quot;席&quot;"/>
    <numFmt numFmtId="210" formatCode="#,##0&quot;台&quot;"/>
    <numFmt numFmtId="211" formatCode="#,##0&quot;組以下&quot;"/>
    <numFmt numFmtId="212" formatCode="#,##0&quot;組以上&quot;"/>
    <numFmt numFmtId="213" formatCode="#,##0&quot;組&quot;"/>
    <numFmt numFmtId="214" formatCode="0.000&quot;m3&quot;"/>
    <numFmt numFmtId="215" formatCode="0&quot;㎠&quot;"/>
    <numFmt numFmtId="216" formatCode="#,##0&quot;号&quot;"/>
    <numFmt numFmtId="217" formatCode="#,##0.00&quot;号&quot;"/>
    <numFmt numFmtId="218" formatCode="#,##0.00&quot;号相当&quot;"/>
    <numFmt numFmtId="219" formatCode="0.00&quot;kW&quot;"/>
    <numFmt numFmtId="220" formatCode="#\F\ "/>
    <numFmt numFmtId="221" formatCode="&quot;B&quot;#&quot;F&quot;;;&quot;なし&quot;;@"/>
    <numFmt numFmtId="222" formatCode="#,##0_);[Red]\(#,##0\)"/>
    <numFmt numFmtId="223" formatCode="#,##0.00;[Red]\-#,##0.00;;@"/>
    <numFmt numFmtId="224" formatCode="0.000_ "/>
    <numFmt numFmtId="225" formatCode="0.000&quot;個&quot;"/>
    <numFmt numFmtId="230" formatCode="[$-411]ge\.m\.d;@"/>
    <numFmt numFmtId="231" formatCode="0.0&quot;m&quot;"/>
    <numFmt numFmtId="232" formatCode="0&quot;階&quot;"/>
    <numFmt numFmtId="233" formatCode="#,###&quot;㎡&quot;"/>
    <numFmt numFmtId="234" formatCode="#&quot;号&quot;"/>
    <numFmt numFmtId="235" formatCode="#,##0.0000;[Red]\-#,##0.0000"/>
  </numFmts>
  <fonts count="66">
    <font>
      <sz val="9"/>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u/>
      <sz val="9"/>
      <color indexed="12"/>
      <name val="ＭＳ Ｐゴシック"/>
      <family val="3"/>
      <charset val="128"/>
    </font>
    <font>
      <sz val="11"/>
      <name val="ＭＳ Ｐゴシック"/>
      <family val="3"/>
      <charset val="128"/>
    </font>
    <font>
      <sz val="11"/>
      <name val="ＭＳ ゴシック"/>
      <family val="3"/>
      <charset val="128"/>
    </font>
    <font>
      <sz val="10.45"/>
      <name val="ＭＳ 明朝"/>
      <family val="1"/>
      <charset val="128"/>
    </font>
    <font>
      <sz val="6"/>
      <name val="ＭＳ Ｐゴシック"/>
      <family val="3"/>
      <charset val="128"/>
    </font>
    <font>
      <sz val="9"/>
      <name val="HG創英角ｺﾞｼｯｸUB"/>
      <family val="3"/>
      <charset val="128"/>
    </font>
    <font>
      <sz val="10"/>
      <name val="HG創英角ｺﾞｼｯｸUB"/>
      <family val="3"/>
      <charset val="128"/>
    </font>
    <font>
      <sz val="10"/>
      <name val="ＭＳ Ｐ明朝"/>
      <family val="1"/>
      <charset val="128"/>
    </font>
    <font>
      <sz val="10"/>
      <name val="ＭＳ Ｐゴシック"/>
      <family val="3"/>
      <charset val="128"/>
    </font>
    <font>
      <sz val="9"/>
      <name val="ＭＳ ゴシック"/>
      <family val="3"/>
      <charset val="128"/>
    </font>
    <font>
      <sz val="9"/>
      <name val="ＭＳ Ｐ明朝"/>
      <family val="1"/>
      <charset val="128"/>
    </font>
    <font>
      <sz val="10"/>
      <color indexed="10"/>
      <name val="HG創英角ｺﾞｼｯｸUB"/>
      <family val="3"/>
      <charset val="128"/>
    </font>
    <font>
      <sz val="11"/>
      <color indexed="9"/>
      <name val="HG創英角ｺﾞｼｯｸUB"/>
      <family val="3"/>
      <charset val="128"/>
    </font>
    <font>
      <sz val="9"/>
      <color indexed="9"/>
      <name val="ＭＳ Ｐゴシック"/>
      <family val="3"/>
      <charset val="128"/>
    </font>
    <font>
      <u/>
      <sz val="8.1"/>
      <color indexed="12"/>
      <name val="ＭＳ Ｐゴシック"/>
      <family val="3"/>
      <charset val="128"/>
    </font>
    <font>
      <sz val="6"/>
      <name val="ＭＳ ゴシック"/>
      <family val="3"/>
      <charset val="128"/>
    </font>
    <font>
      <vertAlign val="superscript"/>
      <sz val="9"/>
      <name val="ＭＳ Ｐゴシック"/>
      <family val="3"/>
      <charset val="128"/>
    </font>
    <font>
      <sz val="10"/>
      <color indexed="10"/>
      <name val="ＭＳ Ｐゴシック"/>
      <family val="3"/>
      <charset val="128"/>
    </font>
    <font>
      <sz val="9"/>
      <color indexed="81"/>
      <name val="ＭＳ Ｐゴシック"/>
      <family val="3"/>
      <charset val="128"/>
    </font>
    <font>
      <sz val="9"/>
      <color indexed="10"/>
      <name val="ＭＳ Ｐゴシック"/>
      <family val="3"/>
      <charset val="128"/>
    </font>
    <font>
      <sz val="9"/>
      <color indexed="12"/>
      <name val="HG創英角ｺﾞｼｯｸUB"/>
      <family val="3"/>
      <charset val="128"/>
    </font>
    <font>
      <sz val="11"/>
      <name val="HG創英角ｺﾞｼｯｸUB"/>
      <family val="3"/>
      <charset val="128"/>
    </font>
    <font>
      <sz val="9"/>
      <name val="ＭＳ 明朝"/>
      <family val="1"/>
      <charset val="128"/>
    </font>
    <font>
      <sz val="9.9"/>
      <name val="HG創英角ｺﾞｼｯｸUB"/>
      <family val="3"/>
      <charset val="128"/>
    </font>
    <font>
      <sz val="11"/>
      <name val="ＭＳ 明朝"/>
      <family val="1"/>
      <charset val="128"/>
    </font>
    <font>
      <sz val="9"/>
      <color indexed="12"/>
      <name val="ＭＳ 明朝"/>
      <family val="1"/>
      <charset val="128"/>
    </font>
    <font>
      <sz val="9"/>
      <color indexed="10"/>
      <name val="ＭＳ 明朝"/>
      <family val="1"/>
      <charset val="128"/>
    </font>
    <font>
      <u/>
      <sz val="11"/>
      <name val="HG創英角ｺﾞｼｯｸUB"/>
      <family val="3"/>
      <charset val="128"/>
    </font>
    <font>
      <sz val="14"/>
      <name val="HG創英角ｺﾞｼｯｸUB"/>
      <family val="3"/>
      <charset val="128"/>
    </font>
    <font>
      <sz val="8"/>
      <name val="HG創英角ｺﾞｼｯｸUB"/>
      <family val="3"/>
      <charset val="128"/>
    </font>
    <font>
      <sz val="8"/>
      <name val="ＭＳ Ｐゴシック"/>
      <family val="3"/>
      <charset val="128"/>
    </font>
    <font>
      <sz val="12"/>
      <color indexed="9"/>
      <name val="HG創英角ｺﾞｼｯｸUB"/>
      <family val="3"/>
      <charset val="128"/>
    </font>
    <font>
      <sz val="9"/>
      <color indexed="12"/>
      <name val="ＭＳ Ｐゴシック"/>
      <family val="3"/>
      <charset val="128"/>
    </font>
    <font>
      <b/>
      <sz val="9"/>
      <color indexed="10"/>
      <name val="ＭＳ Ｐゴシック"/>
      <family val="3"/>
      <charset val="128"/>
    </font>
    <font>
      <u/>
      <sz val="9"/>
      <color indexed="81"/>
      <name val="ＭＳ Ｐゴシック"/>
      <family val="3"/>
      <charset val="128"/>
    </font>
    <font>
      <sz val="8"/>
      <color indexed="81"/>
      <name val="ＭＳ Ｐゴシック"/>
      <family val="3"/>
      <charset val="128"/>
    </font>
    <font>
      <b/>
      <sz val="9"/>
      <name val="ＭＳ Ｐ明朝"/>
      <family val="1"/>
      <charset val="128"/>
    </font>
    <font>
      <vertAlign val="superscript"/>
      <sz val="9"/>
      <name val="ＭＳ Ｐ明朝"/>
      <family val="1"/>
      <charset val="128"/>
    </font>
    <font>
      <sz val="6"/>
      <name val="ＭＳ Ｐゴシック"/>
      <family val="3"/>
      <charset val="128"/>
      <scheme val="minor"/>
    </font>
    <font>
      <sz val="9"/>
      <color theme="1"/>
      <name val="ＭＳ Ｐ明朝"/>
      <family val="1"/>
      <charset val="128"/>
    </font>
    <font>
      <sz val="8"/>
      <name val="ＭＳ ゴシック"/>
      <family val="3"/>
      <charset val="128"/>
    </font>
    <font>
      <sz val="11"/>
      <color theme="1"/>
      <name val="ＭＳ Ｐゴシック"/>
      <family val="3"/>
      <charset val="128"/>
      <scheme val="minor"/>
    </font>
    <font>
      <u/>
      <sz val="9"/>
      <color indexed="12"/>
      <name val="HGS創英角ｺﾞｼｯｸUB"/>
      <family val="3"/>
      <charset val="128"/>
    </font>
    <font>
      <sz val="9"/>
      <color rgb="FFFF0000"/>
      <name val="ＭＳ Ｐ明朝"/>
      <family val="1"/>
      <charset val="128"/>
    </font>
    <font>
      <sz val="9"/>
      <color rgb="FFFF0000"/>
      <name val="ＭＳ 明朝"/>
      <family val="1"/>
      <charset val="128"/>
    </font>
    <font>
      <sz val="9"/>
      <color rgb="FFFF0000"/>
      <name val="ＭＳ Ｐゴシック"/>
      <family val="3"/>
      <charset val="128"/>
    </font>
    <font>
      <sz val="6"/>
      <name val="ＭＳ Ｐゴシック"/>
      <family val="2"/>
      <charset val="128"/>
      <scheme val="minor"/>
    </font>
    <font>
      <sz val="8"/>
      <color theme="1"/>
      <name val="ＭＳ Ｐゴシック"/>
      <family val="3"/>
      <charset val="128"/>
      <scheme val="minor"/>
    </font>
    <font>
      <sz val="9"/>
      <color rgb="FF0000FF"/>
      <name val="ＭＳ Ｐゴシック"/>
      <family val="3"/>
      <charset val="128"/>
    </font>
    <font>
      <sz val="8"/>
      <name val="ＭＳ Ｐ明朝"/>
      <family val="1"/>
      <charset val="128"/>
    </font>
    <font>
      <sz val="11"/>
      <color theme="1"/>
      <name val="ＭＳ Ｐゴシック"/>
      <family val="2"/>
      <scheme val="minor"/>
    </font>
    <font>
      <sz val="8"/>
      <color rgb="FFFF0000"/>
      <name val="ＭＳ Ｐゴシック"/>
      <family val="3"/>
      <charset val="128"/>
    </font>
    <font>
      <sz val="9"/>
      <color indexed="81"/>
      <name val="MS P ゴシック"/>
      <family val="3"/>
      <charset val="128"/>
    </font>
    <font>
      <sz val="9"/>
      <color rgb="FF0000FF"/>
      <name val="ＭＳ 明朝"/>
      <family val="1"/>
      <charset val="128"/>
    </font>
    <font>
      <b/>
      <sz val="9"/>
      <color indexed="81"/>
      <name val="MS P ゴシック"/>
      <family val="3"/>
      <charset val="128"/>
    </font>
    <font>
      <sz val="9"/>
      <color rgb="FF7030A0"/>
      <name val="ＭＳ Ｐゴシック"/>
      <family val="3"/>
      <charset val="128"/>
    </font>
    <font>
      <sz val="11"/>
      <color rgb="FFFF0000"/>
      <name val="ＭＳ Ｐゴシック"/>
      <family val="3"/>
      <charset val="128"/>
      <scheme val="minor"/>
    </font>
    <font>
      <sz val="6"/>
      <name val="ＭＳ 明朝"/>
      <family val="1"/>
      <charset val="128"/>
    </font>
    <font>
      <sz val="6"/>
      <name val="HG創英角ｺﾞｼｯｸUB"/>
      <family val="3"/>
      <charset val="128"/>
    </font>
    <font>
      <sz val="11"/>
      <name val="ＭＳ Ｐゴシック"/>
      <family val="3"/>
      <charset val="128"/>
      <scheme val="minor"/>
    </font>
    <font>
      <strike/>
      <sz val="9"/>
      <color indexed="81"/>
      <name val="MS P ゴシック"/>
      <family val="3"/>
      <charset val="128"/>
    </font>
    <font>
      <strike/>
      <sz val="9"/>
      <name val="ＭＳ 明朝"/>
      <family val="1"/>
      <charset val="128"/>
    </font>
  </fonts>
  <fills count="16">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rgb="FFFFFF99"/>
        <bgColor indexed="64"/>
      </patternFill>
    </fill>
    <fill>
      <patternFill patternType="solid">
        <fgColor rgb="FFFFC000"/>
        <bgColor indexed="64"/>
      </patternFill>
    </fill>
    <fill>
      <patternFill patternType="solid">
        <fgColor rgb="FFFFCC99"/>
        <bgColor indexed="64"/>
      </patternFill>
    </fill>
    <fill>
      <patternFill patternType="solid">
        <fgColor rgb="FFCCFFFF"/>
        <bgColor indexed="64"/>
      </patternFill>
    </fill>
    <fill>
      <patternFill patternType="solid">
        <fgColor rgb="FFFFFFA3"/>
        <bgColor indexed="64"/>
      </patternFill>
    </fill>
    <fill>
      <patternFill patternType="solid">
        <fgColor rgb="FFFFCCFF"/>
        <bgColor indexed="64"/>
      </patternFill>
    </fill>
    <fill>
      <patternFill patternType="solid">
        <fgColor rgb="FFFFFFCC"/>
        <bgColor indexed="64"/>
      </patternFill>
    </fill>
  </fills>
  <borders count="2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style="hair">
        <color indexed="64"/>
      </left>
      <right/>
      <top/>
      <bottom style="hair">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diagonalUp="1">
      <left style="thin">
        <color indexed="64"/>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hair">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style="thin">
        <color indexed="64"/>
      </top>
      <bottom style="hair">
        <color indexed="64"/>
      </bottom>
      <diagonal style="thin">
        <color indexed="64"/>
      </diagonal>
    </border>
    <border diagonalDown="1">
      <left style="hair">
        <color indexed="64"/>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bottom/>
      <diagonal/>
    </border>
    <border>
      <left/>
      <right style="thin">
        <color rgb="FFFF0000"/>
      </right>
      <top/>
      <bottom/>
      <diagonal/>
    </border>
    <border>
      <left/>
      <right style="thin">
        <color rgb="FFFF0000"/>
      </right>
      <top style="thin">
        <color indexed="10"/>
      </top>
      <bottom/>
      <diagonal/>
    </border>
    <border>
      <left/>
      <right style="thin">
        <color rgb="FFFF0000"/>
      </right>
      <top/>
      <bottom style="thin">
        <color indexed="10"/>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diagonalDown="1">
      <left style="thin">
        <color auto="1"/>
      </left>
      <right style="thin">
        <color auto="1"/>
      </right>
      <top style="thin">
        <color auto="1"/>
      </top>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auto="1"/>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diagonalUp="1">
      <left style="thin">
        <color auto="1"/>
      </left>
      <right style="thin">
        <color indexed="64"/>
      </right>
      <top style="thin">
        <color auto="1"/>
      </top>
      <bottom style="thin">
        <color indexed="64"/>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s>
  <cellStyleXfs count="15">
    <xf numFmtId="180" fontId="0"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5" fillId="0" borderId="0"/>
    <xf numFmtId="0" fontId="5" fillId="0" borderId="0">
      <alignment vertical="center"/>
    </xf>
    <xf numFmtId="0" fontId="6" fillId="0" borderId="0">
      <alignment vertical="center"/>
    </xf>
    <xf numFmtId="0" fontId="7" fillId="0" borderId="0"/>
    <xf numFmtId="0" fontId="6" fillId="0" borderId="0">
      <alignment vertical="center"/>
    </xf>
    <xf numFmtId="0" fontId="45" fillId="0" borderId="0">
      <alignment vertical="center"/>
    </xf>
    <xf numFmtId="38" fontId="45"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2" fillId="0" borderId="0">
      <alignment vertical="center"/>
    </xf>
    <xf numFmtId="0" fontId="1" fillId="0" borderId="0">
      <alignment vertical="center"/>
    </xf>
    <xf numFmtId="0" fontId="54" fillId="0" borderId="0"/>
  </cellStyleXfs>
  <cellXfs count="3915">
    <xf numFmtId="180" fontId="0" fillId="0" borderId="0" xfId="0">
      <alignment vertical="center"/>
    </xf>
    <xf numFmtId="180" fontId="0" fillId="0" borderId="0" xfId="0" applyFill="1">
      <alignment vertical="center"/>
    </xf>
    <xf numFmtId="180" fontId="9" fillId="2" borderId="0" xfId="0" applyFont="1" applyFill="1" applyBorder="1" applyAlignment="1">
      <alignment vertical="center"/>
    </xf>
    <xf numFmtId="180" fontId="0" fillId="0" borderId="0" xfId="0" applyFill="1" applyAlignment="1">
      <alignment vertical="center" shrinkToFit="1"/>
    </xf>
    <xf numFmtId="180" fontId="0" fillId="0" borderId="0" xfId="0" applyFill="1" applyBorder="1">
      <alignment vertical="center"/>
    </xf>
    <xf numFmtId="180" fontId="0" fillId="2" borderId="0" xfId="0" applyFill="1">
      <alignment vertical="center"/>
    </xf>
    <xf numFmtId="180" fontId="0" fillId="0" borderId="0" xfId="0" applyBorder="1">
      <alignment vertical="center"/>
    </xf>
    <xf numFmtId="180" fontId="10" fillId="3" borderId="4" xfId="0" applyFont="1" applyFill="1" applyBorder="1" applyAlignment="1">
      <alignment horizontal="centerContinuous" vertical="center" shrinkToFit="1"/>
    </xf>
    <xf numFmtId="180" fontId="10" fillId="3" borderId="4" xfId="0" applyFont="1" applyFill="1" applyBorder="1" applyAlignment="1">
      <alignment horizontal="centerContinuous" vertical="center"/>
    </xf>
    <xf numFmtId="180" fontId="10" fillId="3" borderId="5" xfId="0" applyFont="1" applyFill="1" applyBorder="1" applyAlignment="1">
      <alignment horizontal="centerContinuous" vertical="center"/>
    </xf>
    <xf numFmtId="180" fontId="10" fillId="3" borderId="4" xfId="0" applyFont="1" applyFill="1" applyBorder="1" applyAlignment="1">
      <alignment horizontal="center" vertical="center" shrinkToFit="1"/>
    </xf>
    <xf numFmtId="180" fontId="10" fillId="3" borderId="6" xfId="0" applyFont="1" applyFill="1" applyBorder="1" applyAlignment="1">
      <alignment horizontal="centerContinuous" vertical="center"/>
    </xf>
    <xf numFmtId="180" fontId="13" fillId="3" borderId="9" xfId="0" applyFont="1" applyFill="1" applyBorder="1" applyAlignment="1">
      <alignment horizontal="centerContinuous" vertical="center"/>
    </xf>
    <xf numFmtId="180" fontId="0" fillId="3" borderId="10" xfId="0" applyFill="1" applyBorder="1" applyAlignment="1">
      <alignment horizontal="centerContinuous" vertical="center"/>
    </xf>
    <xf numFmtId="180" fontId="0" fillId="3" borderId="11" xfId="0" applyFill="1" applyBorder="1" applyAlignment="1">
      <alignment horizontal="centerContinuous" vertical="center"/>
    </xf>
    <xf numFmtId="180" fontId="0" fillId="3" borderId="12" xfId="0" applyFill="1" applyBorder="1" applyAlignment="1">
      <alignment horizontal="centerContinuous" vertical="center"/>
    </xf>
    <xf numFmtId="180" fontId="13" fillId="3" borderId="13" xfId="0" applyFont="1" applyFill="1" applyBorder="1" applyAlignment="1">
      <alignment horizontal="centerContinuous" vertical="center"/>
    </xf>
    <xf numFmtId="180" fontId="13" fillId="3" borderId="14" xfId="0" applyFont="1" applyFill="1" applyBorder="1" applyAlignment="1">
      <alignment horizontal="centerContinuous" vertical="center"/>
    </xf>
    <xf numFmtId="180" fontId="0" fillId="3" borderId="13" xfId="0" applyFill="1" applyBorder="1" applyAlignment="1">
      <alignment horizontal="centerContinuous" vertical="center"/>
    </xf>
    <xf numFmtId="180" fontId="0" fillId="3" borderId="15" xfId="0" applyFill="1" applyBorder="1" applyAlignment="1">
      <alignment horizontal="centerContinuous" vertical="center"/>
    </xf>
    <xf numFmtId="40" fontId="14" fillId="0" borderId="0" xfId="0" applyNumberFormat="1" applyFont="1" applyFill="1" applyBorder="1">
      <alignment vertical="center"/>
    </xf>
    <xf numFmtId="40" fontId="14" fillId="0" borderId="16" xfId="0" applyNumberFormat="1" applyFont="1" applyFill="1" applyBorder="1">
      <alignment vertical="center"/>
    </xf>
    <xf numFmtId="40" fontId="14" fillId="4" borderId="16" xfId="0" applyNumberFormat="1" applyFont="1" applyFill="1" applyBorder="1">
      <alignment vertical="center"/>
    </xf>
    <xf numFmtId="40" fontId="14" fillId="4" borderId="17" xfId="0" applyNumberFormat="1" applyFont="1" applyFill="1" applyBorder="1">
      <alignment vertical="center"/>
    </xf>
    <xf numFmtId="180" fontId="0" fillId="3" borderId="18" xfId="0" applyFill="1" applyBorder="1" applyAlignment="1">
      <alignment horizontal="centerContinuous" vertical="center"/>
    </xf>
    <xf numFmtId="180" fontId="0" fillId="0" borderId="0" xfId="0" applyAlignment="1">
      <alignment vertical="center" shrinkToFit="1"/>
    </xf>
    <xf numFmtId="180" fontId="16" fillId="2" borderId="0" xfId="0" applyFont="1" applyFill="1" applyBorder="1" applyAlignment="1">
      <alignment horizontal="centerContinuous" vertical="center"/>
    </xf>
    <xf numFmtId="180" fontId="17" fillId="2" borderId="0" xfId="0" applyFont="1" applyFill="1" applyBorder="1" applyAlignment="1">
      <alignment horizontal="centerContinuous" vertical="center"/>
    </xf>
    <xf numFmtId="180" fontId="0" fillId="0" borderId="8" xfId="0" applyBorder="1">
      <alignment vertical="center"/>
    </xf>
    <xf numFmtId="180" fontId="3" fillId="0" borderId="0" xfId="0" applyFont="1" applyAlignment="1">
      <alignment vertical="center" shrinkToFit="1"/>
    </xf>
    <xf numFmtId="180" fontId="0" fillId="3" borderId="1" xfId="0" applyFill="1" applyBorder="1">
      <alignment vertical="center"/>
    </xf>
    <xf numFmtId="180" fontId="0" fillId="3" borderId="19" xfId="0" applyFill="1" applyBorder="1">
      <alignment vertical="center"/>
    </xf>
    <xf numFmtId="180" fontId="0" fillId="3" borderId="4" xfId="0" applyFill="1" applyBorder="1" applyAlignment="1">
      <alignment horizontal="centerContinuous" vertical="center"/>
    </xf>
    <xf numFmtId="180" fontId="0" fillId="3" borderId="5" xfId="0" applyFill="1" applyBorder="1" applyAlignment="1">
      <alignment horizontal="centerContinuous" vertical="center"/>
    </xf>
    <xf numFmtId="180" fontId="0" fillId="3" borderId="3" xfId="0" applyFill="1" applyBorder="1" applyAlignment="1">
      <alignment horizontal="centerContinuous" vertical="center"/>
    </xf>
    <xf numFmtId="180" fontId="0" fillId="3" borderId="20" xfId="0" applyFill="1" applyBorder="1" applyAlignment="1">
      <alignment horizontal="centerContinuous" vertical="center"/>
    </xf>
    <xf numFmtId="180" fontId="0" fillId="3" borderId="3" xfId="0" applyFill="1" applyBorder="1" applyAlignment="1">
      <alignment horizontal="centerContinuous" vertical="center" shrinkToFit="1"/>
    </xf>
    <xf numFmtId="180" fontId="0" fillId="3" borderId="4" xfId="0" applyFill="1" applyBorder="1" applyAlignment="1">
      <alignment horizontal="centerContinuous" vertical="center" shrinkToFit="1"/>
    </xf>
    <xf numFmtId="180" fontId="0" fillId="3" borderId="21" xfId="0" applyFill="1" applyBorder="1" applyAlignment="1">
      <alignment horizontal="centerContinuous" vertical="center" shrinkToFit="1"/>
    </xf>
    <xf numFmtId="180" fontId="0" fillId="3" borderId="5" xfId="0" applyFill="1" applyBorder="1" applyAlignment="1">
      <alignment horizontal="centerContinuous" vertical="center" shrinkToFit="1"/>
    </xf>
    <xf numFmtId="180" fontId="14" fillId="0" borderId="14" xfId="0" applyFont="1" applyBorder="1" applyAlignment="1">
      <alignment vertical="center"/>
    </xf>
    <xf numFmtId="180" fontId="14" fillId="0" borderId="13" xfId="0" applyFont="1" applyBorder="1" applyAlignment="1">
      <alignment vertical="center"/>
    </xf>
    <xf numFmtId="180" fontId="14" fillId="0" borderId="15" xfId="0" applyFont="1" applyBorder="1" applyAlignment="1">
      <alignment vertical="center"/>
    </xf>
    <xf numFmtId="180" fontId="14" fillId="0" borderId="15" xfId="0" applyFont="1" applyFill="1" applyBorder="1" applyAlignment="1">
      <alignment vertical="center"/>
    </xf>
    <xf numFmtId="180" fontId="14" fillId="0" borderId="17" xfId="0" applyFont="1" applyBorder="1" applyAlignment="1">
      <alignment vertical="center"/>
    </xf>
    <xf numFmtId="180" fontId="14" fillId="0" borderId="16" xfId="0" applyFont="1" applyBorder="1" applyAlignment="1">
      <alignment vertical="center"/>
    </xf>
    <xf numFmtId="180" fontId="14" fillId="0" borderId="23" xfId="0" applyFont="1" applyBorder="1" applyAlignment="1">
      <alignment vertical="center"/>
    </xf>
    <xf numFmtId="180" fontId="14" fillId="0" borderId="16" xfId="0" applyFont="1" applyFill="1" applyBorder="1" applyAlignment="1">
      <alignment horizontal="center" vertical="center"/>
    </xf>
    <xf numFmtId="180" fontId="14" fillId="0" borderId="26" xfId="0" applyFont="1" applyBorder="1" applyAlignment="1">
      <alignment vertical="center"/>
    </xf>
    <xf numFmtId="180" fontId="14" fillId="0" borderId="27" xfId="0" applyFont="1" applyBorder="1" applyAlignment="1">
      <alignment vertical="center"/>
    </xf>
    <xf numFmtId="180" fontId="14" fillId="0" borderId="28" xfId="0" applyFont="1" applyBorder="1" applyAlignment="1">
      <alignment vertical="center"/>
    </xf>
    <xf numFmtId="180" fontId="14" fillId="0" borderId="26" xfId="0" applyFont="1" applyFill="1" applyBorder="1" applyAlignment="1">
      <alignment vertical="center"/>
    </xf>
    <xf numFmtId="180" fontId="14" fillId="0" borderId="27" xfId="0" applyFont="1" applyFill="1" applyBorder="1" applyAlignment="1">
      <alignment vertical="center"/>
    </xf>
    <xf numFmtId="180" fontId="14" fillId="0" borderId="28" xfId="0" applyFont="1" applyFill="1" applyBorder="1" applyAlignment="1">
      <alignment vertical="center"/>
    </xf>
    <xf numFmtId="180" fontId="14" fillId="0" borderId="0" xfId="0" applyFont="1" applyFill="1" applyBorder="1" applyAlignment="1">
      <alignment vertical="center"/>
    </xf>
    <xf numFmtId="180" fontId="14" fillId="0" borderId="29" xfId="0" applyFont="1" applyFill="1" applyBorder="1" applyAlignment="1">
      <alignment vertical="center"/>
    </xf>
    <xf numFmtId="40" fontId="14" fillId="0" borderId="0" xfId="0" applyNumberFormat="1" applyFont="1" applyFill="1" applyBorder="1" applyAlignment="1">
      <alignment vertical="center"/>
    </xf>
    <xf numFmtId="177" fontId="0" fillId="0" borderId="0" xfId="0" applyNumberFormat="1" applyFill="1" applyBorder="1">
      <alignment vertical="center"/>
    </xf>
    <xf numFmtId="180" fontId="0" fillId="0" borderId="0" xfId="0" applyFill="1" applyBorder="1" applyAlignment="1">
      <alignment horizontal="right" vertical="center"/>
    </xf>
    <xf numFmtId="40" fontId="0" fillId="0" borderId="14" xfId="0" applyNumberFormat="1" applyBorder="1" applyAlignment="1">
      <alignment horizontal="centerContinuous" vertical="center"/>
    </xf>
    <xf numFmtId="40" fontId="3" fillId="0" borderId="30" xfId="0" applyNumberFormat="1" applyFont="1" applyBorder="1" applyAlignment="1">
      <alignment horizontal="centerContinuous" vertical="center"/>
    </xf>
    <xf numFmtId="208" fontId="0" fillId="0" borderId="31" xfId="0" applyNumberFormat="1" applyBorder="1" applyAlignment="1">
      <alignment horizontal="centerContinuous" vertical="center"/>
    </xf>
    <xf numFmtId="40" fontId="0" fillId="0" borderId="15" xfId="0" applyNumberFormat="1" applyBorder="1" applyAlignment="1">
      <alignment horizontal="centerContinuous" vertical="center"/>
    </xf>
    <xf numFmtId="40" fontId="3" fillId="0" borderId="14" xfId="0" applyNumberFormat="1" applyFont="1" applyFill="1" applyBorder="1" applyAlignment="1">
      <alignment horizontal="centerContinuous" vertical="center"/>
    </xf>
    <xf numFmtId="40" fontId="3" fillId="0" borderId="30" xfId="0" applyNumberFormat="1" applyFont="1" applyFill="1" applyBorder="1" applyAlignment="1">
      <alignment horizontal="centerContinuous" vertical="center"/>
    </xf>
    <xf numFmtId="40" fontId="0" fillId="0" borderId="31" xfId="0" applyNumberFormat="1" applyFill="1" applyBorder="1" applyAlignment="1">
      <alignment horizontal="centerContinuous" vertical="center"/>
    </xf>
    <xf numFmtId="40" fontId="0" fillId="0" borderId="15" xfId="0" applyNumberFormat="1" applyFill="1" applyBorder="1" applyAlignment="1">
      <alignment horizontal="centerContinuous" vertical="center"/>
    </xf>
    <xf numFmtId="180" fontId="0" fillId="0" borderId="0" xfId="0" applyFill="1" applyBorder="1" applyAlignment="1">
      <alignment horizontal="center" vertical="center"/>
    </xf>
    <xf numFmtId="180" fontId="0" fillId="0" borderId="29" xfId="0" applyFill="1" applyBorder="1" applyAlignment="1">
      <alignment horizontal="center" vertical="center"/>
    </xf>
    <xf numFmtId="180" fontId="14" fillId="0" borderId="4" xfId="0" applyFont="1" applyFill="1" applyBorder="1" applyAlignment="1">
      <alignment horizontal="centerContinuous" vertical="center"/>
    </xf>
    <xf numFmtId="177" fontId="14" fillId="0" borderId="4" xfId="0" applyNumberFormat="1" applyFont="1" applyFill="1" applyBorder="1" applyAlignment="1">
      <alignment horizontal="centerContinuous" vertical="center"/>
    </xf>
    <xf numFmtId="40" fontId="14" fillId="0" borderId="22" xfId="0" applyNumberFormat="1" applyFont="1" applyFill="1" applyBorder="1" applyAlignment="1">
      <alignment horizontal="centerContinuous" vertical="center"/>
    </xf>
    <xf numFmtId="40" fontId="14" fillId="0" borderId="0" xfId="0" applyNumberFormat="1" applyFont="1" applyFill="1" applyBorder="1" applyAlignment="1">
      <alignment horizontal="centerContinuous" vertical="center"/>
    </xf>
    <xf numFmtId="180" fontId="0" fillId="0" borderId="0" xfId="0" applyBorder="1" applyAlignment="1">
      <alignment vertical="center"/>
    </xf>
    <xf numFmtId="184" fontId="0" fillId="0" borderId="26" xfId="0" applyNumberFormat="1" applyBorder="1" applyAlignment="1">
      <alignment horizontal="centerContinuous" vertical="center"/>
    </xf>
    <xf numFmtId="40" fontId="3" fillId="0" borderId="32" xfId="0" applyNumberFormat="1" applyFont="1" applyBorder="1" applyAlignment="1">
      <alignment horizontal="centerContinuous" vertical="center"/>
    </xf>
    <xf numFmtId="208" fontId="0" fillId="0" borderId="33" xfId="0" applyNumberFormat="1" applyBorder="1" applyAlignment="1">
      <alignment horizontal="centerContinuous" vertical="center"/>
    </xf>
    <xf numFmtId="40" fontId="0" fillId="0" borderId="28" xfId="0" applyNumberFormat="1" applyBorder="1" applyAlignment="1">
      <alignment horizontal="centerContinuous" vertical="center"/>
    </xf>
    <xf numFmtId="40" fontId="3" fillId="0" borderId="26" xfId="0" applyNumberFormat="1" applyFont="1" applyFill="1" applyBorder="1" applyAlignment="1">
      <alignment horizontal="centerContinuous" vertical="center"/>
    </xf>
    <xf numFmtId="40" fontId="3" fillId="0" borderId="32" xfId="0" applyNumberFormat="1" applyFont="1" applyFill="1" applyBorder="1" applyAlignment="1">
      <alignment horizontal="centerContinuous" vertical="center"/>
    </xf>
    <xf numFmtId="40" fontId="0" fillId="0" borderId="33" xfId="0" applyNumberFormat="1" applyFill="1" applyBorder="1" applyAlignment="1">
      <alignment horizontal="centerContinuous" vertical="center"/>
    </xf>
    <xf numFmtId="40" fontId="0" fillId="0" borderId="28" xfId="0" applyNumberFormat="1" applyFill="1" applyBorder="1" applyAlignment="1">
      <alignment horizontal="centerContinuous" vertical="center"/>
    </xf>
    <xf numFmtId="40" fontId="3" fillId="0" borderId="17" xfId="0" applyNumberFormat="1" applyFont="1" applyFill="1" applyBorder="1" applyAlignment="1">
      <alignment horizontal="centerContinuous" vertical="center"/>
    </xf>
    <xf numFmtId="40" fontId="3" fillId="0" borderId="34" xfId="0" applyNumberFormat="1" applyFont="1" applyFill="1" applyBorder="1" applyAlignment="1">
      <alignment horizontal="centerContinuous" vertical="center"/>
    </xf>
    <xf numFmtId="40" fontId="0" fillId="0" borderId="35" xfId="0" applyNumberFormat="1" applyFill="1" applyBorder="1" applyAlignment="1">
      <alignment horizontal="centerContinuous" vertical="center"/>
    </xf>
    <xf numFmtId="40" fontId="0" fillId="0" borderId="23" xfId="0" applyNumberFormat="1" applyFill="1" applyBorder="1" applyAlignment="1">
      <alignment horizontal="centerContinuous" vertical="center"/>
    </xf>
    <xf numFmtId="40" fontId="3" fillId="0" borderId="0" xfId="0" applyNumberFormat="1" applyFont="1" applyFill="1" applyBorder="1" applyAlignment="1">
      <alignment horizontal="center" vertical="center"/>
    </xf>
    <xf numFmtId="40" fontId="0" fillId="0" borderId="0" xfId="0" applyNumberFormat="1" applyFill="1" applyBorder="1" applyAlignment="1">
      <alignment horizontal="center" vertical="center"/>
    </xf>
    <xf numFmtId="180" fontId="0" fillId="0" borderId="22" xfId="0" applyFill="1" applyBorder="1">
      <alignment vertical="center"/>
    </xf>
    <xf numFmtId="206" fontId="0" fillId="0" borderId="0" xfId="0" applyNumberFormat="1" applyFill="1" applyBorder="1" applyAlignment="1">
      <alignment horizontal="center" vertical="center"/>
    </xf>
    <xf numFmtId="184" fontId="0" fillId="0" borderId="17" xfId="0" applyNumberFormat="1" applyBorder="1" applyAlignment="1">
      <alignment horizontal="centerContinuous" vertical="center"/>
    </xf>
    <xf numFmtId="40" fontId="3" fillId="0" borderId="34" xfId="0" applyNumberFormat="1" applyFont="1" applyBorder="1" applyAlignment="1">
      <alignment horizontal="centerContinuous" vertical="center"/>
    </xf>
    <xf numFmtId="208" fontId="0" fillId="0" borderId="35" xfId="0" applyNumberFormat="1" applyBorder="1" applyAlignment="1">
      <alignment horizontal="centerContinuous" vertical="center"/>
    </xf>
    <xf numFmtId="40" fontId="0" fillId="0" borderId="23" xfId="0" applyNumberFormat="1" applyBorder="1" applyAlignment="1">
      <alignment horizontal="centerContinuous" vertical="center"/>
    </xf>
    <xf numFmtId="185" fontId="0" fillId="0" borderId="0" xfId="0" applyNumberFormat="1" applyFill="1" applyBorder="1" applyAlignment="1">
      <alignment horizontal="center" vertical="center"/>
    </xf>
    <xf numFmtId="180" fontId="0" fillId="0" borderId="7" xfId="0" applyFill="1" applyBorder="1">
      <alignment vertical="center"/>
    </xf>
    <xf numFmtId="180" fontId="0" fillId="0" borderId="8" xfId="0" applyFill="1" applyBorder="1">
      <alignment vertical="center"/>
    </xf>
    <xf numFmtId="177" fontId="0" fillId="0" borderId="8" xfId="0" applyNumberFormat="1" applyFill="1" applyBorder="1">
      <alignment vertical="center"/>
    </xf>
    <xf numFmtId="180" fontId="0" fillId="0" borderId="8" xfId="0" applyFill="1" applyBorder="1" applyAlignment="1">
      <alignment horizontal="right" vertical="center"/>
    </xf>
    <xf numFmtId="40" fontId="3" fillId="0" borderId="8" xfId="0" applyNumberFormat="1" applyFont="1" applyFill="1" applyBorder="1" applyAlignment="1">
      <alignment horizontal="center" vertical="center"/>
    </xf>
    <xf numFmtId="40" fontId="0" fillId="0" borderId="8" xfId="0" applyNumberFormat="1" applyFill="1" applyBorder="1" applyAlignment="1">
      <alignment horizontal="center" vertical="center"/>
    </xf>
    <xf numFmtId="180" fontId="0" fillId="3" borderId="2" xfId="0" applyFill="1" applyBorder="1" applyAlignment="1">
      <alignment horizontal="centerContinuous" vertical="center"/>
    </xf>
    <xf numFmtId="180" fontId="0" fillId="3" borderId="19" xfId="0" applyFill="1" applyBorder="1" applyAlignment="1">
      <alignment horizontal="centerContinuous" vertical="center"/>
    </xf>
    <xf numFmtId="180" fontId="0" fillId="3" borderId="1" xfId="0" applyFill="1" applyBorder="1" applyAlignment="1">
      <alignment horizontal="centerContinuous" vertical="center"/>
    </xf>
    <xf numFmtId="180" fontId="0" fillId="3" borderId="36" xfId="0" applyFill="1" applyBorder="1" applyAlignment="1">
      <alignment horizontal="centerContinuous" vertical="center"/>
    </xf>
    <xf numFmtId="180" fontId="0" fillId="3" borderId="1" xfId="0" applyFill="1" applyBorder="1" applyAlignment="1">
      <alignment horizontal="centerContinuous" vertical="center" shrinkToFit="1"/>
    </xf>
    <xf numFmtId="180" fontId="0" fillId="3" borderId="2" xfId="0" applyFill="1" applyBorder="1" applyAlignment="1">
      <alignment horizontal="centerContinuous" vertical="center" shrinkToFit="1"/>
    </xf>
    <xf numFmtId="180" fontId="0" fillId="3" borderId="37" xfId="0" applyFill="1" applyBorder="1" applyAlignment="1">
      <alignment horizontal="centerContinuous" vertical="center" shrinkToFit="1"/>
    </xf>
    <xf numFmtId="180" fontId="0" fillId="3" borderId="19" xfId="0" applyFill="1" applyBorder="1" applyAlignment="1">
      <alignment horizontal="centerContinuous" vertical="center" shrinkToFit="1"/>
    </xf>
    <xf numFmtId="177" fontId="0" fillId="0" borderId="0" xfId="0" applyNumberFormat="1" applyAlignment="1">
      <alignment vertical="center" shrinkToFit="1"/>
    </xf>
    <xf numFmtId="38" fontId="14" fillId="0" borderId="13" xfId="0" applyNumberFormat="1" applyFont="1" applyBorder="1" applyAlignment="1">
      <alignment vertical="center"/>
    </xf>
    <xf numFmtId="180" fontId="14" fillId="0" borderId="38" xfId="0" applyFont="1" applyBorder="1" applyAlignment="1">
      <alignment vertical="center"/>
    </xf>
    <xf numFmtId="180" fontId="14" fillId="0" borderId="39" xfId="0" applyFont="1" applyBorder="1" applyAlignment="1">
      <alignment vertical="center"/>
    </xf>
    <xf numFmtId="40" fontId="14" fillId="0" borderId="29" xfId="0" applyNumberFormat="1" applyFont="1" applyFill="1" applyBorder="1" applyAlignment="1">
      <alignment vertical="center"/>
    </xf>
    <xf numFmtId="180" fontId="0" fillId="0" borderId="1" xfId="0" applyFill="1" applyBorder="1">
      <alignment vertical="center"/>
    </xf>
    <xf numFmtId="180" fontId="0" fillId="0" borderId="2" xfId="0" applyFill="1" applyBorder="1">
      <alignment vertical="center"/>
    </xf>
    <xf numFmtId="177" fontId="0" fillId="0" borderId="2" xfId="0" applyNumberFormat="1" applyFill="1" applyBorder="1">
      <alignment vertical="center"/>
    </xf>
    <xf numFmtId="180" fontId="0" fillId="0" borderId="2" xfId="0" applyFill="1" applyBorder="1" applyAlignment="1">
      <alignment horizontal="right" vertical="center"/>
    </xf>
    <xf numFmtId="40" fontId="3" fillId="0" borderId="2" xfId="0" applyNumberFormat="1" applyFont="1" applyFill="1" applyBorder="1" applyAlignment="1">
      <alignment horizontal="centerContinuous" vertical="center"/>
    </xf>
    <xf numFmtId="40" fontId="0" fillId="0" borderId="2" xfId="0" applyNumberFormat="1" applyFill="1" applyBorder="1" applyAlignment="1">
      <alignment horizontal="centerContinuous" vertical="center"/>
    </xf>
    <xf numFmtId="185" fontId="0" fillId="0" borderId="0" xfId="0" applyNumberFormat="1" applyFill="1" applyBorder="1" applyAlignment="1">
      <alignment vertical="center"/>
    </xf>
    <xf numFmtId="180" fontId="0" fillId="0" borderId="2" xfId="0" applyFill="1" applyBorder="1" applyAlignment="1">
      <alignment horizontal="center" vertical="center"/>
    </xf>
    <xf numFmtId="180" fontId="0" fillId="0" borderId="19" xfId="0" applyFill="1" applyBorder="1" applyAlignment="1">
      <alignment horizontal="center" vertical="center"/>
    </xf>
    <xf numFmtId="40" fontId="3" fillId="0" borderId="0" xfId="0" applyNumberFormat="1" applyFont="1" applyFill="1" applyBorder="1" applyAlignment="1">
      <alignment horizontal="centerContinuous" vertical="center"/>
    </xf>
    <xf numFmtId="40" fontId="0" fillId="0" borderId="0" xfId="0" applyNumberFormat="1" applyFill="1" applyBorder="1" applyAlignment="1">
      <alignment horizontal="centerContinuous" vertical="center"/>
    </xf>
    <xf numFmtId="180" fontId="0" fillId="0" borderId="1" xfId="0" applyBorder="1">
      <alignment vertical="center"/>
    </xf>
    <xf numFmtId="180" fontId="0" fillId="0" borderId="2" xfId="0" applyBorder="1">
      <alignment vertical="center"/>
    </xf>
    <xf numFmtId="180" fontId="0" fillId="0" borderId="19" xfId="0" applyBorder="1">
      <alignment vertical="center"/>
    </xf>
    <xf numFmtId="180" fontId="0" fillId="0" borderId="22" xfId="0" applyBorder="1">
      <alignment vertical="center"/>
    </xf>
    <xf numFmtId="180" fontId="14" fillId="0" borderId="16" xfId="0" applyFont="1" applyFill="1" applyBorder="1" applyAlignment="1">
      <alignment horizontal="right" vertical="center" shrinkToFit="1"/>
    </xf>
    <xf numFmtId="180" fontId="0" fillId="0" borderId="29" xfId="0" applyBorder="1">
      <alignment vertical="center"/>
    </xf>
    <xf numFmtId="180" fontId="9" fillId="3" borderId="3" xfId="0" applyFont="1" applyFill="1" applyBorder="1" applyAlignment="1">
      <alignment horizontal="center" vertical="center" wrapText="1"/>
    </xf>
    <xf numFmtId="180" fontId="9" fillId="3" borderId="4" xfId="0" applyFont="1" applyFill="1" applyBorder="1" applyAlignment="1">
      <alignment horizontal="center" vertical="center" wrapText="1"/>
    </xf>
    <xf numFmtId="180" fontId="10" fillId="3" borderId="4" xfId="0" applyFont="1" applyFill="1" applyBorder="1" applyAlignment="1">
      <alignment horizontal="center" vertical="center" wrapText="1"/>
    </xf>
    <xf numFmtId="180" fontId="10" fillId="3" borderId="4" xfId="0" applyFont="1" applyFill="1" applyBorder="1" applyAlignment="1">
      <alignment horizontal="centerContinuous" vertical="center" wrapText="1"/>
    </xf>
    <xf numFmtId="180" fontId="10" fillId="3" borderId="41" xfId="0" applyFont="1" applyFill="1" applyBorder="1" applyAlignment="1">
      <alignment horizontal="centerContinuous" vertical="center" wrapText="1"/>
    </xf>
    <xf numFmtId="180" fontId="10" fillId="3" borderId="42" xfId="0" applyFont="1" applyFill="1" applyBorder="1" applyAlignment="1">
      <alignment horizontal="centerContinuous" vertical="center" wrapText="1"/>
    </xf>
    <xf numFmtId="180" fontId="9" fillId="3" borderId="1" xfId="0" applyFont="1" applyFill="1" applyBorder="1" applyAlignment="1">
      <alignment horizontal="center" vertical="center" wrapText="1"/>
    </xf>
    <xf numFmtId="180" fontId="9" fillId="3" borderId="2" xfId="0" applyFont="1" applyFill="1" applyBorder="1" applyAlignment="1">
      <alignment horizontal="center" vertical="center" wrapText="1"/>
    </xf>
    <xf numFmtId="180" fontId="9" fillId="3" borderId="19" xfId="0" applyFont="1" applyFill="1" applyBorder="1" applyAlignment="1">
      <alignment horizontal="center" vertical="center" wrapText="1"/>
    </xf>
    <xf numFmtId="180" fontId="0" fillId="3" borderId="21" xfId="0" applyFill="1" applyBorder="1" applyAlignment="1">
      <alignment horizontal="centerContinuous" vertical="center"/>
    </xf>
    <xf numFmtId="40" fontId="14" fillId="0" borderId="16" xfId="0" applyNumberFormat="1" applyFont="1" applyBorder="1">
      <alignment vertical="center"/>
    </xf>
    <xf numFmtId="40" fontId="14" fillId="0" borderId="23" xfId="0" applyNumberFormat="1" applyFont="1" applyBorder="1">
      <alignment vertical="center"/>
    </xf>
    <xf numFmtId="180" fontId="9" fillId="3" borderId="43" xfId="0" applyFont="1" applyFill="1" applyBorder="1" applyAlignment="1">
      <alignment horizontal="centerContinuous" vertical="center" shrinkToFit="1"/>
    </xf>
    <xf numFmtId="180" fontId="9" fillId="3" borderId="44" xfId="0" applyFont="1" applyFill="1" applyBorder="1" applyAlignment="1">
      <alignment horizontal="centerContinuous" vertical="center" shrinkToFit="1"/>
    </xf>
    <xf numFmtId="180" fontId="9" fillId="3" borderId="45" xfId="0" applyFont="1" applyFill="1" applyBorder="1" applyAlignment="1">
      <alignment horizontal="centerContinuous" vertical="center" shrinkToFit="1"/>
    </xf>
    <xf numFmtId="180" fontId="9" fillId="3" borderId="46" xfId="0" applyFont="1" applyFill="1" applyBorder="1" applyAlignment="1">
      <alignment horizontal="centerContinuous" vertical="center" shrinkToFit="1"/>
    </xf>
    <xf numFmtId="180" fontId="14" fillId="0" borderId="0" xfId="0" applyFont="1" applyBorder="1" applyAlignment="1">
      <alignment vertical="center"/>
    </xf>
    <xf numFmtId="180" fontId="14" fillId="0" borderId="8" xfId="0" applyFont="1" applyBorder="1" applyAlignment="1">
      <alignment vertical="center"/>
    </xf>
    <xf numFmtId="40" fontId="14" fillId="0" borderId="0" xfId="0" applyNumberFormat="1" applyFont="1" applyBorder="1" applyAlignment="1">
      <alignment vertical="center"/>
    </xf>
    <xf numFmtId="180" fontId="14" fillId="0" borderId="47" xfId="0" applyFont="1" applyFill="1" applyBorder="1" applyAlignment="1">
      <alignment vertical="center"/>
    </xf>
    <xf numFmtId="180" fontId="3" fillId="3" borderId="3" xfId="0" applyFont="1" applyFill="1" applyBorder="1" applyAlignment="1">
      <alignment horizontal="centerContinuous" vertical="center" shrinkToFit="1"/>
    </xf>
    <xf numFmtId="180" fontId="3" fillId="3" borderId="4" xfId="0" applyFont="1" applyFill="1" applyBorder="1" applyAlignment="1">
      <alignment horizontal="centerContinuous" vertical="center" shrinkToFit="1"/>
    </xf>
    <xf numFmtId="180" fontId="3" fillId="3" borderId="5" xfId="0" applyFont="1" applyFill="1" applyBorder="1" applyAlignment="1">
      <alignment horizontal="centerContinuous" vertical="center" shrinkToFit="1"/>
    </xf>
    <xf numFmtId="180" fontId="0" fillId="0" borderId="48" xfId="0" applyBorder="1">
      <alignment vertical="center"/>
    </xf>
    <xf numFmtId="180" fontId="0" fillId="0" borderId="49" xfId="0" applyBorder="1">
      <alignment vertical="center"/>
    </xf>
    <xf numFmtId="180" fontId="0" fillId="0" borderId="26" xfId="0" applyBorder="1">
      <alignment vertical="center"/>
    </xf>
    <xf numFmtId="180" fontId="0" fillId="0" borderId="27" xfId="0" applyBorder="1">
      <alignment vertical="center"/>
    </xf>
    <xf numFmtId="180" fontId="0" fillId="0" borderId="28" xfId="0" applyBorder="1" applyAlignment="1">
      <alignment horizontal="centerContinuous" vertical="center"/>
    </xf>
    <xf numFmtId="180" fontId="3" fillId="0" borderId="26" xfId="0" applyFont="1" applyFill="1" applyBorder="1" applyAlignment="1">
      <alignment horizontal="centerContinuous" vertical="center"/>
    </xf>
    <xf numFmtId="180" fontId="0" fillId="0" borderId="17" xfId="0" applyBorder="1">
      <alignment vertical="center"/>
    </xf>
    <xf numFmtId="180" fontId="0" fillId="0" borderId="16" xfId="0" applyBorder="1">
      <alignment vertical="center"/>
    </xf>
    <xf numFmtId="180" fontId="0" fillId="0" borderId="16" xfId="0" applyBorder="1" applyAlignment="1">
      <alignment horizontal="centerContinuous" vertical="center"/>
    </xf>
    <xf numFmtId="180" fontId="0" fillId="0" borderId="23" xfId="0" applyBorder="1" applyAlignment="1">
      <alignment horizontal="centerContinuous" vertical="center"/>
    </xf>
    <xf numFmtId="180" fontId="10" fillId="0" borderId="0" xfId="0" applyFont="1" applyFill="1" applyBorder="1" applyAlignment="1">
      <alignment horizontal="center" vertical="center" textRotation="255" wrapText="1"/>
    </xf>
    <xf numFmtId="0" fontId="14" fillId="0" borderId="15" xfId="0" applyNumberFormat="1" applyFont="1" applyFill="1" applyBorder="1" applyAlignment="1">
      <alignment horizontal="center" vertical="center"/>
    </xf>
    <xf numFmtId="40" fontId="14" fillId="0" borderId="16" xfId="0" applyNumberFormat="1" applyFont="1" applyBorder="1" applyAlignment="1">
      <alignment horizontal="center" vertical="center"/>
    </xf>
    <xf numFmtId="180" fontId="0" fillId="0" borderId="14" xfId="0" applyBorder="1" applyAlignment="1">
      <alignment horizontal="centerContinuous" vertical="center"/>
    </xf>
    <xf numFmtId="180" fontId="0" fillId="0" borderId="30" xfId="0" applyBorder="1" applyAlignment="1">
      <alignment horizontal="centerContinuous" vertical="center"/>
    </xf>
    <xf numFmtId="40" fontId="0" fillId="0" borderId="31" xfId="0" applyNumberFormat="1" applyBorder="1" applyAlignment="1">
      <alignment horizontal="centerContinuous" vertical="center"/>
    </xf>
    <xf numFmtId="40" fontId="0" fillId="0" borderId="30" xfId="0" applyNumberFormat="1" applyBorder="1" applyAlignment="1">
      <alignment horizontal="centerContinuous" vertical="center"/>
    </xf>
    <xf numFmtId="40" fontId="0" fillId="0" borderId="14" xfId="0" applyNumberFormat="1" applyBorder="1" applyAlignment="1">
      <alignment horizontal="center" vertical="center"/>
    </xf>
    <xf numFmtId="40" fontId="0" fillId="0" borderId="31" xfId="0" applyNumberFormat="1" applyBorder="1" applyAlignment="1">
      <alignment horizontal="center" vertical="center"/>
    </xf>
    <xf numFmtId="40" fontId="0" fillId="0" borderId="15" xfId="0" applyNumberFormat="1" applyBorder="1" applyAlignment="1">
      <alignment horizontal="center" vertical="center"/>
    </xf>
    <xf numFmtId="40" fontId="3" fillId="0" borderId="13" xfId="0" applyNumberFormat="1" applyFont="1" applyBorder="1" applyAlignment="1">
      <alignment horizontal="centerContinuous" vertical="center"/>
    </xf>
    <xf numFmtId="40" fontId="0" fillId="0" borderId="13" xfId="0" applyNumberFormat="1" applyBorder="1" applyAlignment="1">
      <alignment horizontal="centerContinuous" vertical="center"/>
    </xf>
    <xf numFmtId="180" fontId="0" fillId="0" borderId="26" xfId="0" applyBorder="1" applyAlignment="1">
      <alignment horizontal="centerContinuous" vertical="center"/>
    </xf>
    <xf numFmtId="180" fontId="0" fillId="0" borderId="32" xfId="0" applyBorder="1" applyAlignment="1">
      <alignment horizontal="centerContinuous" vertical="center"/>
    </xf>
    <xf numFmtId="40" fontId="0" fillId="0" borderId="33" xfId="0" applyNumberFormat="1" applyBorder="1" applyAlignment="1">
      <alignment horizontal="centerContinuous" vertical="center"/>
    </xf>
    <xf numFmtId="40" fontId="0" fillId="0" borderId="26" xfId="0" applyNumberFormat="1" applyBorder="1" applyAlignment="1">
      <alignment horizontal="centerContinuous" vertical="center"/>
    </xf>
    <xf numFmtId="40" fontId="0" fillId="0" borderId="32" xfId="0" applyNumberFormat="1" applyBorder="1" applyAlignment="1">
      <alignment horizontal="centerContinuous" vertical="center"/>
    </xf>
    <xf numFmtId="40" fontId="0" fillId="0" borderId="26" xfId="0" applyNumberFormat="1" applyBorder="1" applyAlignment="1">
      <alignment horizontal="center" vertical="center"/>
    </xf>
    <xf numFmtId="40" fontId="0" fillId="0" borderId="32" xfId="0" applyNumberFormat="1" applyBorder="1" applyAlignment="1">
      <alignment horizontal="center" vertical="center"/>
    </xf>
    <xf numFmtId="40" fontId="0" fillId="0" borderId="33" xfId="0" applyNumberFormat="1" applyBorder="1" applyAlignment="1">
      <alignment horizontal="center" vertical="center"/>
    </xf>
    <xf numFmtId="40" fontId="0" fillId="0" borderId="28" xfId="0" applyNumberFormat="1" applyBorder="1" applyAlignment="1">
      <alignment horizontal="center" vertical="center"/>
    </xf>
    <xf numFmtId="40" fontId="3" fillId="0" borderId="27" xfId="0" applyNumberFormat="1" applyFont="1" applyBorder="1" applyAlignment="1">
      <alignment horizontal="centerContinuous" vertical="center"/>
    </xf>
    <xf numFmtId="40" fontId="0" fillId="0" borderId="27" xfId="0" applyNumberFormat="1" applyBorder="1" applyAlignment="1">
      <alignment horizontal="centerContinuous" vertical="center"/>
    </xf>
    <xf numFmtId="40" fontId="0" fillId="0" borderId="52" xfId="0" applyNumberFormat="1" applyFill="1" applyBorder="1" applyAlignment="1">
      <alignment horizontal="center" vertical="center"/>
    </xf>
    <xf numFmtId="180" fontId="0" fillId="0" borderId="17" xfId="0" applyBorder="1" applyAlignment="1">
      <alignment horizontal="centerContinuous" vertical="center"/>
    </xf>
    <xf numFmtId="180" fontId="0" fillId="0" borderId="34" xfId="0" applyBorder="1" applyAlignment="1">
      <alignment horizontal="centerContinuous" vertical="center"/>
    </xf>
    <xf numFmtId="40" fontId="0" fillId="0" borderId="35" xfId="0" applyNumberFormat="1" applyBorder="1" applyAlignment="1">
      <alignment horizontal="centerContinuous" vertical="center"/>
    </xf>
    <xf numFmtId="40" fontId="0" fillId="0" borderId="17" xfId="0" applyNumberFormat="1" applyBorder="1" applyAlignment="1">
      <alignment horizontal="centerContinuous" vertical="center"/>
    </xf>
    <xf numFmtId="40" fontId="0" fillId="0" borderId="34" xfId="0" applyNumberFormat="1" applyBorder="1" applyAlignment="1">
      <alignment horizontal="centerContinuous" vertical="center"/>
    </xf>
    <xf numFmtId="40" fontId="0" fillId="0" borderId="16" xfId="0" applyNumberFormat="1" applyBorder="1" applyAlignment="1">
      <alignment horizontal="centerContinuous" vertical="center"/>
    </xf>
    <xf numFmtId="180" fontId="10" fillId="0" borderId="0" xfId="0" applyFont="1" applyFill="1" applyBorder="1" applyAlignment="1">
      <alignment vertical="center" textRotation="255"/>
    </xf>
    <xf numFmtId="40" fontId="0" fillId="0" borderId="2" xfId="0" applyNumberFormat="1" applyBorder="1" applyAlignment="1">
      <alignment vertical="center"/>
    </xf>
    <xf numFmtId="40" fontId="0" fillId="0" borderId="0" xfId="0" applyNumberFormat="1" applyBorder="1" applyAlignment="1">
      <alignment vertical="center"/>
    </xf>
    <xf numFmtId="180" fontId="0" fillId="0" borderId="29" xfId="0" applyBorder="1" applyAlignment="1">
      <alignment vertical="center"/>
    </xf>
    <xf numFmtId="40" fontId="3" fillId="0" borderId="0" xfId="0" applyNumberFormat="1" applyFont="1" applyBorder="1" applyAlignment="1">
      <alignment vertical="center"/>
    </xf>
    <xf numFmtId="40" fontId="0" fillId="0" borderId="35" xfId="0" applyNumberFormat="1" applyFill="1" applyBorder="1" applyAlignment="1">
      <alignment horizontal="center" vertical="center"/>
    </xf>
    <xf numFmtId="40" fontId="0" fillId="0" borderId="23" xfId="0" applyNumberFormat="1" applyFill="1" applyBorder="1" applyAlignment="1">
      <alignment horizontal="center" vertical="center"/>
    </xf>
    <xf numFmtId="40" fontId="3" fillId="0" borderId="16" xfId="0" applyNumberFormat="1" applyFont="1" applyBorder="1" applyAlignment="1">
      <alignment horizontal="centerContinuous" vertical="center"/>
    </xf>
    <xf numFmtId="180" fontId="0" fillId="0" borderId="0" xfId="0" applyFill="1" applyBorder="1" applyAlignment="1">
      <alignment vertical="center"/>
    </xf>
    <xf numFmtId="180" fontId="0" fillId="0" borderId="8" xfId="0" applyBorder="1" applyAlignment="1">
      <alignment vertical="center"/>
    </xf>
    <xf numFmtId="180" fontId="0" fillId="3" borderId="8" xfId="0" applyFill="1" applyBorder="1" applyAlignment="1">
      <alignment horizontal="centerContinuous" vertical="center"/>
    </xf>
    <xf numFmtId="180" fontId="0" fillId="3" borderId="7" xfId="0" applyFill="1" applyBorder="1" applyAlignment="1">
      <alignment horizontal="centerContinuous" vertical="center"/>
    </xf>
    <xf numFmtId="180" fontId="0" fillId="3" borderId="25" xfId="0" applyFill="1" applyBorder="1" applyAlignment="1">
      <alignment horizontal="centerContinuous" vertical="center"/>
    </xf>
    <xf numFmtId="40" fontId="3" fillId="3" borderId="7" xfId="0" applyNumberFormat="1" applyFont="1" applyFill="1" applyBorder="1" applyAlignment="1">
      <alignment horizontal="centerContinuous" vertical="center"/>
    </xf>
    <xf numFmtId="40" fontId="0" fillId="3" borderId="8" xfId="0" applyNumberFormat="1" applyFill="1" applyBorder="1" applyAlignment="1">
      <alignment horizontal="centerContinuous" vertical="center"/>
    </xf>
    <xf numFmtId="40" fontId="0" fillId="3" borderId="25" xfId="0" applyNumberFormat="1" applyFill="1" applyBorder="1" applyAlignment="1">
      <alignment horizontal="centerContinuous" vertical="center"/>
    </xf>
    <xf numFmtId="180" fontId="0" fillId="3" borderId="53" xfId="0" applyFill="1" applyBorder="1" applyAlignment="1">
      <alignment horizontal="centerContinuous" vertical="center"/>
    </xf>
    <xf numFmtId="180" fontId="3" fillId="3" borderId="22" xfId="0" applyFont="1" applyFill="1" applyBorder="1" applyAlignment="1">
      <alignment horizontal="centerContinuous" vertical="center" shrinkToFit="1"/>
    </xf>
    <xf numFmtId="180" fontId="3" fillId="3" borderId="0" xfId="0" applyFont="1" applyFill="1" applyBorder="1" applyAlignment="1">
      <alignment horizontal="centerContinuous" vertical="center" shrinkToFit="1"/>
    </xf>
    <xf numFmtId="180" fontId="3" fillId="3" borderId="54" xfId="0" applyFont="1" applyFill="1" applyBorder="1" applyAlignment="1">
      <alignment horizontal="centerContinuous" vertical="center" shrinkToFit="1"/>
    </xf>
    <xf numFmtId="180" fontId="3" fillId="3" borderId="29" xfId="0" applyFont="1" applyFill="1" applyBorder="1" applyAlignment="1">
      <alignment horizontal="centerContinuous" vertical="center" shrinkToFit="1"/>
    </xf>
    <xf numFmtId="40" fontId="3" fillId="0" borderId="14" xfId="0" applyNumberFormat="1" applyFont="1" applyBorder="1" applyAlignment="1">
      <alignment horizontal="centerContinuous" vertical="center"/>
    </xf>
    <xf numFmtId="40" fontId="3" fillId="0" borderId="17" xfId="0" applyNumberFormat="1" applyFont="1" applyBorder="1" applyAlignment="1">
      <alignment horizontal="centerContinuous" vertical="center"/>
    </xf>
    <xf numFmtId="40" fontId="3" fillId="3" borderId="3" xfId="0" applyNumberFormat="1" applyFont="1" applyFill="1" applyBorder="1" applyAlignment="1">
      <alignment horizontal="centerContinuous" vertical="center" shrinkToFit="1"/>
    </xf>
    <xf numFmtId="40" fontId="3" fillId="3" borderId="3" xfId="0" applyNumberFormat="1" applyFont="1" applyFill="1" applyBorder="1" applyAlignment="1">
      <alignment horizontal="centerContinuous" vertical="center"/>
    </xf>
    <xf numFmtId="0" fontId="0" fillId="0" borderId="2" xfId="0" applyNumberFormat="1" applyBorder="1" applyAlignment="1">
      <alignment vertical="center"/>
    </xf>
    <xf numFmtId="180" fontId="14" fillId="0" borderId="25" xfId="0" applyFont="1" applyBorder="1">
      <alignment vertical="center"/>
    </xf>
    <xf numFmtId="180" fontId="14" fillId="0" borderId="8" xfId="0" applyFont="1" applyBorder="1">
      <alignment vertical="center"/>
    </xf>
    <xf numFmtId="40" fontId="14" fillId="0" borderId="8" xfId="0" applyNumberFormat="1" applyFont="1" applyBorder="1">
      <alignment vertical="center"/>
    </xf>
    <xf numFmtId="40" fontId="3" fillId="3" borderId="1" xfId="0" applyNumberFormat="1" applyFont="1" applyFill="1" applyBorder="1" applyAlignment="1">
      <alignment horizontal="centerContinuous" vertical="center"/>
    </xf>
    <xf numFmtId="40" fontId="0" fillId="3" borderId="2" xfId="0" applyNumberFormat="1" applyFill="1" applyBorder="1" applyAlignment="1">
      <alignment horizontal="centerContinuous" vertical="center"/>
    </xf>
    <xf numFmtId="40" fontId="0" fillId="3" borderId="19" xfId="0" applyNumberFormat="1" applyFill="1" applyBorder="1" applyAlignment="1">
      <alignment horizontal="centerContinuous" vertical="center"/>
    </xf>
    <xf numFmtId="40" fontId="0" fillId="3" borderId="4" xfId="0" applyNumberFormat="1" applyFill="1" applyBorder="1" applyAlignment="1">
      <alignment horizontal="centerContinuous" vertical="center"/>
    </xf>
    <xf numFmtId="40" fontId="0" fillId="3" borderId="5" xfId="0" applyNumberFormat="1" applyFill="1" applyBorder="1" applyAlignment="1">
      <alignment horizontal="centerContinuous" vertical="center"/>
    </xf>
    <xf numFmtId="180" fontId="3" fillId="3" borderId="1" xfId="0" applyFont="1" applyFill="1" applyBorder="1" applyAlignment="1">
      <alignment horizontal="centerContinuous" vertical="center" shrinkToFit="1"/>
    </xf>
    <xf numFmtId="180" fontId="3" fillId="3" borderId="2" xfId="0" applyFont="1" applyFill="1" applyBorder="1" applyAlignment="1">
      <alignment horizontal="centerContinuous" vertical="center" shrinkToFit="1"/>
    </xf>
    <xf numFmtId="180" fontId="3" fillId="3" borderId="37" xfId="0" applyFont="1" applyFill="1" applyBorder="1" applyAlignment="1">
      <alignment horizontal="centerContinuous" vertical="center" shrinkToFit="1"/>
    </xf>
    <xf numFmtId="180" fontId="3" fillId="3" borderId="19" xfId="0" applyFont="1" applyFill="1" applyBorder="1" applyAlignment="1">
      <alignment horizontal="centerContinuous" vertical="center" shrinkToFit="1"/>
    </xf>
    <xf numFmtId="0" fontId="14" fillId="0" borderId="1" xfId="0" applyNumberFormat="1" applyFont="1" applyFill="1" applyBorder="1" applyAlignment="1">
      <alignment vertical="center"/>
    </xf>
    <xf numFmtId="0" fontId="14" fillId="0" borderId="2" xfId="0" applyNumberFormat="1" applyFont="1" applyFill="1" applyBorder="1" applyAlignment="1">
      <alignment vertical="center"/>
    </xf>
    <xf numFmtId="0" fontId="14" fillId="0" borderId="19" xfId="0" applyNumberFormat="1" applyFont="1" applyFill="1" applyBorder="1" applyAlignment="1">
      <alignment vertical="center"/>
    </xf>
    <xf numFmtId="0" fontId="14" fillId="0" borderId="7" xfId="0" applyNumberFormat="1" applyFont="1" applyFill="1" applyBorder="1" applyAlignment="1">
      <alignment vertical="center"/>
    </xf>
    <xf numFmtId="0" fontId="14" fillId="0" borderId="8" xfId="0" applyNumberFormat="1" applyFont="1" applyFill="1" applyBorder="1" applyAlignment="1">
      <alignment vertical="center"/>
    </xf>
    <xf numFmtId="0" fontId="14" fillId="0" borderId="25" xfId="0" applyNumberFormat="1" applyFont="1" applyFill="1" applyBorder="1" applyAlignment="1">
      <alignment vertical="center"/>
    </xf>
    <xf numFmtId="180" fontId="0" fillId="0" borderId="15" xfId="0" applyBorder="1" applyAlignment="1">
      <alignment horizontal="centerContinuous" vertical="center"/>
    </xf>
    <xf numFmtId="180" fontId="3" fillId="0" borderId="13" xfId="0" applyFont="1" applyBorder="1" applyAlignment="1">
      <alignment horizontal="centerContinuous" vertical="center"/>
    </xf>
    <xf numFmtId="40" fontId="3" fillId="0" borderId="26" xfId="0" applyNumberFormat="1" applyFont="1" applyBorder="1" applyAlignment="1">
      <alignment horizontal="centerContinuous" vertical="center"/>
    </xf>
    <xf numFmtId="180" fontId="3" fillId="3" borderId="21" xfId="0" applyFont="1" applyFill="1" applyBorder="1" applyAlignment="1">
      <alignment horizontal="centerContinuous" vertical="center" shrinkToFit="1"/>
    </xf>
    <xf numFmtId="180" fontId="0" fillId="3" borderId="4" xfId="0" applyFill="1" applyBorder="1">
      <alignment vertical="center"/>
    </xf>
    <xf numFmtId="38" fontId="0" fillId="0" borderId="0" xfId="0" applyNumberFormat="1" applyAlignment="1">
      <alignment vertical="center" shrinkToFit="1"/>
    </xf>
    <xf numFmtId="180" fontId="3" fillId="3" borderId="8" xfId="0" applyFont="1" applyFill="1" applyBorder="1" applyAlignment="1">
      <alignment horizontal="centerContinuous" vertical="center"/>
    </xf>
    <xf numFmtId="180" fontId="3" fillId="3" borderId="7" xfId="0" applyFont="1" applyFill="1" applyBorder="1" applyAlignment="1">
      <alignment horizontal="centerContinuous" vertical="center"/>
    </xf>
    <xf numFmtId="180" fontId="3" fillId="3" borderId="25" xfId="0" applyFont="1" applyFill="1" applyBorder="1" applyAlignment="1">
      <alignment horizontal="centerContinuous" vertical="center"/>
    </xf>
    <xf numFmtId="180" fontId="3" fillId="3" borderId="53" xfId="0" applyFont="1" applyFill="1" applyBorder="1" applyAlignment="1">
      <alignment horizontal="centerContinuous" vertical="center"/>
    </xf>
    <xf numFmtId="180" fontId="0" fillId="3" borderId="7" xfId="0" applyFill="1" applyBorder="1" applyAlignment="1">
      <alignment horizontal="centerContinuous" vertical="center" shrinkToFit="1"/>
    </xf>
    <xf numFmtId="180" fontId="0" fillId="3" borderId="8" xfId="0" applyFill="1" applyBorder="1" applyAlignment="1">
      <alignment horizontal="centerContinuous" vertical="center" shrinkToFit="1"/>
    </xf>
    <xf numFmtId="180" fontId="0" fillId="3" borderId="55" xfId="0" applyFill="1" applyBorder="1" applyAlignment="1">
      <alignment horizontal="centerContinuous" vertical="center" shrinkToFit="1"/>
    </xf>
    <xf numFmtId="180" fontId="0" fillId="3" borderId="25" xfId="0" applyFill="1" applyBorder="1" applyAlignment="1">
      <alignment horizontal="centerContinuous" vertical="center" shrinkToFit="1"/>
    </xf>
    <xf numFmtId="180" fontId="14" fillId="0" borderId="13" xfId="0" applyFont="1" applyBorder="1">
      <alignment vertical="center"/>
    </xf>
    <xf numFmtId="180" fontId="14" fillId="0" borderId="15" xfId="0" applyFont="1" applyBorder="1">
      <alignment vertical="center"/>
    </xf>
    <xf numFmtId="180" fontId="14" fillId="0" borderId="27" xfId="0" applyFont="1" applyBorder="1">
      <alignment vertical="center"/>
    </xf>
    <xf numFmtId="180" fontId="14" fillId="0" borderId="28" xfId="0" applyFont="1" applyBorder="1">
      <alignment vertical="center"/>
    </xf>
    <xf numFmtId="180" fontId="14" fillId="0" borderId="16" xfId="0" applyFont="1" applyBorder="1">
      <alignment vertical="center"/>
    </xf>
    <xf numFmtId="180" fontId="14" fillId="0" borderId="23" xfId="0" applyFont="1" applyBorder="1">
      <alignment vertical="center"/>
    </xf>
    <xf numFmtId="180" fontId="14" fillId="0" borderId="1" xfId="0" applyFont="1" applyFill="1" applyBorder="1" applyAlignment="1">
      <alignment horizontal="center" vertical="center" wrapText="1"/>
    </xf>
    <xf numFmtId="180" fontId="14" fillId="0" borderId="2" xfId="0" applyFont="1" applyFill="1" applyBorder="1" applyAlignment="1">
      <alignment horizontal="center" vertical="center" wrapText="1"/>
    </xf>
    <xf numFmtId="180" fontId="3" fillId="0" borderId="2" xfId="0" applyFont="1" applyBorder="1">
      <alignment vertical="center"/>
    </xf>
    <xf numFmtId="180" fontId="3" fillId="0" borderId="14" xfId="0" applyFont="1" applyFill="1" applyBorder="1" applyAlignment="1">
      <alignment horizontal="centerContinuous" vertical="center"/>
    </xf>
    <xf numFmtId="180" fontId="3" fillId="0" borderId="15" xfId="0" applyFont="1" applyFill="1" applyBorder="1" applyAlignment="1">
      <alignment horizontal="centerContinuous" vertical="center"/>
    </xf>
    <xf numFmtId="180" fontId="0" fillId="0" borderId="13" xfId="0" applyBorder="1">
      <alignment vertical="center"/>
    </xf>
    <xf numFmtId="180" fontId="0" fillId="0" borderId="15" xfId="0" applyBorder="1">
      <alignment vertical="center"/>
    </xf>
    <xf numFmtId="0" fontId="3" fillId="0" borderId="13" xfId="0" applyNumberFormat="1" applyFont="1" applyFill="1" applyBorder="1" applyAlignment="1">
      <alignment vertical="center"/>
    </xf>
    <xf numFmtId="0" fontId="0" fillId="0" borderId="15" xfId="0" applyNumberFormat="1" applyBorder="1" applyAlignment="1">
      <alignment vertical="center"/>
    </xf>
    <xf numFmtId="40" fontId="3" fillId="0" borderId="13" xfId="0" applyNumberFormat="1" applyFont="1" applyFill="1" applyBorder="1" applyAlignment="1">
      <alignment horizontal="centerContinuous" vertical="center"/>
    </xf>
    <xf numFmtId="180" fontId="3" fillId="0" borderId="19" xfId="0" applyFont="1" applyBorder="1">
      <alignment vertical="center"/>
    </xf>
    <xf numFmtId="180" fontId="14" fillId="0" borderId="22" xfId="0" applyFont="1" applyFill="1" applyBorder="1" applyAlignment="1">
      <alignment horizontal="center" vertical="center" wrapText="1"/>
    </xf>
    <xf numFmtId="180" fontId="14" fillId="0" borderId="0" xfId="0" applyFont="1" applyFill="1" applyBorder="1" applyAlignment="1">
      <alignment horizontal="center" vertical="center" wrapText="1"/>
    </xf>
    <xf numFmtId="180" fontId="3" fillId="0" borderId="0" xfId="0" applyFont="1" applyBorder="1">
      <alignment vertical="center"/>
    </xf>
    <xf numFmtId="180" fontId="3" fillId="0" borderId="28" xfId="0" applyFont="1" applyFill="1" applyBorder="1" applyAlignment="1">
      <alignment horizontal="centerContinuous" vertical="center"/>
    </xf>
    <xf numFmtId="180" fontId="0" fillId="0" borderId="28" xfId="0" applyBorder="1">
      <alignment vertical="center"/>
    </xf>
    <xf numFmtId="0" fontId="3" fillId="0" borderId="27" xfId="0" applyNumberFormat="1" applyFont="1" applyFill="1" applyBorder="1" applyAlignment="1">
      <alignment vertical="center"/>
    </xf>
    <xf numFmtId="0" fontId="0" fillId="0" borderId="28" xfId="0" applyNumberFormat="1" applyBorder="1" applyAlignment="1">
      <alignment vertical="center"/>
    </xf>
    <xf numFmtId="40" fontId="3" fillId="0" borderId="27" xfId="0" applyNumberFormat="1" applyFont="1" applyFill="1" applyBorder="1" applyAlignment="1">
      <alignment horizontal="centerContinuous" vertical="center"/>
    </xf>
    <xf numFmtId="180" fontId="3" fillId="0" borderId="29" xfId="0" applyFont="1" applyBorder="1">
      <alignment vertical="center"/>
    </xf>
    <xf numFmtId="180" fontId="3" fillId="0" borderId="17" xfId="0" applyFont="1" applyFill="1" applyBorder="1" applyAlignment="1">
      <alignment horizontal="centerContinuous" vertical="center"/>
    </xf>
    <xf numFmtId="180" fontId="3" fillId="0" borderId="23" xfId="0" applyFont="1" applyFill="1" applyBorder="1" applyAlignment="1">
      <alignment horizontal="centerContinuous" vertical="center"/>
    </xf>
    <xf numFmtId="180" fontId="0" fillId="0" borderId="23" xfId="0" applyBorder="1">
      <alignment vertical="center"/>
    </xf>
    <xf numFmtId="0" fontId="3" fillId="0" borderId="16" xfId="0" applyNumberFormat="1" applyFont="1" applyFill="1" applyBorder="1" applyAlignment="1">
      <alignment vertical="center"/>
    </xf>
    <xf numFmtId="0" fontId="0" fillId="0" borderId="23" xfId="0" applyNumberFormat="1" applyBorder="1" applyAlignment="1">
      <alignment vertical="center"/>
    </xf>
    <xf numFmtId="40" fontId="3" fillId="0" borderId="16" xfId="0" applyNumberFormat="1" applyFont="1" applyFill="1" applyBorder="1" applyAlignment="1">
      <alignment horizontal="centerContinuous" vertical="center"/>
    </xf>
    <xf numFmtId="180" fontId="14" fillId="0" borderId="7" xfId="0" applyFont="1" applyFill="1" applyBorder="1" applyAlignment="1">
      <alignment horizontal="center" vertical="center" wrapText="1"/>
    </xf>
    <xf numFmtId="180" fontId="14" fillId="0" borderId="8" xfId="0" applyFont="1" applyFill="1" applyBorder="1" applyAlignment="1">
      <alignment horizontal="center" vertical="center" wrapText="1"/>
    </xf>
    <xf numFmtId="180" fontId="3" fillId="0" borderId="8" xfId="0" applyFont="1" applyBorder="1">
      <alignment vertical="center"/>
    </xf>
    <xf numFmtId="180" fontId="3" fillId="0" borderId="8" xfId="0" applyFont="1" applyFill="1" applyBorder="1" applyAlignment="1">
      <alignment horizontal="centerContinuous" vertical="center"/>
    </xf>
    <xf numFmtId="180" fontId="3" fillId="0" borderId="8" xfId="0" applyFont="1" applyFill="1" applyBorder="1" applyAlignment="1">
      <alignment horizontal="right" vertical="center"/>
    </xf>
    <xf numFmtId="180" fontId="3" fillId="0" borderId="8" xfId="0" applyFont="1" applyFill="1" applyBorder="1" applyAlignment="1">
      <alignment vertical="center" shrinkToFit="1"/>
    </xf>
    <xf numFmtId="40" fontId="3" fillId="0" borderId="8" xfId="0" applyNumberFormat="1" applyFont="1" applyFill="1" applyBorder="1" applyAlignment="1">
      <alignment horizontal="centerContinuous" vertical="center"/>
    </xf>
    <xf numFmtId="180" fontId="3" fillId="3" borderId="3" xfId="0" applyFont="1" applyFill="1" applyBorder="1" applyAlignment="1">
      <alignment horizontal="centerContinuous" vertical="center"/>
    </xf>
    <xf numFmtId="180" fontId="3" fillId="3" borderId="4" xfId="0" applyFont="1" applyFill="1" applyBorder="1" applyAlignment="1">
      <alignment horizontal="centerContinuous" vertical="center"/>
    </xf>
    <xf numFmtId="180" fontId="3" fillId="3" borderId="5" xfId="0" applyFont="1" applyFill="1" applyBorder="1" applyAlignment="1">
      <alignment horizontal="centerContinuous" vertical="center"/>
    </xf>
    <xf numFmtId="180" fontId="3" fillId="3" borderId="20" xfId="0" applyFont="1" applyFill="1" applyBorder="1" applyAlignment="1">
      <alignment horizontal="centerContinuous" vertical="center"/>
    </xf>
    <xf numFmtId="180" fontId="14" fillId="0" borderId="13" xfId="0" applyFont="1" applyFill="1" applyBorder="1" applyAlignment="1">
      <alignment horizontal="center" vertical="center"/>
    </xf>
    <xf numFmtId="40" fontId="14" fillId="0" borderId="31" xfId="0" applyNumberFormat="1" applyFont="1" applyBorder="1" applyAlignment="1">
      <alignment horizontal="centerContinuous" vertical="center"/>
    </xf>
    <xf numFmtId="40" fontId="14" fillId="0" borderId="15" xfId="0" applyNumberFormat="1" applyFont="1" applyBorder="1" applyAlignment="1">
      <alignment horizontal="centerContinuous" vertical="center"/>
    </xf>
    <xf numFmtId="40" fontId="14" fillId="0" borderId="30" xfId="0" applyNumberFormat="1" applyFont="1" applyFill="1" applyBorder="1" applyAlignment="1">
      <alignment horizontal="center" vertical="center"/>
    </xf>
    <xf numFmtId="180" fontId="14" fillId="0" borderId="14" xfId="0" applyFont="1" applyBorder="1" applyAlignment="1">
      <alignment horizontal="centerContinuous" vertical="center"/>
    </xf>
    <xf numFmtId="180" fontId="14" fillId="0" borderId="13" xfId="0" applyFont="1" applyBorder="1" applyAlignment="1">
      <alignment horizontal="centerContinuous" vertical="center"/>
    </xf>
    <xf numFmtId="180" fontId="14" fillId="0" borderId="15" xfId="0" applyFont="1" applyBorder="1" applyAlignment="1">
      <alignment horizontal="centerContinuous" vertical="center"/>
    </xf>
    <xf numFmtId="180" fontId="14" fillId="0" borderId="27" xfId="0" applyFont="1" applyFill="1" applyBorder="1" applyAlignment="1">
      <alignment horizontal="center" vertical="center"/>
    </xf>
    <xf numFmtId="40" fontId="14" fillId="0" borderId="33" xfId="0" applyNumberFormat="1" applyFont="1" applyBorder="1" applyAlignment="1">
      <alignment horizontal="centerContinuous" vertical="center"/>
    </xf>
    <xf numFmtId="40" fontId="14" fillId="0" borderId="28" xfId="0" applyNumberFormat="1" applyFont="1" applyBorder="1" applyAlignment="1">
      <alignment horizontal="centerContinuous" vertical="center"/>
    </xf>
    <xf numFmtId="40" fontId="14" fillId="0" borderId="32" xfId="0" applyNumberFormat="1" applyFont="1" applyFill="1" applyBorder="1" applyAlignment="1">
      <alignment horizontal="center" vertical="center"/>
    </xf>
    <xf numFmtId="180" fontId="14" fillId="0" borderId="26" xfId="0" applyFont="1" applyBorder="1" applyAlignment="1">
      <alignment horizontal="centerContinuous" vertical="center"/>
    </xf>
    <xf numFmtId="180" fontId="14" fillId="0" borderId="27" xfId="0" applyFont="1" applyBorder="1" applyAlignment="1">
      <alignment horizontal="centerContinuous" vertical="center"/>
    </xf>
    <xf numFmtId="180" fontId="14" fillId="0" borderId="28" xfId="0" applyFont="1" applyBorder="1" applyAlignment="1">
      <alignment horizontal="centerContinuous" vertical="center"/>
    </xf>
    <xf numFmtId="40" fontId="14" fillId="0" borderId="35" xfId="0" applyNumberFormat="1" applyFont="1" applyBorder="1" applyAlignment="1">
      <alignment horizontal="centerContinuous" vertical="center"/>
    </xf>
    <xf numFmtId="40" fontId="14" fillId="0" borderId="23" xfId="0" applyNumberFormat="1" applyFont="1" applyBorder="1" applyAlignment="1">
      <alignment horizontal="centerContinuous" vertical="center"/>
    </xf>
    <xf numFmtId="40" fontId="14" fillId="0" borderId="34" xfId="0" applyNumberFormat="1" applyFont="1" applyFill="1" applyBorder="1" applyAlignment="1">
      <alignment horizontal="center" vertical="center"/>
    </xf>
    <xf numFmtId="180" fontId="14" fillId="0" borderId="17" xfId="0" applyFont="1" applyBorder="1" applyAlignment="1">
      <alignment horizontal="centerContinuous" vertical="center"/>
    </xf>
    <xf numFmtId="180" fontId="14" fillId="0" borderId="16" xfId="0" applyFont="1" applyBorder="1" applyAlignment="1">
      <alignment horizontal="centerContinuous" vertical="center"/>
    </xf>
    <xf numFmtId="180" fontId="14" fillId="0" borderId="23" xfId="0" applyFont="1" applyBorder="1" applyAlignment="1">
      <alignment horizontal="centerContinuous" vertical="center"/>
    </xf>
    <xf numFmtId="180" fontId="3" fillId="0" borderId="13" xfId="0" applyFont="1" applyFill="1" applyBorder="1" applyAlignment="1">
      <alignment vertical="center" shrinkToFit="1"/>
    </xf>
    <xf numFmtId="180" fontId="3" fillId="0" borderId="27" xfId="0" applyFont="1" applyFill="1" applyBorder="1" applyAlignment="1">
      <alignment vertical="center" shrinkToFit="1"/>
    </xf>
    <xf numFmtId="180" fontId="3" fillId="0" borderId="16" xfId="0" applyFont="1" applyFill="1" applyBorder="1" applyAlignment="1">
      <alignment vertical="center" shrinkToFit="1"/>
    </xf>
    <xf numFmtId="180" fontId="0" fillId="3" borderId="3" xfId="0" applyFill="1" applyBorder="1">
      <alignment vertical="center"/>
    </xf>
    <xf numFmtId="180" fontId="0" fillId="3" borderId="21" xfId="0" applyFill="1" applyBorder="1">
      <alignment vertical="center"/>
    </xf>
    <xf numFmtId="180" fontId="3" fillId="3" borderId="4" xfId="0" applyFont="1" applyFill="1" applyBorder="1" applyAlignment="1">
      <alignment vertical="center"/>
    </xf>
    <xf numFmtId="180" fontId="3" fillId="3" borderId="20" xfId="0" applyFont="1" applyFill="1" applyBorder="1" applyAlignment="1">
      <alignment horizontal="center" vertical="center" shrinkToFit="1"/>
    </xf>
    <xf numFmtId="180" fontId="14" fillId="0" borderId="48" xfId="0" applyFont="1" applyFill="1" applyBorder="1" applyAlignment="1">
      <alignment vertical="center"/>
    </xf>
    <xf numFmtId="180" fontId="14" fillId="0" borderId="13" xfId="0" applyFont="1" applyFill="1" applyBorder="1" applyAlignment="1">
      <alignment horizontal="right" vertical="center" shrinkToFit="1"/>
    </xf>
    <xf numFmtId="180" fontId="14" fillId="0" borderId="49" xfId="0" applyFont="1" applyBorder="1" applyAlignment="1">
      <alignment horizontal="center" vertical="center"/>
    </xf>
    <xf numFmtId="180" fontId="14" fillId="0" borderId="27" xfId="0" applyFont="1" applyFill="1" applyBorder="1" applyAlignment="1">
      <alignment horizontal="right" vertical="center" shrinkToFit="1"/>
    </xf>
    <xf numFmtId="180" fontId="14" fillId="0" borderId="27" xfId="0" applyFont="1" applyFill="1" applyBorder="1" applyAlignment="1">
      <alignment horizontal="center" vertical="center" shrinkToFit="1"/>
    </xf>
    <xf numFmtId="180" fontId="14" fillId="4" borderId="48" xfId="0" applyFont="1" applyFill="1" applyBorder="1" applyAlignment="1">
      <alignment vertical="center"/>
    </xf>
    <xf numFmtId="180" fontId="14" fillId="4" borderId="22" xfId="0" applyFont="1" applyFill="1" applyBorder="1" applyAlignment="1">
      <alignment vertical="center"/>
    </xf>
    <xf numFmtId="180" fontId="3" fillId="3" borderId="3" xfId="0" applyFont="1" applyFill="1" applyBorder="1">
      <alignment vertical="center"/>
    </xf>
    <xf numFmtId="180" fontId="3" fillId="3" borderId="4" xfId="0" applyFont="1" applyFill="1" applyBorder="1">
      <alignment vertical="center"/>
    </xf>
    <xf numFmtId="180" fontId="3" fillId="3" borderId="21" xfId="0" applyFont="1" applyFill="1" applyBorder="1">
      <alignment vertical="center"/>
    </xf>
    <xf numFmtId="180" fontId="14" fillId="0" borderId="38" xfId="0" applyFont="1" applyFill="1" applyBorder="1" applyAlignment="1">
      <alignment horizontal="center" vertical="center" shrinkToFit="1"/>
    </xf>
    <xf numFmtId="180" fontId="14" fillId="0" borderId="27" xfId="0" applyFont="1" applyBorder="1" applyAlignment="1">
      <alignment horizontal="center" vertical="center" shrinkToFit="1"/>
    </xf>
    <xf numFmtId="180" fontId="14" fillId="0" borderId="38" xfId="0" applyFont="1" applyBorder="1" applyAlignment="1">
      <alignment horizontal="center" vertical="center" shrinkToFit="1"/>
    </xf>
    <xf numFmtId="180" fontId="14" fillId="0" borderId="14" xfId="0" applyFont="1" applyFill="1" applyBorder="1">
      <alignment vertical="center"/>
    </xf>
    <xf numFmtId="180" fontId="14" fillId="0" borderId="13" xfId="0" applyFont="1" applyFill="1" applyBorder="1" applyAlignment="1">
      <alignment horizontal="center" vertical="center" shrinkToFit="1"/>
    </xf>
    <xf numFmtId="180" fontId="14" fillId="0" borderId="26" xfId="0" applyFont="1" applyFill="1" applyBorder="1">
      <alignment vertical="center"/>
    </xf>
    <xf numFmtId="180" fontId="14" fillId="0" borderId="40" xfId="0" applyFont="1" applyFill="1" applyBorder="1">
      <alignment vertical="center"/>
    </xf>
    <xf numFmtId="180" fontId="23" fillId="0" borderId="0" xfId="0" applyFont="1">
      <alignment vertical="center"/>
    </xf>
    <xf numFmtId="180" fontId="14" fillId="0" borderId="49" xfId="0" applyFont="1" applyFill="1" applyBorder="1" applyAlignment="1">
      <alignment horizontal="right" vertical="center" shrinkToFit="1"/>
    </xf>
    <xf numFmtId="180" fontId="14" fillId="0" borderId="0" xfId="0" applyFont="1" applyBorder="1" applyAlignment="1">
      <alignment horizontal="center" vertical="center" shrinkToFit="1"/>
    </xf>
    <xf numFmtId="180" fontId="14" fillId="0" borderId="17" xfId="0" applyFont="1" applyFill="1" applyBorder="1">
      <alignment vertical="center"/>
    </xf>
    <xf numFmtId="180" fontId="14" fillId="0" borderId="16" xfId="0" applyFont="1" applyFill="1" applyBorder="1" applyAlignment="1">
      <alignment horizontal="center" vertical="center" shrinkToFit="1"/>
    </xf>
    <xf numFmtId="40" fontId="14" fillId="0" borderId="31" xfId="0" applyNumberFormat="1" applyFont="1" applyFill="1" applyBorder="1" applyAlignment="1">
      <alignment horizontal="centerContinuous" vertical="center" shrinkToFit="1"/>
    </xf>
    <xf numFmtId="40" fontId="14" fillId="0" borderId="15" xfId="0" applyNumberFormat="1" applyFont="1" applyFill="1" applyBorder="1" applyAlignment="1">
      <alignment horizontal="centerContinuous" vertical="center" shrinkToFit="1"/>
    </xf>
    <xf numFmtId="40" fontId="14" fillId="0" borderId="13" xfId="0" applyNumberFormat="1" applyFont="1" applyBorder="1" applyAlignment="1">
      <alignment horizontal="centerContinuous" vertical="center"/>
    </xf>
    <xf numFmtId="40" fontId="14" fillId="0" borderId="33" xfId="0" applyNumberFormat="1" applyFont="1" applyFill="1" applyBorder="1" applyAlignment="1">
      <alignment horizontal="centerContinuous" vertical="center" shrinkToFit="1"/>
    </xf>
    <xf numFmtId="40" fontId="14" fillId="0" borderId="28" xfId="0" applyNumberFormat="1" applyFont="1" applyFill="1" applyBorder="1" applyAlignment="1">
      <alignment horizontal="centerContinuous" vertical="center" shrinkToFit="1"/>
    </xf>
    <xf numFmtId="40" fontId="14" fillId="0" borderId="27" xfId="0" applyNumberFormat="1" applyFont="1" applyBorder="1" applyAlignment="1">
      <alignment horizontal="centerContinuous" vertical="center"/>
    </xf>
    <xf numFmtId="40" fontId="14" fillId="0" borderId="35" xfId="0" applyNumberFormat="1" applyFont="1" applyFill="1" applyBorder="1" applyAlignment="1">
      <alignment horizontal="centerContinuous" vertical="center" shrinkToFit="1"/>
    </xf>
    <xf numFmtId="40" fontId="14" fillId="0" borderId="23" xfId="0" applyNumberFormat="1" applyFont="1" applyFill="1" applyBorder="1" applyAlignment="1">
      <alignment horizontal="centerContinuous" vertical="center" shrinkToFit="1"/>
    </xf>
    <xf numFmtId="40" fontId="14" fillId="0" borderId="16" xfId="0" applyNumberFormat="1" applyFont="1" applyBorder="1" applyAlignment="1">
      <alignment horizontal="centerContinuous" vertical="center"/>
    </xf>
    <xf numFmtId="180" fontId="14" fillId="0" borderId="49" xfId="0" applyFont="1" applyFill="1" applyBorder="1" applyAlignment="1">
      <alignment horizontal="center" vertical="center" shrinkToFit="1"/>
    </xf>
    <xf numFmtId="180" fontId="14" fillId="0" borderId="49" xfId="0" applyFont="1" applyBorder="1">
      <alignment vertical="center"/>
    </xf>
    <xf numFmtId="40" fontId="14" fillId="0" borderId="61" xfId="0" applyNumberFormat="1" applyFont="1" applyFill="1" applyBorder="1" applyAlignment="1">
      <alignment horizontal="centerContinuous" vertical="center" shrinkToFit="1"/>
    </xf>
    <xf numFmtId="40" fontId="14" fillId="0" borderId="50" xfId="0" applyNumberFormat="1" applyFont="1" applyFill="1" applyBorder="1" applyAlignment="1">
      <alignment horizontal="centerContinuous" vertical="center" shrinkToFit="1"/>
    </xf>
    <xf numFmtId="180" fontId="14" fillId="0" borderId="48" xfId="0" applyFont="1" applyBorder="1" applyAlignment="1">
      <alignment horizontal="centerContinuous" vertical="center"/>
    </xf>
    <xf numFmtId="180" fontId="14" fillId="0" borderId="49" xfId="0" applyFont="1" applyBorder="1" applyAlignment="1">
      <alignment horizontal="centerContinuous" vertical="center"/>
    </xf>
    <xf numFmtId="40" fontId="14" fillId="0" borderId="61" xfId="0" applyNumberFormat="1" applyFont="1" applyBorder="1" applyAlignment="1">
      <alignment horizontal="centerContinuous" vertical="center"/>
    </xf>
    <xf numFmtId="40" fontId="14" fillId="0" borderId="49" xfId="0" applyNumberFormat="1" applyFont="1" applyBorder="1" applyAlignment="1">
      <alignment horizontal="centerContinuous" vertical="center"/>
    </xf>
    <xf numFmtId="40" fontId="14" fillId="0" borderId="50" xfId="0" applyNumberFormat="1" applyFont="1" applyBorder="1" applyAlignment="1">
      <alignment horizontal="centerContinuous" vertical="center"/>
    </xf>
    <xf numFmtId="180" fontId="14" fillId="0" borderId="7" xfId="0" applyFont="1" applyBorder="1" applyAlignment="1">
      <alignment horizontal="centerContinuous" vertical="center"/>
    </xf>
    <xf numFmtId="180" fontId="14" fillId="0" borderId="8" xfId="0" applyFont="1" applyBorder="1" applyAlignment="1">
      <alignment horizontal="centerContinuous" vertical="center"/>
    </xf>
    <xf numFmtId="40" fontId="14" fillId="0" borderId="62" xfId="0" applyNumberFormat="1" applyFont="1" applyBorder="1" applyAlignment="1">
      <alignment horizontal="centerContinuous" vertical="center"/>
    </xf>
    <xf numFmtId="40" fontId="14" fillId="0" borderId="8" xfId="0" applyNumberFormat="1" applyFont="1" applyBorder="1" applyAlignment="1">
      <alignment horizontal="centerContinuous" vertical="center"/>
    </xf>
    <xf numFmtId="40" fontId="14" fillId="0" borderId="25" xfId="0" applyNumberFormat="1" applyFont="1" applyBorder="1" applyAlignment="1">
      <alignment horizontal="centerContinuous" vertical="center"/>
    </xf>
    <xf numFmtId="180" fontId="9" fillId="0" borderId="0" xfId="0" applyFont="1" applyFill="1" applyBorder="1" applyAlignment="1">
      <alignment horizontal="center" vertical="center" wrapText="1"/>
    </xf>
    <xf numFmtId="180" fontId="3" fillId="0" borderId="0" xfId="0" applyFont="1" applyFill="1" applyBorder="1">
      <alignment vertical="center"/>
    </xf>
    <xf numFmtId="180" fontId="3" fillId="0" borderId="0" xfId="0" applyFont="1" applyFill="1" applyBorder="1" applyAlignment="1">
      <alignment horizontal="centerContinuous" vertical="center"/>
    </xf>
    <xf numFmtId="38" fontId="14" fillId="0" borderId="0" xfId="0" applyNumberFormat="1" applyFont="1" applyFill="1" applyBorder="1">
      <alignment vertical="center"/>
    </xf>
    <xf numFmtId="180" fontId="9" fillId="3" borderId="3" xfId="0" applyFont="1" applyFill="1" applyBorder="1" applyAlignment="1">
      <alignment horizontal="centerContinuous" vertical="center"/>
    </xf>
    <xf numFmtId="180" fontId="9" fillId="3" borderId="4" xfId="0" applyFont="1" applyFill="1" applyBorder="1" applyAlignment="1">
      <alignment horizontal="centerContinuous" vertical="center"/>
    </xf>
    <xf numFmtId="180" fontId="3" fillId="3" borderId="21" xfId="0" applyFont="1" applyFill="1" applyBorder="1" applyAlignment="1">
      <alignment horizontal="centerContinuous" vertical="center"/>
    </xf>
    <xf numFmtId="180" fontId="9" fillId="3" borderId="1" xfId="0" applyFont="1" applyFill="1" applyBorder="1" applyAlignment="1">
      <alignment horizontal="centerContinuous" vertical="center"/>
    </xf>
    <xf numFmtId="180" fontId="9" fillId="3" borderId="2" xfId="0" applyFont="1" applyFill="1" applyBorder="1" applyAlignment="1">
      <alignment horizontal="centerContinuous" vertical="center"/>
    </xf>
    <xf numFmtId="180" fontId="9" fillId="3" borderId="19" xfId="0" applyFont="1" applyFill="1" applyBorder="1" applyAlignment="1">
      <alignment horizontal="centerContinuous" vertical="center"/>
    </xf>
    <xf numFmtId="180" fontId="9" fillId="3" borderId="63" xfId="0" applyFont="1" applyFill="1" applyBorder="1" applyAlignment="1">
      <alignment horizontal="centerContinuous" vertical="center"/>
    </xf>
    <xf numFmtId="180" fontId="9" fillId="3" borderId="44" xfId="0" applyFont="1" applyFill="1" applyBorder="1" applyAlignment="1">
      <alignment horizontal="centerContinuous" vertical="center"/>
    </xf>
    <xf numFmtId="180" fontId="9" fillId="3" borderId="46" xfId="0" applyFont="1" applyFill="1" applyBorder="1" applyAlignment="1">
      <alignment horizontal="centerContinuous" vertical="center"/>
    </xf>
    <xf numFmtId="180" fontId="9" fillId="3" borderId="22" xfId="0" applyFont="1" applyFill="1" applyBorder="1" applyAlignment="1">
      <alignment horizontal="centerContinuous" vertical="center"/>
    </xf>
    <xf numFmtId="180" fontId="9" fillId="3" borderId="14" xfId="0" applyFont="1" applyFill="1" applyBorder="1" applyAlignment="1">
      <alignment horizontal="centerContinuous" vertical="center"/>
    </xf>
    <xf numFmtId="180" fontId="9" fillId="3" borderId="13" xfId="0" applyFont="1" applyFill="1" applyBorder="1" applyAlignment="1">
      <alignment horizontal="centerContinuous" vertical="center"/>
    </xf>
    <xf numFmtId="180" fontId="9" fillId="3" borderId="15" xfId="0" applyFont="1" applyFill="1" applyBorder="1" applyAlignment="1">
      <alignment horizontal="centerContinuous" vertical="center"/>
    </xf>
    <xf numFmtId="180" fontId="0" fillId="0" borderId="13" xfId="0" applyBorder="1" applyAlignment="1">
      <alignment horizontal="centerContinuous" vertical="center"/>
    </xf>
    <xf numFmtId="180" fontId="0" fillId="0" borderId="31" xfId="0" applyBorder="1" applyAlignment="1">
      <alignment horizontal="centerContinuous" vertical="center"/>
    </xf>
    <xf numFmtId="180" fontId="9" fillId="3" borderId="7" xfId="0" applyFont="1" applyFill="1" applyBorder="1" applyAlignment="1">
      <alignment horizontal="centerContinuous" vertical="center"/>
    </xf>
    <xf numFmtId="180" fontId="9" fillId="3" borderId="17" xfId="0" applyFont="1" applyFill="1" applyBorder="1" applyAlignment="1">
      <alignment horizontal="centerContinuous" vertical="center"/>
    </xf>
    <xf numFmtId="180" fontId="9" fillId="3" borderId="16" xfId="0" applyFont="1" applyFill="1" applyBorder="1" applyAlignment="1">
      <alignment horizontal="centerContinuous" vertical="center"/>
    </xf>
    <xf numFmtId="180" fontId="9" fillId="3" borderId="23" xfId="0" applyFont="1" applyFill="1" applyBorder="1" applyAlignment="1">
      <alignment horizontal="centerContinuous" vertical="center"/>
    </xf>
    <xf numFmtId="180" fontId="0" fillId="0" borderId="35" xfId="0" applyBorder="1" applyAlignment="1">
      <alignment horizontal="centerContinuous" vertical="center"/>
    </xf>
    <xf numFmtId="180" fontId="14" fillId="0" borderId="38" xfId="0" applyFont="1" applyBorder="1" applyAlignment="1">
      <alignment horizontal="centerContinuous" vertical="center"/>
    </xf>
    <xf numFmtId="180" fontId="14" fillId="0" borderId="39" xfId="0" applyFont="1" applyBorder="1" applyAlignment="1">
      <alignment horizontal="centerContinuous" vertical="center"/>
    </xf>
    <xf numFmtId="178" fontId="3" fillId="0" borderId="14" xfId="0" applyNumberFormat="1" applyFont="1" applyFill="1" applyBorder="1" applyAlignment="1">
      <alignment horizontal="centerContinuous" vertical="center"/>
    </xf>
    <xf numFmtId="178" fontId="3" fillId="0" borderId="13" xfId="0" applyNumberFormat="1" applyFont="1" applyFill="1" applyBorder="1" applyAlignment="1">
      <alignment horizontal="centerContinuous" vertical="center"/>
    </xf>
    <xf numFmtId="40" fontId="3" fillId="0" borderId="31" xfId="0" applyNumberFormat="1" applyFont="1" applyFill="1" applyBorder="1" applyAlignment="1">
      <alignment horizontal="centerContinuous" vertical="center"/>
    </xf>
    <xf numFmtId="178" fontId="3" fillId="0" borderId="14" xfId="0" applyNumberFormat="1" applyFont="1" applyFill="1" applyBorder="1" applyAlignment="1">
      <alignment horizontal="centerContinuous" vertical="center" shrinkToFit="1"/>
    </xf>
    <xf numFmtId="178" fontId="3" fillId="0" borderId="13" xfId="0" applyNumberFormat="1" applyFont="1" applyFill="1" applyBorder="1" applyAlignment="1">
      <alignment horizontal="centerContinuous" vertical="center" shrinkToFit="1"/>
    </xf>
    <xf numFmtId="178" fontId="3" fillId="0" borderId="15" xfId="0" applyNumberFormat="1" applyFont="1" applyFill="1" applyBorder="1" applyAlignment="1">
      <alignment horizontal="centerContinuous" vertical="center"/>
    </xf>
    <xf numFmtId="178" fontId="3" fillId="0" borderId="30" xfId="0" applyNumberFormat="1" applyFont="1" applyFill="1" applyBorder="1" applyAlignment="1">
      <alignment horizontal="centerContinuous" vertical="center"/>
    </xf>
    <xf numFmtId="178" fontId="3" fillId="0" borderId="64" xfId="0" applyNumberFormat="1" applyFont="1" applyFill="1" applyBorder="1" applyAlignment="1">
      <alignment horizontal="centerContinuous" vertical="center"/>
    </xf>
    <xf numFmtId="40" fontId="3" fillId="0" borderId="64" xfId="0" applyNumberFormat="1" applyFont="1" applyFill="1" applyBorder="1" applyAlignment="1">
      <alignment horizontal="centerContinuous" vertical="center"/>
    </xf>
    <xf numFmtId="178" fontId="3" fillId="0" borderId="65" xfId="0" applyNumberFormat="1" applyFont="1" applyFill="1" applyBorder="1" applyAlignment="1">
      <alignment horizontal="centerContinuous" vertical="center" shrinkToFit="1"/>
    </xf>
    <xf numFmtId="178" fontId="3" fillId="0" borderId="64" xfId="0" applyNumberFormat="1" applyFont="1" applyFill="1" applyBorder="1" applyAlignment="1">
      <alignment horizontal="centerContinuous" vertical="center" shrinkToFit="1"/>
    </xf>
    <xf numFmtId="180" fontId="0" fillId="0" borderId="66" xfId="0" applyBorder="1">
      <alignment vertical="center"/>
    </xf>
    <xf numFmtId="180" fontId="0" fillId="0" borderId="47" xfId="0" applyBorder="1">
      <alignment vertical="center"/>
    </xf>
    <xf numFmtId="178" fontId="3" fillId="0" borderId="26" xfId="0" applyNumberFormat="1" applyFont="1" applyFill="1" applyBorder="1" applyAlignment="1">
      <alignment horizontal="centerContinuous" vertical="center"/>
    </xf>
    <xf numFmtId="178" fontId="3" fillId="0" borderId="27" xfId="0" applyNumberFormat="1" applyFont="1" applyFill="1" applyBorder="1" applyAlignment="1">
      <alignment horizontal="centerContinuous" vertical="center"/>
    </xf>
    <xf numFmtId="40" fontId="3" fillId="0" borderId="33" xfId="0" applyNumberFormat="1" applyFont="1" applyFill="1" applyBorder="1" applyAlignment="1">
      <alignment horizontal="centerContinuous" vertical="center"/>
    </xf>
    <xf numFmtId="178" fontId="3" fillId="0" borderId="26" xfId="0" applyNumberFormat="1" applyFont="1" applyFill="1" applyBorder="1" applyAlignment="1">
      <alignment horizontal="centerContinuous" vertical="center" shrinkToFit="1"/>
    </xf>
    <xf numFmtId="178" fontId="3" fillId="0" borderId="27" xfId="0" applyNumberFormat="1" applyFont="1" applyFill="1" applyBorder="1" applyAlignment="1">
      <alignment horizontal="centerContinuous" vertical="center" shrinkToFit="1"/>
    </xf>
    <xf numFmtId="178" fontId="3" fillId="0" borderId="28" xfId="0" applyNumberFormat="1" applyFont="1" applyFill="1" applyBorder="1" applyAlignment="1">
      <alignment horizontal="centerContinuous" vertical="center"/>
    </xf>
    <xf numFmtId="178" fontId="3" fillId="0" borderId="32" xfId="0" applyNumberFormat="1" applyFont="1" applyFill="1" applyBorder="1" applyAlignment="1">
      <alignment horizontal="centerContinuous" vertical="center"/>
    </xf>
    <xf numFmtId="178" fontId="3" fillId="0" borderId="67" xfId="0" applyNumberFormat="1" applyFont="1" applyFill="1" applyBorder="1" applyAlignment="1">
      <alignment horizontal="centerContinuous" vertical="center"/>
    </xf>
    <xf numFmtId="40" fontId="3" fillId="0" borderId="67" xfId="0" applyNumberFormat="1" applyFont="1" applyFill="1" applyBorder="1" applyAlignment="1">
      <alignment horizontal="centerContinuous" vertical="center"/>
    </xf>
    <xf numFmtId="178" fontId="3" fillId="0" borderId="68" xfId="0" applyNumberFormat="1" applyFont="1" applyFill="1" applyBorder="1" applyAlignment="1">
      <alignment horizontal="centerContinuous" vertical="center" shrinkToFit="1"/>
    </xf>
    <xf numFmtId="178" fontId="3" fillId="0" borderId="67" xfId="0" applyNumberFormat="1" applyFont="1" applyFill="1" applyBorder="1" applyAlignment="1">
      <alignment horizontal="centerContinuous" vertical="center" shrinkToFit="1"/>
    </xf>
    <xf numFmtId="178" fontId="3" fillId="0" borderId="34" xfId="0" applyNumberFormat="1" applyFont="1" applyFill="1" applyBorder="1" applyAlignment="1">
      <alignment horizontal="centerContinuous" vertical="center"/>
    </xf>
    <xf numFmtId="178" fontId="3" fillId="0" borderId="69" xfId="0" applyNumberFormat="1" applyFont="1" applyFill="1" applyBorder="1" applyAlignment="1">
      <alignment horizontal="centerContinuous" vertical="center"/>
    </xf>
    <xf numFmtId="40" fontId="3" fillId="0" borderId="69" xfId="0" applyNumberFormat="1" applyFont="1" applyFill="1" applyBorder="1" applyAlignment="1">
      <alignment horizontal="centerContinuous" vertical="center"/>
    </xf>
    <xf numFmtId="178" fontId="3" fillId="4" borderId="17" xfId="0" applyNumberFormat="1" applyFont="1" applyFill="1" applyBorder="1" applyAlignment="1">
      <alignment horizontal="centerContinuous" vertical="center"/>
    </xf>
    <xf numFmtId="178" fontId="3" fillId="4" borderId="16" xfId="0" applyNumberFormat="1" applyFont="1" applyFill="1" applyBorder="1" applyAlignment="1">
      <alignment horizontal="centerContinuous" vertical="center"/>
    </xf>
    <xf numFmtId="40" fontId="3" fillId="4" borderId="35" xfId="0" applyNumberFormat="1" applyFont="1" applyFill="1" applyBorder="1" applyAlignment="1">
      <alignment horizontal="centerContinuous" vertical="center"/>
    </xf>
    <xf numFmtId="178" fontId="3" fillId="0" borderId="17" xfId="0" applyNumberFormat="1" applyFont="1" applyFill="1" applyBorder="1" applyAlignment="1">
      <alignment horizontal="centerContinuous" vertical="center" shrinkToFit="1"/>
    </xf>
    <xf numFmtId="178" fontId="3" fillId="0" borderId="16" xfId="0" applyNumberFormat="1" applyFont="1" applyFill="1" applyBorder="1" applyAlignment="1">
      <alignment horizontal="centerContinuous" vertical="center" shrinkToFit="1"/>
    </xf>
    <xf numFmtId="40" fontId="3" fillId="0" borderId="35" xfId="0" applyNumberFormat="1" applyFont="1" applyFill="1" applyBorder="1" applyAlignment="1">
      <alignment horizontal="centerContinuous" vertical="center"/>
    </xf>
    <xf numFmtId="178" fontId="3" fillId="0" borderId="16" xfId="0" applyNumberFormat="1" applyFont="1" applyFill="1" applyBorder="1" applyAlignment="1">
      <alignment horizontal="centerContinuous" vertical="center"/>
    </xf>
    <xf numFmtId="178" fontId="3" fillId="0" borderId="23" xfId="0" applyNumberFormat="1" applyFont="1" applyFill="1" applyBorder="1" applyAlignment="1">
      <alignment horizontal="centerContinuous" vertical="center"/>
    </xf>
    <xf numFmtId="178" fontId="3" fillId="0" borderId="69" xfId="0" applyNumberFormat="1" applyFont="1" applyFill="1" applyBorder="1" applyAlignment="1">
      <alignment horizontal="centerContinuous" vertical="center" shrinkToFit="1"/>
    </xf>
    <xf numFmtId="180" fontId="0" fillId="0" borderId="7" xfId="0" applyBorder="1">
      <alignment vertical="center"/>
    </xf>
    <xf numFmtId="180" fontId="0" fillId="0" borderId="25" xfId="0" applyBorder="1" applyAlignment="1">
      <alignment vertical="center" shrinkToFit="1"/>
    </xf>
    <xf numFmtId="180" fontId="10" fillId="3" borderId="63" xfId="0" applyFont="1" applyFill="1" applyBorder="1" applyAlignment="1">
      <alignment vertical="center"/>
    </xf>
    <xf numFmtId="180" fontId="10" fillId="3" borderId="44" xfId="0" applyFont="1" applyFill="1" applyBorder="1" applyAlignment="1">
      <alignment vertical="center"/>
    </xf>
    <xf numFmtId="180" fontId="10" fillId="3" borderId="44" xfId="0" applyFont="1" applyFill="1" applyBorder="1" applyAlignment="1">
      <alignment horizontal="centerContinuous" vertical="center" shrinkToFit="1"/>
    </xf>
    <xf numFmtId="180" fontId="10" fillId="3" borderId="72" xfId="0" applyFont="1" applyFill="1" applyBorder="1" applyAlignment="1">
      <alignment horizontal="centerContinuous" vertical="center" shrinkToFit="1"/>
    </xf>
    <xf numFmtId="0" fontId="9" fillId="0" borderId="44" xfId="0" applyNumberFormat="1" applyFont="1" applyFill="1" applyBorder="1" applyAlignment="1">
      <alignment vertical="center"/>
    </xf>
    <xf numFmtId="0" fontId="3" fillId="0" borderId="44" xfId="0" applyNumberFormat="1" applyFont="1" applyFill="1" applyBorder="1" applyAlignment="1">
      <alignment vertical="center"/>
    </xf>
    <xf numFmtId="0" fontId="3" fillId="0" borderId="46" xfId="0" applyNumberFormat="1" applyFont="1" applyFill="1" applyBorder="1" applyAlignment="1">
      <alignment vertical="center"/>
    </xf>
    <xf numFmtId="180" fontId="10" fillId="3" borderId="73" xfId="0" applyFont="1" applyFill="1" applyBorder="1" applyAlignment="1">
      <alignment vertical="center"/>
    </xf>
    <xf numFmtId="180" fontId="10" fillId="3" borderId="0" xfId="0" applyFont="1" applyFill="1" applyBorder="1" applyAlignment="1">
      <alignment vertical="center"/>
    </xf>
    <xf numFmtId="180" fontId="10" fillId="3" borderId="0" xfId="0" applyFont="1" applyFill="1" applyBorder="1" applyAlignment="1">
      <alignment horizontal="centerContinuous" vertical="center" shrinkToFit="1"/>
    </xf>
    <xf numFmtId="0" fontId="9"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54" xfId="0" applyNumberFormat="1" applyFont="1" applyFill="1" applyBorder="1" applyAlignment="1">
      <alignment vertical="center"/>
    </xf>
    <xf numFmtId="180" fontId="10" fillId="3" borderId="74" xfId="0" applyFont="1" applyFill="1" applyBorder="1" applyAlignment="1">
      <alignment vertical="center"/>
    </xf>
    <xf numFmtId="180" fontId="10" fillId="3" borderId="4" xfId="0" applyFont="1" applyFill="1" applyBorder="1" applyAlignment="1">
      <alignment vertical="center"/>
    </xf>
    <xf numFmtId="0" fontId="9" fillId="0" borderId="4"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21" xfId="0" applyNumberFormat="1" applyFont="1" applyFill="1" applyBorder="1" applyAlignment="1">
      <alignment vertical="center"/>
    </xf>
    <xf numFmtId="180" fontId="10" fillId="3" borderId="75" xfId="0" applyFont="1" applyFill="1" applyBorder="1" applyAlignment="1">
      <alignment vertical="center"/>
    </xf>
    <xf numFmtId="180" fontId="10" fillId="3" borderId="76" xfId="0" applyFont="1" applyFill="1" applyBorder="1" applyAlignment="1">
      <alignment vertical="center"/>
    </xf>
    <xf numFmtId="180" fontId="10" fillId="3" borderId="76" xfId="0" applyFont="1" applyFill="1" applyBorder="1" applyAlignment="1">
      <alignment horizontal="centerContinuous" vertical="center" shrinkToFit="1"/>
    </xf>
    <xf numFmtId="180" fontId="10" fillId="3" borderId="77" xfId="0" applyFont="1" applyFill="1" applyBorder="1" applyAlignment="1">
      <alignment horizontal="centerContinuous" vertical="center" shrinkToFit="1"/>
    </xf>
    <xf numFmtId="0" fontId="9" fillId="0" borderId="76" xfId="0" applyNumberFormat="1" applyFont="1" applyFill="1" applyBorder="1" applyAlignment="1">
      <alignment vertical="center"/>
    </xf>
    <xf numFmtId="0" fontId="3" fillId="0" borderId="76" xfId="0" applyNumberFormat="1" applyFont="1" applyFill="1" applyBorder="1" applyAlignment="1">
      <alignment vertical="center"/>
    </xf>
    <xf numFmtId="0" fontId="3" fillId="0" borderId="78" xfId="0" applyNumberFormat="1" applyFont="1" applyFill="1" applyBorder="1" applyAlignment="1">
      <alignment vertical="center"/>
    </xf>
    <xf numFmtId="180" fontId="14" fillId="0" borderId="0" xfId="0" applyFont="1" applyFill="1">
      <alignment vertical="center"/>
    </xf>
    <xf numFmtId="180" fontId="14" fillId="0" borderId="0" xfId="0" applyFont="1">
      <alignment vertical="center"/>
    </xf>
    <xf numFmtId="180" fontId="14" fillId="2" borderId="0" xfId="0" applyFont="1" applyFill="1">
      <alignment vertical="center"/>
    </xf>
    <xf numFmtId="180" fontId="25" fillId="0" borderId="8" xfId="0" applyFont="1" applyBorder="1">
      <alignment vertical="center"/>
    </xf>
    <xf numFmtId="180" fontId="11" fillId="0" borderId="8" xfId="0" applyFont="1" applyBorder="1">
      <alignment vertical="center"/>
    </xf>
    <xf numFmtId="180" fontId="11" fillId="3" borderId="3" xfId="0" applyFont="1" applyFill="1" applyBorder="1" applyAlignment="1">
      <alignment horizontal="centerContinuous" vertical="center"/>
    </xf>
    <xf numFmtId="180" fontId="11" fillId="3" borderId="5" xfId="0" applyFont="1" applyFill="1" applyBorder="1" applyAlignment="1">
      <alignment horizontal="centerContinuous" vertical="center"/>
    </xf>
    <xf numFmtId="180" fontId="14" fillId="3" borderId="4" xfId="0" applyFont="1" applyFill="1" applyBorder="1">
      <alignment vertical="center"/>
    </xf>
    <xf numFmtId="180" fontId="14" fillId="3" borderId="5" xfId="0" applyFont="1" applyFill="1" applyBorder="1">
      <alignment vertical="center"/>
    </xf>
    <xf numFmtId="177" fontId="14" fillId="0" borderId="0" xfId="0" applyNumberFormat="1" applyFont="1">
      <alignment vertical="center"/>
    </xf>
    <xf numFmtId="180" fontId="14" fillId="6" borderId="48" xfId="0" applyFont="1" applyFill="1" applyBorder="1">
      <alignment vertical="center"/>
    </xf>
    <xf numFmtId="180" fontId="14" fillId="0" borderId="79" xfId="0" applyFont="1" applyBorder="1" applyAlignment="1">
      <alignment horizontal="center" vertical="center"/>
    </xf>
    <xf numFmtId="177" fontId="14" fillId="4" borderId="48" xfId="0" applyNumberFormat="1" applyFont="1" applyFill="1" applyBorder="1">
      <alignment vertical="center"/>
    </xf>
    <xf numFmtId="177" fontId="14" fillId="0" borderId="49" xfId="0" applyNumberFormat="1" applyFont="1" applyBorder="1" applyAlignment="1">
      <alignment horizontal="center" vertical="center"/>
    </xf>
    <xf numFmtId="177" fontId="14" fillId="4" borderId="49" xfId="0" applyNumberFormat="1" applyFont="1" applyFill="1" applyBorder="1">
      <alignment vertical="center"/>
    </xf>
    <xf numFmtId="177" fontId="14" fillId="0" borderId="49" xfId="0" applyNumberFormat="1" applyFont="1" applyBorder="1">
      <alignment vertical="center"/>
    </xf>
    <xf numFmtId="177" fontId="14" fillId="0" borderId="50" xfId="0" applyNumberFormat="1" applyFont="1" applyFill="1" applyBorder="1">
      <alignment vertical="center"/>
    </xf>
    <xf numFmtId="180" fontId="14" fillId="0" borderId="80" xfId="0" applyFont="1" applyBorder="1" applyAlignment="1">
      <alignment horizontal="center" vertical="center"/>
    </xf>
    <xf numFmtId="177" fontId="14" fillId="0" borderId="27" xfId="0" applyNumberFormat="1" applyFont="1" applyBorder="1" applyAlignment="1">
      <alignment horizontal="center" vertical="center"/>
    </xf>
    <xf numFmtId="177" fontId="14" fillId="4" borderId="27" xfId="0" applyNumberFormat="1" applyFont="1" applyFill="1" applyBorder="1">
      <alignment vertical="center"/>
    </xf>
    <xf numFmtId="177" fontId="14" fillId="0" borderId="27" xfId="0" applyNumberFormat="1" applyFont="1" applyBorder="1">
      <alignment vertical="center"/>
    </xf>
    <xf numFmtId="177" fontId="14" fillId="0" borderId="28" xfId="0" applyNumberFormat="1" applyFont="1" applyFill="1" applyBorder="1">
      <alignment vertical="center"/>
    </xf>
    <xf numFmtId="177" fontId="14" fillId="4" borderId="26" xfId="0" applyNumberFormat="1" applyFont="1" applyFill="1" applyBorder="1">
      <alignment vertical="center"/>
    </xf>
    <xf numFmtId="40" fontId="14" fillId="4" borderId="26" xfId="0" applyNumberFormat="1" applyFont="1" applyFill="1" applyBorder="1">
      <alignment vertical="center"/>
    </xf>
    <xf numFmtId="40" fontId="14" fillId="0" borderId="27" xfId="0" applyNumberFormat="1" applyFont="1" applyBorder="1" applyAlignment="1">
      <alignment horizontal="center" vertical="center"/>
    </xf>
    <xf numFmtId="40" fontId="14" fillId="4" borderId="27" xfId="0" applyNumberFormat="1" applyFont="1" applyFill="1" applyBorder="1">
      <alignment vertical="center"/>
    </xf>
    <xf numFmtId="40" fontId="14" fillId="0" borderId="27" xfId="0" applyNumberFormat="1" applyFont="1" applyBorder="1">
      <alignment vertical="center"/>
    </xf>
    <xf numFmtId="40" fontId="14" fillId="0" borderId="28" xfId="0" applyNumberFormat="1" applyFont="1" applyFill="1" applyBorder="1">
      <alignment vertical="center"/>
    </xf>
    <xf numFmtId="180" fontId="14" fillId="0" borderId="53" xfId="0" applyFont="1" applyBorder="1" applyAlignment="1">
      <alignment horizontal="center" vertical="center"/>
    </xf>
    <xf numFmtId="40" fontId="14" fillId="4" borderId="7" xfId="0" applyNumberFormat="1" applyFont="1" applyFill="1" applyBorder="1">
      <alignment vertical="center"/>
    </xf>
    <xf numFmtId="40" fontId="14" fillId="0" borderId="8" xfId="0" applyNumberFormat="1" applyFont="1" applyBorder="1" applyAlignment="1">
      <alignment horizontal="center" vertical="center"/>
    </xf>
    <xf numFmtId="40" fontId="14" fillId="4" borderId="8" xfId="0" applyNumberFormat="1" applyFont="1" applyFill="1" applyBorder="1">
      <alignment vertical="center"/>
    </xf>
    <xf numFmtId="40" fontId="14" fillId="0" borderId="25" xfId="0" applyNumberFormat="1" applyFont="1" applyFill="1" applyBorder="1">
      <alignment vertical="center"/>
    </xf>
    <xf numFmtId="40" fontId="14" fillId="4" borderId="48" xfId="0" applyNumberFormat="1" applyFont="1" applyFill="1" applyBorder="1">
      <alignment vertical="center"/>
    </xf>
    <xf numFmtId="40" fontId="14" fillId="0" borderId="49" xfId="0" applyNumberFormat="1" applyFont="1" applyBorder="1" applyAlignment="1">
      <alignment horizontal="center" vertical="center"/>
    </xf>
    <xf numFmtId="40" fontId="14" fillId="4" borderId="49" xfId="0" applyNumberFormat="1" applyFont="1" applyFill="1" applyBorder="1">
      <alignment vertical="center"/>
    </xf>
    <xf numFmtId="40" fontId="14" fillId="0" borderId="49" xfId="0" applyNumberFormat="1" applyFont="1" applyBorder="1">
      <alignment vertical="center"/>
    </xf>
    <xf numFmtId="40" fontId="14" fillId="0" borderId="50" xfId="0" applyNumberFormat="1" applyFont="1" applyFill="1" applyBorder="1">
      <alignment vertical="center"/>
    </xf>
    <xf numFmtId="180" fontId="14" fillId="0" borderId="81" xfId="0" applyFont="1" applyBorder="1" applyAlignment="1">
      <alignment horizontal="center" vertical="center"/>
    </xf>
    <xf numFmtId="40" fontId="14" fillId="4" borderId="40" xfId="0" applyNumberFormat="1" applyFont="1" applyFill="1" applyBorder="1">
      <alignment vertical="center"/>
    </xf>
    <xf numFmtId="40" fontId="14" fillId="0" borderId="38" xfId="0" applyNumberFormat="1" applyFont="1" applyBorder="1" applyAlignment="1">
      <alignment horizontal="center" vertical="center"/>
    </xf>
    <xf numFmtId="40" fontId="14" fillId="4" borderId="38" xfId="0" applyNumberFormat="1" applyFont="1" applyFill="1" applyBorder="1">
      <alignment vertical="center"/>
    </xf>
    <xf numFmtId="40" fontId="14" fillId="0" borderId="38" xfId="0" applyNumberFormat="1" applyFont="1" applyBorder="1">
      <alignment vertical="center"/>
    </xf>
    <xf numFmtId="40" fontId="14" fillId="0" borderId="39" xfId="0" applyNumberFormat="1" applyFont="1" applyFill="1" applyBorder="1">
      <alignment vertical="center"/>
    </xf>
    <xf numFmtId="180" fontId="14" fillId="4" borderId="7" xfId="0" applyFont="1" applyFill="1" applyBorder="1">
      <alignment vertical="center"/>
    </xf>
    <xf numFmtId="180" fontId="14" fillId="0" borderId="8" xfId="0" applyFont="1" applyBorder="1" applyAlignment="1">
      <alignment horizontal="center" vertical="center"/>
    </xf>
    <xf numFmtId="180" fontId="14" fillId="4" borderId="8" xfId="0" applyFont="1" applyFill="1" applyBorder="1">
      <alignment vertical="center"/>
    </xf>
    <xf numFmtId="180" fontId="14" fillId="0" borderId="25" xfId="0" applyFont="1" applyFill="1" applyBorder="1">
      <alignment vertical="center"/>
    </xf>
    <xf numFmtId="180" fontId="14" fillId="0" borderId="82" xfId="0" applyFont="1" applyBorder="1" applyAlignment="1">
      <alignment horizontal="center" vertical="center"/>
    </xf>
    <xf numFmtId="180" fontId="14" fillId="0" borderId="2" xfId="0" applyFont="1" applyBorder="1">
      <alignment vertical="center"/>
    </xf>
    <xf numFmtId="180" fontId="14" fillId="3" borderId="4" xfId="0" applyFont="1" applyFill="1" applyBorder="1" applyAlignment="1">
      <alignment vertical="center"/>
    </xf>
    <xf numFmtId="180" fontId="14" fillId="3" borderId="3" xfId="0" applyFont="1" applyFill="1" applyBorder="1" applyAlignment="1">
      <alignment vertical="center"/>
    </xf>
    <xf numFmtId="180" fontId="3" fillId="3" borderId="4" xfId="0" applyFont="1" applyFill="1" applyBorder="1" applyAlignment="1">
      <alignment horizontal="center" vertical="center"/>
    </xf>
    <xf numFmtId="40" fontId="14" fillId="0" borderId="20" xfId="0" applyNumberFormat="1" applyFont="1" applyFill="1" applyBorder="1" applyAlignment="1">
      <alignment horizontal="right" vertical="center"/>
    </xf>
    <xf numFmtId="180" fontId="14" fillId="0" borderId="0" xfId="0" applyFont="1" applyBorder="1">
      <alignment vertical="center"/>
    </xf>
    <xf numFmtId="180" fontId="10" fillId="0" borderId="0" xfId="0" applyFont="1" applyBorder="1">
      <alignment vertical="center"/>
    </xf>
    <xf numFmtId="180" fontId="10" fillId="0" borderId="8" xfId="0" applyFont="1" applyBorder="1">
      <alignment vertical="center"/>
    </xf>
    <xf numFmtId="180" fontId="14" fillId="0" borderId="27" xfId="0" applyFont="1" applyBorder="1" applyAlignment="1">
      <alignment horizontal="center" vertical="center"/>
    </xf>
    <xf numFmtId="180" fontId="14" fillId="6" borderId="17" xfId="0" applyFont="1" applyFill="1" applyBorder="1">
      <alignment vertical="center"/>
    </xf>
    <xf numFmtId="180" fontId="14" fillId="0" borderId="83" xfId="0" applyFont="1" applyBorder="1" applyAlignment="1">
      <alignment horizontal="center" vertical="center"/>
    </xf>
    <xf numFmtId="180" fontId="14" fillId="0" borderId="16" xfId="0" applyFont="1" applyBorder="1" applyAlignment="1">
      <alignment horizontal="center" vertical="center"/>
    </xf>
    <xf numFmtId="40" fontId="14" fillId="0" borderId="23" xfId="0" applyNumberFormat="1" applyFont="1" applyFill="1" applyBorder="1">
      <alignment vertical="center"/>
    </xf>
    <xf numFmtId="40" fontId="14" fillId="0" borderId="20" xfId="0" applyNumberFormat="1" applyFont="1" applyFill="1" applyBorder="1" applyAlignment="1">
      <alignment vertical="center"/>
    </xf>
    <xf numFmtId="180" fontId="10" fillId="0" borderId="0" xfId="0" applyFont="1">
      <alignment vertical="center"/>
    </xf>
    <xf numFmtId="180" fontId="11" fillId="4" borderId="48" xfId="0" applyFont="1" applyFill="1" applyBorder="1">
      <alignment vertical="center"/>
    </xf>
    <xf numFmtId="40" fontId="14" fillId="0" borderId="50" xfId="0" applyNumberFormat="1" applyFont="1" applyBorder="1">
      <alignment vertical="center"/>
    </xf>
    <xf numFmtId="180" fontId="11" fillId="4" borderId="27" xfId="0" applyFont="1" applyFill="1" applyBorder="1">
      <alignment vertical="center"/>
    </xf>
    <xf numFmtId="40" fontId="14" fillId="0" borderId="28" xfId="0" applyNumberFormat="1" applyFont="1" applyBorder="1">
      <alignment vertical="center"/>
    </xf>
    <xf numFmtId="180" fontId="11" fillId="4" borderId="16" xfId="0" applyFont="1" applyFill="1" applyBorder="1">
      <alignment vertical="center"/>
    </xf>
    <xf numFmtId="180" fontId="14" fillId="6" borderId="79" xfId="0" applyFont="1" applyFill="1" applyBorder="1">
      <alignment vertical="center"/>
    </xf>
    <xf numFmtId="180" fontId="14" fillId="6" borderId="83" xfId="0" applyFont="1" applyFill="1" applyBorder="1">
      <alignment vertical="center"/>
    </xf>
    <xf numFmtId="180" fontId="11" fillId="4" borderId="79" xfId="0" applyFont="1" applyFill="1" applyBorder="1">
      <alignment vertical="center"/>
    </xf>
    <xf numFmtId="180" fontId="11" fillId="4" borderId="28" xfId="0" applyFont="1" applyFill="1" applyBorder="1">
      <alignment vertical="center"/>
    </xf>
    <xf numFmtId="180" fontId="11" fillId="4" borderId="23" xfId="0" applyFont="1" applyFill="1" applyBorder="1">
      <alignment vertical="center"/>
    </xf>
    <xf numFmtId="180" fontId="14" fillId="0" borderId="22" xfId="0" applyFont="1" applyBorder="1">
      <alignment vertical="center"/>
    </xf>
    <xf numFmtId="180" fontId="14" fillId="0" borderId="29" xfId="0" applyFont="1" applyBorder="1">
      <alignment vertical="center"/>
    </xf>
    <xf numFmtId="180" fontId="14" fillId="0" borderId="7" xfId="0" applyFont="1" applyBorder="1">
      <alignment vertical="center"/>
    </xf>
    <xf numFmtId="180" fontId="9" fillId="3" borderId="4" xfId="0" applyFont="1" applyFill="1" applyBorder="1" applyAlignment="1">
      <alignment horizontal="center" vertical="center"/>
    </xf>
    <xf numFmtId="180" fontId="25" fillId="0" borderId="0" xfId="0" applyFont="1">
      <alignment vertical="center"/>
    </xf>
    <xf numFmtId="180" fontId="0" fillId="3" borderId="84" xfId="0" applyFill="1" applyBorder="1" applyAlignment="1">
      <alignment horizontal="centerContinuous" vertical="center"/>
    </xf>
    <xf numFmtId="180" fontId="0" fillId="3" borderId="20" xfId="0" applyFill="1" applyBorder="1" applyAlignment="1">
      <alignment horizontal="center" vertical="center"/>
    </xf>
    <xf numFmtId="40" fontId="14" fillId="0" borderId="0" xfId="0" applyNumberFormat="1" applyFont="1" applyBorder="1">
      <alignment vertical="center"/>
    </xf>
    <xf numFmtId="180" fontId="0" fillId="3" borderId="53" xfId="0" applyFill="1" applyBorder="1" applyAlignment="1">
      <alignment horizontal="center" vertical="center"/>
    </xf>
    <xf numFmtId="180" fontId="14" fillId="0" borderId="4" xfId="0" applyFont="1" applyBorder="1" applyAlignment="1">
      <alignment horizontal="center" vertical="center"/>
    </xf>
    <xf numFmtId="180" fontId="14" fillId="0" borderId="4" xfId="0" applyFont="1" applyBorder="1">
      <alignment vertical="center"/>
    </xf>
    <xf numFmtId="180" fontId="14" fillId="0" borderId="85" xfId="0" applyFont="1" applyFill="1" applyBorder="1">
      <alignment vertical="center"/>
    </xf>
    <xf numFmtId="180" fontId="0" fillId="3" borderId="36" xfId="0" applyFill="1" applyBorder="1" applyAlignment="1">
      <alignment horizontal="center" vertical="center"/>
    </xf>
    <xf numFmtId="0" fontId="3" fillId="3" borderId="4" xfId="7" applyFont="1" applyFill="1" applyBorder="1" applyAlignment="1">
      <alignment horizontal="centerContinuous" vertical="center"/>
    </xf>
    <xf numFmtId="0" fontId="3" fillId="3" borderId="6" xfId="7" applyFont="1" applyFill="1" applyBorder="1" applyAlignment="1">
      <alignment horizontal="centerContinuous" vertical="center"/>
    </xf>
    <xf numFmtId="0" fontId="3" fillId="3" borderId="5" xfId="7" applyFont="1" applyFill="1" applyBorder="1" applyAlignment="1">
      <alignment horizontal="centerContinuous" vertical="center"/>
    </xf>
    <xf numFmtId="0" fontId="3" fillId="3" borderId="3" xfId="7" applyFont="1" applyFill="1" applyBorder="1" applyAlignment="1">
      <alignment horizontal="centerContinuous" vertical="center"/>
    </xf>
    <xf numFmtId="0" fontId="3" fillId="0" borderId="0" xfId="7" applyFont="1" applyFill="1" applyBorder="1" applyAlignment="1">
      <alignment horizontal="center" vertical="center"/>
    </xf>
    <xf numFmtId="0" fontId="13" fillId="3" borderId="20" xfId="7" applyFont="1" applyFill="1" applyBorder="1" applyAlignment="1">
      <alignment horizontal="center" vertical="center"/>
    </xf>
    <xf numFmtId="40" fontId="3" fillId="3" borderId="84" xfId="0" applyNumberFormat="1" applyFont="1" applyFill="1" applyBorder="1" applyAlignment="1">
      <alignment horizontal="center" vertical="center"/>
    </xf>
    <xf numFmtId="40" fontId="14" fillId="0" borderId="85" xfId="0" applyNumberFormat="1" applyFont="1" applyFill="1" applyBorder="1">
      <alignment vertical="center"/>
    </xf>
    <xf numFmtId="180" fontId="3" fillId="0" borderId="0" xfId="0" applyFont="1">
      <alignment vertical="center"/>
    </xf>
    <xf numFmtId="0" fontId="25" fillId="0" borderId="0" xfId="7" applyFont="1" applyBorder="1">
      <alignment vertical="center"/>
    </xf>
    <xf numFmtId="0" fontId="3" fillId="0" borderId="0" xfId="7" applyFont="1" applyBorder="1">
      <alignment vertical="center"/>
    </xf>
    <xf numFmtId="0" fontId="3" fillId="0" borderId="0" xfId="7" applyFont="1">
      <alignment vertical="center"/>
    </xf>
    <xf numFmtId="0" fontId="25" fillId="0" borderId="0" xfId="7" applyFont="1">
      <alignment vertical="center"/>
    </xf>
    <xf numFmtId="0" fontId="3" fillId="0" borderId="66" xfId="7" applyFont="1" applyFill="1" applyBorder="1" applyAlignment="1">
      <alignment horizontal="center" vertical="center"/>
    </xf>
    <xf numFmtId="0" fontId="3" fillId="3" borderId="20" xfId="7" applyFont="1" applyFill="1" applyBorder="1" applyAlignment="1">
      <alignment horizontal="center" vertical="center"/>
    </xf>
    <xf numFmtId="177" fontId="14" fillId="4" borderId="82" xfId="0" applyNumberFormat="1" applyFont="1" applyFill="1" applyBorder="1">
      <alignment vertical="center"/>
    </xf>
    <xf numFmtId="40" fontId="14" fillId="0" borderId="82" xfId="0" applyNumberFormat="1" applyFont="1" applyBorder="1">
      <alignment vertical="center"/>
    </xf>
    <xf numFmtId="204" fontId="3" fillId="0" borderId="0" xfId="7" applyNumberFormat="1" applyFont="1">
      <alignment vertical="center"/>
    </xf>
    <xf numFmtId="177" fontId="14" fillId="4" borderId="80" xfId="0" applyNumberFormat="1" applyFont="1" applyFill="1" applyBorder="1">
      <alignment vertical="center"/>
    </xf>
    <xf numFmtId="40" fontId="14" fillId="0" borderId="80" xfId="0" applyNumberFormat="1" applyFont="1" applyBorder="1">
      <alignment vertical="center"/>
    </xf>
    <xf numFmtId="177" fontId="14" fillId="4" borderId="81" xfId="0" applyNumberFormat="1" applyFont="1" applyFill="1" applyBorder="1">
      <alignment vertical="center"/>
    </xf>
    <xf numFmtId="40" fontId="14" fillId="0" borderId="81" xfId="0" applyNumberFormat="1" applyFont="1" applyBorder="1">
      <alignment vertical="center"/>
    </xf>
    <xf numFmtId="0" fontId="3" fillId="0" borderId="0" xfId="7" applyFont="1" applyFill="1" applyBorder="1">
      <alignment vertical="center"/>
    </xf>
    <xf numFmtId="0" fontId="3" fillId="3" borderId="3" xfId="7" applyFont="1" applyFill="1" applyBorder="1" applyAlignment="1">
      <alignment horizontal="center" vertical="center"/>
    </xf>
    <xf numFmtId="0" fontId="3" fillId="3" borderId="22" xfId="7" applyFont="1" applyFill="1" applyBorder="1" applyAlignment="1">
      <alignment horizontal="center" vertical="center"/>
    </xf>
    <xf numFmtId="0" fontId="3" fillId="3" borderId="14" xfId="7" applyFont="1" applyFill="1" applyBorder="1" applyAlignment="1">
      <alignment horizontal="center" vertical="center"/>
    </xf>
    <xf numFmtId="0" fontId="3" fillId="3" borderId="40" xfId="7" applyFont="1" applyFill="1" applyBorder="1" applyAlignment="1">
      <alignment horizontal="center" vertical="center"/>
    </xf>
    <xf numFmtId="185" fontId="3" fillId="0" borderId="0" xfId="7" applyNumberFormat="1" applyFont="1">
      <alignment vertical="center"/>
    </xf>
    <xf numFmtId="0" fontId="14" fillId="0" borderId="0" xfId="7" applyFont="1">
      <alignment vertical="center"/>
    </xf>
    <xf numFmtId="0" fontId="3" fillId="3" borderId="2" xfId="7" applyFont="1" applyFill="1" applyBorder="1" applyAlignment="1">
      <alignment horizontal="centerContinuous" vertical="center"/>
    </xf>
    <xf numFmtId="0" fontId="3" fillId="3" borderId="2" xfId="7" applyFont="1" applyFill="1" applyBorder="1" applyAlignment="1">
      <alignment horizontal="center" vertical="center"/>
    </xf>
    <xf numFmtId="0" fontId="3" fillId="3" borderId="63" xfId="7" applyFont="1" applyFill="1" applyBorder="1" applyAlignment="1">
      <alignment horizontal="centerContinuous" vertical="center"/>
    </xf>
    <xf numFmtId="0" fontId="3" fillId="3" borderId="44" xfId="7" applyFont="1" applyFill="1" applyBorder="1" applyAlignment="1">
      <alignment horizontal="centerContinuous" vertical="center"/>
    </xf>
    <xf numFmtId="0" fontId="3" fillId="3" borderId="46" xfId="7" applyFont="1" applyFill="1" applyBorder="1" applyAlignment="1">
      <alignment horizontal="centerContinuous" vertical="center"/>
    </xf>
    <xf numFmtId="0" fontId="3" fillId="3" borderId="8" xfId="7" applyFont="1" applyFill="1" applyBorder="1" applyAlignment="1">
      <alignment horizontal="right" vertical="center"/>
    </xf>
    <xf numFmtId="0" fontId="3" fillId="3" borderId="8" xfId="7" applyFont="1" applyFill="1" applyBorder="1">
      <alignment vertical="center"/>
    </xf>
    <xf numFmtId="0" fontId="3" fillId="3" borderId="7" xfId="7" applyFont="1" applyFill="1" applyBorder="1" applyAlignment="1">
      <alignment horizontal="center" vertical="center"/>
    </xf>
    <xf numFmtId="0" fontId="3" fillId="3" borderId="8" xfId="7" applyFont="1" applyFill="1" applyBorder="1" applyAlignment="1">
      <alignment horizontal="center" vertical="center"/>
    </xf>
    <xf numFmtId="0" fontId="3" fillId="3" borderId="20" xfId="7" applyFont="1" applyFill="1" applyBorder="1" applyAlignment="1">
      <alignment horizontal="center" vertical="center" shrinkToFit="1"/>
    </xf>
    <xf numFmtId="0" fontId="3" fillId="0" borderId="87" xfId="7" applyFont="1" applyFill="1" applyBorder="1" applyAlignment="1">
      <alignment horizontal="center" vertical="center"/>
    </xf>
    <xf numFmtId="0" fontId="14" fillId="4" borderId="79" xfId="7" applyFont="1" applyFill="1" applyBorder="1">
      <alignment vertical="center"/>
    </xf>
    <xf numFmtId="0" fontId="14" fillId="0" borderId="49" xfId="7" applyFont="1" applyBorder="1" applyAlignment="1">
      <alignment horizontal="center" vertical="center"/>
    </xf>
    <xf numFmtId="0" fontId="14" fillId="4" borderId="79" xfId="7" applyFont="1" applyFill="1" applyBorder="1" applyAlignment="1">
      <alignment horizontal="center" vertical="center"/>
    </xf>
    <xf numFmtId="0" fontId="14" fillId="6" borderId="48" xfId="7" applyFont="1" applyFill="1" applyBorder="1" applyAlignment="1">
      <alignment horizontal="center" vertical="center"/>
    </xf>
    <xf numFmtId="0" fontId="14" fillId="6" borderId="88" xfId="7" applyFont="1" applyFill="1" applyBorder="1" applyAlignment="1">
      <alignment horizontal="center" vertical="center"/>
    </xf>
    <xf numFmtId="40" fontId="14" fillId="6" borderId="48" xfId="0" applyNumberFormat="1" applyFont="1" applyFill="1" applyBorder="1" applyAlignment="1">
      <alignment vertical="center" shrinkToFit="1"/>
    </xf>
    <xf numFmtId="0" fontId="3" fillId="0" borderId="87" xfId="7" applyFont="1" applyFill="1" applyBorder="1">
      <alignment vertical="center"/>
    </xf>
    <xf numFmtId="0" fontId="14" fillId="4" borderId="80" xfId="7" applyFont="1" applyFill="1" applyBorder="1">
      <alignment vertical="center"/>
    </xf>
    <xf numFmtId="0" fontId="14" fillId="6" borderId="26" xfId="7" applyFont="1" applyFill="1" applyBorder="1" applyAlignment="1">
      <alignment horizontal="center" vertical="center"/>
    </xf>
    <xf numFmtId="0" fontId="14" fillId="6" borderId="89" xfId="7" applyFont="1" applyFill="1" applyBorder="1" applyAlignment="1">
      <alignment horizontal="center" vertical="center"/>
    </xf>
    <xf numFmtId="40" fontId="14" fillId="6" borderId="26" xfId="0" applyNumberFormat="1" applyFont="1" applyFill="1" applyBorder="1" applyAlignment="1">
      <alignment vertical="center" shrinkToFit="1"/>
    </xf>
    <xf numFmtId="0" fontId="14" fillId="0" borderId="27" xfId="7" applyFont="1" applyBorder="1" applyAlignment="1">
      <alignment horizontal="center" vertical="center"/>
    </xf>
    <xf numFmtId="0" fontId="14" fillId="4" borderId="80" xfId="7" applyFont="1" applyFill="1" applyBorder="1" applyAlignment="1">
      <alignment horizontal="center" vertical="center"/>
    </xf>
    <xf numFmtId="0" fontId="3" fillId="0" borderId="53" xfId="7" applyFont="1" applyFill="1" applyBorder="1">
      <alignment vertical="center"/>
    </xf>
    <xf numFmtId="0" fontId="14" fillId="4" borderId="83" xfId="7" applyFont="1" applyFill="1" applyBorder="1">
      <alignment vertical="center"/>
    </xf>
    <xf numFmtId="0" fontId="14" fillId="0" borderId="16" xfId="7" applyFont="1" applyBorder="1" applyAlignment="1">
      <alignment horizontal="center" vertical="center"/>
    </xf>
    <xf numFmtId="0" fontId="14" fillId="0" borderId="83" xfId="7" applyFont="1" applyFill="1" applyBorder="1" applyAlignment="1">
      <alignment horizontal="center" vertical="center"/>
    </xf>
    <xf numFmtId="0" fontId="14" fillId="6" borderId="17" xfId="7" applyFont="1" applyFill="1" applyBorder="1" applyAlignment="1">
      <alignment horizontal="center" vertical="center"/>
    </xf>
    <xf numFmtId="0" fontId="14" fillId="6" borderId="90" xfId="7" applyFont="1" applyFill="1" applyBorder="1" applyAlignment="1">
      <alignment horizontal="center" vertical="center"/>
    </xf>
    <xf numFmtId="40" fontId="14" fillId="6" borderId="17" xfId="0" applyNumberFormat="1" applyFont="1" applyFill="1" applyBorder="1" applyAlignment="1">
      <alignment vertical="center" shrinkToFit="1"/>
    </xf>
    <xf numFmtId="0" fontId="3" fillId="3" borderId="1" xfId="7" applyFont="1" applyFill="1" applyBorder="1">
      <alignment vertical="center"/>
    </xf>
    <xf numFmtId="0" fontId="3" fillId="3" borderId="2" xfId="7" applyFont="1" applyFill="1" applyBorder="1">
      <alignment vertical="center"/>
    </xf>
    <xf numFmtId="177" fontId="3" fillId="3" borderId="2" xfId="0" applyNumberFormat="1" applyFont="1" applyFill="1" applyBorder="1">
      <alignment vertical="center"/>
    </xf>
    <xf numFmtId="40" fontId="3" fillId="3" borderId="2" xfId="0" applyNumberFormat="1" applyFont="1" applyFill="1" applyBorder="1">
      <alignment vertical="center"/>
    </xf>
    <xf numFmtId="0" fontId="3" fillId="3" borderId="36" xfId="7" applyFont="1" applyFill="1" applyBorder="1" applyAlignment="1">
      <alignment horizontal="center" vertical="center" shrinkToFit="1"/>
    </xf>
    <xf numFmtId="0" fontId="3" fillId="3" borderId="92" xfId="7" applyFont="1" applyFill="1" applyBorder="1" applyAlignment="1">
      <alignment horizontal="center" vertical="center" shrinkToFit="1"/>
    </xf>
    <xf numFmtId="40" fontId="3" fillId="3" borderId="82" xfId="0" applyNumberFormat="1" applyFont="1" applyFill="1" applyBorder="1" applyAlignment="1">
      <alignment horizontal="center" vertical="center"/>
    </xf>
    <xf numFmtId="0" fontId="3" fillId="3" borderId="7" xfId="7" applyFont="1" applyFill="1" applyBorder="1">
      <alignment vertical="center"/>
    </xf>
    <xf numFmtId="177" fontId="3" fillId="3" borderId="8" xfId="0" applyNumberFormat="1" applyFont="1" applyFill="1" applyBorder="1">
      <alignment vertical="center"/>
    </xf>
    <xf numFmtId="40" fontId="3" fillId="3" borderId="8" xfId="0" applyNumberFormat="1" applyFont="1" applyFill="1" applyBorder="1">
      <alignment vertical="center"/>
    </xf>
    <xf numFmtId="40" fontId="3" fillId="0" borderId="95" xfId="0" applyNumberFormat="1" applyFont="1" applyFill="1" applyBorder="1" applyAlignment="1">
      <alignment vertical="center" shrinkToFit="1"/>
    </xf>
    <xf numFmtId="40" fontId="3" fillId="0" borderId="96" xfId="0" applyNumberFormat="1" applyFont="1" applyFill="1" applyBorder="1" applyAlignment="1">
      <alignment vertical="center" shrinkToFit="1"/>
    </xf>
    <xf numFmtId="40" fontId="3" fillId="0" borderId="95" xfId="0" applyNumberFormat="1" applyFont="1" applyFill="1" applyBorder="1">
      <alignment vertical="center"/>
    </xf>
    <xf numFmtId="0" fontId="3" fillId="0" borderId="0" xfId="4" applyNumberFormat="1" applyFont="1" applyFill="1" applyAlignment="1">
      <alignment vertical="center"/>
    </xf>
    <xf numFmtId="0" fontId="26" fillId="0" borderId="0" xfId="4" applyFont="1" applyFill="1" applyAlignment="1">
      <alignment vertical="center"/>
    </xf>
    <xf numFmtId="0" fontId="26" fillId="0" borderId="0" xfId="4" applyFont="1" applyFill="1" applyAlignment="1">
      <alignment horizontal="center" vertical="center"/>
    </xf>
    <xf numFmtId="180" fontId="26" fillId="0" borderId="0" xfId="0" applyFont="1" applyFill="1" applyAlignment="1">
      <alignment vertical="center"/>
    </xf>
    <xf numFmtId="180" fontId="26" fillId="0" borderId="0" xfId="0" applyFont="1" applyFill="1" applyBorder="1" applyAlignment="1">
      <alignment vertical="center"/>
    </xf>
    <xf numFmtId="0" fontId="3" fillId="0" borderId="0" xfId="0" applyNumberFormat="1" applyFont="1" applyFill="1" applyAlignment="1">
      <alignment vertical="center"/>
    </xf>
    <xf numFmtId="0" fontId="26" fillId="2" borderId="0" xfId="4" applyFont="1" applyFill="1" applyAlignment="1">
      <alignment vertical="center"/>
    </xf>
    <xf numFmtId="0" fontId="26" fillId="2" borderId="0" xfId="4" applyFont="1" applyFill="1" applyAlignment="1">
      <alignment horizontal="center" vertical="center"/>
    </xf>
    <xf numFmtId="180" fontId="26" fillId="2" borderId="0" xfId="0" applyFont="1" applyFill="1" applyAlignment="1">
      <alignment vertical="center"/>
    </xf>
    <xf numFmtId="180" fontId="26" fillId="2" borderId="0" xfId="0" applyFont="1" applyFill="1" applyBorder="1" applyAlignment="1">
      <alignment vertical="center"/>
    </xf>
    <xf numFmtId="0" fontId="26" fillId="0" borderId="0" xfId="4" applyFont="1" applyAlignment="1">
      <alignment vertical="center"/>
    </xf>
    <xf numFmtId="180" fontId="27" fillId="5" borderId="20" xfId="0" applyFont="1" applyFill="1" applyBorder="1" applyAlignment="1">
      <alignment horizontal="center" vertical="center"/>
    </xf>
    <xf numFmtId="0" fontId="26" fillId="2" borderId="8" xfId="4" applyFont="1" applyFill="1" applyBorder="1" applyAlignment="1">
      <alignment vertical="center"/>
    </xf>
    <xf numFmtId="0" fontId="26" fillId="2" borderId="8" xfId="4" applyFont="1" applyFill="1" applyBorder="1" applyAlignment="1">
      <alignment horizontal="center" vertical="center"/>
    </xf>
    <xf numFmtId="180" fontId="27" fillId="2" borderId="8" xfId="0" applyFont="1" applyFill="1" applyBorder="1" applyAlignment="1">
      <alignment horizontal="center" vertical="center" shrinkToFit="1"/>
    </xf>
    <xf numFmtId="180" fontId="27" fillId="2" borderId="8" xfId="0" applyFont="1" applyFill="1" applyBorder="1" applyAlignment="1">
      <alignment horizontal="center" vertical="center"/>
    </xf>
    <xf numFmtId="180" fontId="26" fillId="2" borderId="8" xfId="0" applyFont="1" applyFill="1" applyBorder="1" applyAlignment="1">
      <alignment vertical="center"/>
    </xf>
    <xf numFmtId="0" fontId="25" fillId="0" borderId="0" xfId="4" applyFont="1" applyFill="1" applyBorder="1" applyAlignment="1">
      <alignment horizontal="left" vertical="center"/>
    </xf>
    <xf numFmtId="0" fontId="28" fillId="0" borderId="0" xfId="4" applyFont="1" applyFill="1" applyBorder="1" applyAlignment="1">
      <alignment horizontal="center" vertical="center"/>
    </xf>
    <xf numFmtId="180" fontId="26" fillId="0" borderId="0" xfId="0" applyFont="1" applyAlignment="1">
      <alignment vertical="center"/>
    </xf>
    <xf numFmtId="180" fontId="26" fillId="0" borderId="0" xfId="0" applyFont="1" applyBorder="1" applyAlignment="1">
      <alignment vertical="center"/>
    </xf>
    <xf numFmtId="0" fontId="29" fillId="0" borderId="80" xfId="4" applyFont="1" applyBorder="1" applyAlignment="1">
      <alignment horizontal="left" vertical="center"/>
    </xf>
    <xf numFmtId="0" fontId="26" fillId="0" borderId="82" xfId="4" applyFont="1" applyFill="1" applyBorder="1" applyAlignment="1">
      <alignment horizontal="center" vertical="center"/>
    </xf>
    <xf numFmtId="180" fontId="26" fillId="0" borderId="82" xfId="0" applyFont="1" applyFill="1" applyBorder="1" applyAlignment="1">
      <alignment vertical="center"/>
    </xf>
    <xf numFmtId="40" fontId="26" fillId="0" borderId="82" xfId="0" applyNumberFormat="1" applyFont="1" applyFill="1" applyBorder="1" applyAlignment="1">
      <alignment vertical="center"/>
    </xf>
    <xf numFmtId="40" fontId="26" fillId="0" borderId="14" xfId="0" applyNumberFormat="1" applyFont="1" applyFill="1" applyBorder="1" applyAlignment="1">
      <alignment vertical="center"/>
    </xf>
    <xf numFmtId="180" fontId="26" fillId="0" borderId="97" xfId="0" applyFont="1" applyFill="1" applyBorder="1" applyAlignment="1">
      <alignment vertical="center"/>
    </xf>
    <xf numFmtId="180" fontId="26" fillId="0" borderId="15" xfId="0" applyFont="1" applyFill="1" applyBorder="1" applyAlignment="1">
      <alignment vertical="center"/>
    </xf>
    <xf numFmtId="180" fontId="26" fillId="0" borderId="14" xfId="0" applyFont="1" applyFill="1" applyBorder="1" applyAlignment="1">
      <alignment vertical="center"/>
    </xf>
    <xf numFmtId="0" fontId="26" fillId="0" borderId="80" xfId="4" applyFont="1" applyBorder="1" applyAlignment="1">
      <alignment horizontal="left" vertical="center"/>
    </xf>
    <xf numFmtId="0" fontId="30" fillId="0" borderId="80" xfId="4" applyFont="1" applyBorder="1" applyAlignment="1">
      <alignment horizontal="center" vertical="center"/>
    </xf>
    <xf numFmtId="180" fontId="26" fillId="0" borderId="80" xfId="0" applyFont="1" applyFill="1" applyBorder="1" applyAlignment="1">
      <alignment vertical="center"/>
    </xf>
    <xf numFmtId="40" fontId="26" fillId="0" borderId="80" xfId="0" applyNumberFormat="1" applyFont="1" applyFill="1" applyBorder="1" applyAlignment="1">
      <alignment vertical="center"/>
    </xf>
    <xf numFmtId="40" fontId="26" fillId="0" borderId="26" xfId="0" applyNumberFormat="1" applyFont="1" applyFill="1" applyBorder="1" applyAlignment="1">
      <alignment vertical="center"/>
    </xf>
    <xf numFmtId="180" fontId="26" fillId="0" borderId="98" xfId="0" applyFont="1" applyFill="1" applyBorder="1" applyAlignment="1">
      <alignment vertical="center"/>
    </xf>
    <xf numFmtId="180" fontId="26" fillId="0" borderId="28" xfId="0" applyFont="1" applyFill="1" applyBorder="1" applyAlignment="1">
      <alignment vertical="center"/>
    </xf>
    <xf numFmtId="180" fontId="26" fillId="0" borderId="17" xfId="0" applyFont="1" applyFill="1" applyBorder="1" applyAlignment="1">
      <alignment vertical="center"/>
    </xf>
    <xf numFmtId="180" fontId="26" fillId="0" borderId="23" xfId="0" applyFont="1" applyFill="1" applyBorder="1" applyAlignment="1">
      <alignment vertical="center"/>
    </xf>
    <xf numFmtId="0" fontId="26" fillId="0" borderId="82" xfId="4" applyFont="1" applyFill="1" applyBorder="1" applyAlignment="1">
      <alignment vertical="center"/>
    </xf>
    <xf numFmtId="0" fontId="26" fillId="0" borderId="80" xfId="4" applyFont="1" applyFill="1" applyBorder="1" applyAlignment="1">
      <alignment vertical="center"/>
    </xf>
    <xf numFmtId="0" fontId="26" fillId="0" borderId="80" xfId="4" applyFont="1" applyFill="1" applyBorder="1" applyAlignment="1">
      <alignment horizontal="center" vertical="center"/>
    </xf>
    <xf numFmtId="40" fontId="26" fillId="4" borderId="80" xfId="0" applyNumberFormat="1" applyFont="1" applyFill="1" applyBorder="1" applyAlignment="1">
      <alignment vertical="center"/>
    </xf>
    <xf numFmtId="180" fontId="26" fillId="4" borderId="26" xfId="0" applyFont="1" applyFill="1" applyBorder="1" applyAlignment="1">
      <alignment vertical="center"/>
    </xf>
    <xf numFmtId="180" fontId="26" fillId="4" borderId="28" xfId="0" applyFont="1" applyFill="1" applyBorder="1" applyAlignment="1">
      <alignment vertical="center"/>
    </xf>
    <xf numFmtId="180" fontId="26" fillId="0" borderId="80" xfId="0" applyFont="1" applyBorder="1" applyAlignment="1">
      <alignment vertical="center"/>
    </xf>
    <xf numFmtId="180" fontId="26" fillId="0" borderId="98" xfId="0" applyFont="1" applyBorder="1" applyAlignment="1">
      <alignment vertical="center"/>
    </xf>
    <xf numFmtId="180" fontId="26" fillId="0" borderId="81" xfId="0" applyFont="1" applyFill="1" applyBorder="1" applyAlignment="1">
      <alignment vertical="center"/>
    </xf>
    <xf numFmtId="40" fontId="26" fillId="0" borderId="26" xfId="0" applyNumberFormat="1" applyFont="1" applyBorder="1" applyAlignment="1">
      <alignment vertical="center"/>
    </xf>
    <xf numFmtId="180" fontId="26" fillId="6" borderId="28" xfId="0" applyFont="1" applyFill="1" applyBorder="1" applyAlignment="1">
      <alignment horizontal="left" vertical="center" shrinkToFit="1"/>
    </xf>
    <xf numFmtId="180" fontId="26" fillId="0" borderId="68" xfId="0" applyFont="1" applyFill="1" applyBorder="1" applyAlignment="1">
      <alignment horizontal="center" vertical="center"/>
    </xf>
    <xf numFmtId="180" fontId="26" fillId="0" borderId="81" xfId="0" applyFont="1" applyBorder="1" applyAlignment="1">
      <alignment vertical="center"/>
    </xf>
    <xf numFmtId="40" fontId="26" fillId="0" borderId="40" xfId="0" applyNumberFormat="1" applyFont="1" applyBorder="1" applyAlignment="1">
      <alignment vertical="center"/>
    </xf>
    <xf numFmtId="180" fontId="26" fillId="0" borderId="99" xfId="0" applyFont="1" applyBorder="1" applyAlignment="1">
      <alignment vertical="center"/>
    </xf>
    <xf numFmtId="180" fontId="26" fillId="0" borderId="83" xfId="0" applyFont="1" applyFill="1" applyBorder="1" applyAlignment="1">
      <alignment vertical="center"/>
    </xf>
    <xf numFmtId="180" fontId="26" fillId="0" borderId="100" xfId="0" applyFont="1" applyFill="1" applyBorder="1" applyAlignment="1">
      <alignment vertical="center"/>
    </xf>
    <xf numFmtId="180" fontId="26" fillId="0" borderId="82" xfId="0" applyFont="1" applyBorder="1" applyAlignment="1">
      <alignment vertical="center"/>
    </xf>
    <xf numFmtId="40" fontId="26" fillId="0" borderId="14" xfId="0" applyNumberFormat="1" applyFont="1" applyBorder="1" applyAlignment="1">
      <alignment vertical="center"/>
    </xf>
    <xf numFmtId="180" fontId="26" fillId="0" borderId="97" xfId="0" applyFont="1" applyBorder="1" applyAlignment="1">
      <alignment vertical="center"/>
    </xf>
    <xf numFmtId="0" fontId="26" fillId="4" borderId="80" xfId="4" applyFont="1" applyFill="1" applyBorder="1" applyAlignment="1">
      <alignment vertical="center"/>
    </xf>
    <xf numFmtId="0" fontId="26" fillId="4" borderId="80" xfId="4" applyFont="1" applyFill="1" applyBorder="1" applyAlignment="1">
      <alignment horizontal="center" vertical="center"/>
    </xf>
    <xf numFmtId="0" fontId="26" fillId="4" borderId="81" xfId="4" applyFont="1" applyFill="1" applyBorder="1" applyAlignment="1">
      <alignment vertical="center"/>
    </xf>
    <xf numFmtId="0" fontId="26" fillId="4" borderId="81" xfId="4" applyFont="1" applyFill="1" applyBorder="1" applyAlignment="1">
      <alignment horizontal="center" vertical="center"/>
    </xf>
    <xf numFmtId="180" fontId="26" fillId="4" borderId="39" xfId="0" applyFont="1" applyFill="1" applyBorder="1" applyAlignment="1">
      <alignment vertical="center"/>
    </xf>
    <xf numFmtId="180" fontId="26" fillId="4" borderId="17" xfId="0" applyFont="1" applyFill="1" applyBorder="1" applyAlignment="1">
      <alignment vertical="center"/>
    </xf>
    <xf numFmtId="180" fontId="26" fillId="4" borderId="23" xfId="0" applyFont="1" applyFill="1" applyBorder="1" applyAlignment="1">
      <alignment vertical="center"/>
    </xf>
    <xf numFmtId="0" fontId="29" fillId="0" borderId="82" xfId="4" applyFont="1" applyFill="1" applyBorder="1" applyAlignment="1">
      <alignment horizontal="left" vertical="center"/>
    </xf>
    <xf numFmtId="0" fontId="29" fillId="0" borderId="82" xfId="4" applyFont="1" applyFill="1" applyBorder="1" applyAlignment="1">
      <alignment horizontal="center" vertical="center"/>
    </xf>
    <xf numFmtId="0" fontId="26" fillId="0" borderId="79" xfId="4" applyFont="1" applyFill="1" applyBorder="1" applyAlignment="1">
      <alignment horizontal="left" vertical="center"/>
    </xf>
    <xf numFmtId="0" fontId="30" fillId="0" borderId="79" xfId="4" applyFont="1" applyFill="1" applyBorder="1" applyAlignment="1">
      <alignment horizontal="center" vertical="center"/>
    </xf>
    <xf numFmtId="180" fontId="26" fillId="0" borderId="26" xfId="0" applyFont="1" applyFill="1" applyBorder="1" applyAlignment="1">
      <alignment vertical="center"/>
    </xf>
    <xf numFmtId="0" fontId="26" fillId="0" borderId="80" xfId="4" applyFont="1" applyBorder="1" applyAlignment="1">
      <alignment horizontal="center" vertical="center"/>
    </xf>
    <xf numFmtId="0" fontId="29" fillId="0" borderId="79" xfId="4" applyFont="1" applyFill="1" applyBorder="1" applyAlignment="1">
      <alignment horizontal="left" vertical="center"/>
    </xf>
    <xf numFmtId="180" fontId="26" fillId="0" borderId="79" xfId="0" applyFont="1" applyFill="1" applyBorder="1" applyAlignment="1">
      <alignment vertical="center"/>
    </xf>
    <xf numFmtId="180" fontId="26" fillId="0" borderId="50" xfId="0" applyFont="1" applyFill="1" applyBorder="1" applyAlignment="1">
      <alignment vertical="center"/>
    </xf>
    <xf numFmtId="0" fontId="26" fillId="3" borderId="20" xfId="4" applyFont="1" applyFill="1" applyBorder="1" applyAlignment="1">
      <alignment horizontal="center" vertical="center"/>
    </xf>
    <xf numFmtId="180" fontId="26" fillId="3" borderId="85" xfId="0" applyFont="1" applyFill="1" applyBorder="1" applyAlignment="1">
      <alignment vertical="center"/>
    </xf>
    <xf numFmtId="180" fontId="26" fillId="3" borderId="5" xfId="0" applyFont="1" applyFill="1" applyBorder="1" applyAlignment="1">
      <alignment vertical="center"/>
    </xf>
    <xf numFmtId="180" fontId="26" fillId="3" borderId="3" xfId="0" applyFont="1" applyFill="1" applyBorder="1" applyAlignment="1">
      <alignment vertical="center"/>
    </xf>
    <xf numFmtId="0" fontId="26" fillId="0" borderId="0" xfId="4" applyFont="1" applyAlignment="1">
      <alignment horizontal="center" vertical="center"/>
    </xf>
    <xf numFmtId="0" fontId="26" fillId="3" borderId="20" xfId="4" applyFont="1" applyFill="1" applyBorder="1" applyAlignment="1">
      <alignment horizontal="centerContinuous" vertical="center"/>
    </xf>
    <xf numFmtId="180" fontId="26" fillId="3" borderId="20" xfId="0" applyFont="1" applyFill="1" applyBorder="1" applyAlignment="1" applyProtection="1">
      <alignment horizontal="center" vertical="center" shrinkToFit="1"/>
    </xf>
    <xf numFmtId="180" fontId="26" fillId="3" borderId="20" xfId="0" applyFont="1" applyFill="1" applyBorder="1" applyAlignment="1">
      <alignment horizontal="center" vertical="center"/>
    </xf>
    <xf numFmtId="180" fontId="26" fillId="3" borderId="3" xfId="0" applyFont="1" applyFill="1" applyBorder="1" applyAlignment="1">
      <alignment horizontal="center" vertical="center"/>
    </xf>
    <xf numFmtId="180" fontId="26" fillId="3" borderId="84" xfId="0" applyFont="1" applyFill="1" applyBorder="1" applyAlignment="1">
      <alignment horizontal="center" vertical="center" shrinkToFit="1"/>
    </xf>
    <xf numFmtId="180" fontId="26" fillId="3" borderId="5" xfId="0" applyFont="1" applyFill="1" applyBorder="1" applyAlignment="1">
      <alignment horizontal="center" vertical="center"/>
    </xf>
    <xf numFmtId="180" fontId="26" fillId="3" borderId="3" xfId="0" applyFont="1" applyFill="1" applyBorder="1" applyAlignment="1">
      <alignment horizontal="centerContinuous" vertical="center"/>
    </xf>
    <xf numFmtId="180" fontId="26" fillId="3" borderId="5" xfId="0" applyFont="1" applyFill="1" applyBorder="1" applyAlignment="1">
      <alignment horizontal="centerContinuous" vertical="center"/>
    </xf>
    <xf numFmtId="180" fontId="29" fillId="0" borderId="82" xfId="0" applyFont="1" applyFill="1" applyBorder="1" applyAlignment="1" applyProtection="1">
      <alignment vertical="center"/>
    </xf>
    <xf numFmtId="180" fontId="26" fillId="0" borderId="82" xfId="0" applyFont="1" applyFill="1" applyBorder="1" applyAlignment="1" applyProtection="1">
      <alignment horizontal="center" vertical="center"/>
    </xf>
    <xf numFmtId="180" fontId="26" fillId="0" borderId="15" xfId="0" applyFont="1" applyFill="1" applyBorder="1" applyAlignment="1" applyProtection="1">
      <alignment vertical="center"/>
    </xf>
    <xf numFmtId="180" fontId="26" fillId="0" borderId="14" xfId="0" applyFont="1" applyFill="1" applyBorder="1" applyAlignment="1" applyProtection="1">
      <alignment vertical="center"/>
    </xf>
    <xf numFmtId="180" fontId="26" fillId="0" borderId="80" xfId="0" applyFont="1" applyBorder="1" applyAlignment="1" applyProtection="1">
      <alignment horizontal="left" vertical="center"/>
    </xf>
    <xf numFmtId="180" fontId="30" fillId="0" borderId="80" xfId="0" applyFont="1" applyBorder="1" applyAlignment="1" applyProtection="1">
      <alignment horizontal="center" vertical="center"/>
    </xf>
    <xf numFmtId="180" fontId="26" fillId="0" borderId="80" xfId="0" applyFont="1" applyFill="1" applyBorder="1" applyAlignment="1" applyProtection="1">
      <alignment vertical="center"/>
    </xf>
    <xf numFmtId="180" fontId="26" fillId="0" borderId="28" xfId="0" applyFont="1" applyFill="1" applyBorder="1" applyAlignment="1" applyProtection="1">
      <alignment vertical="center"/>
    </xf>
    <xf numFmtId="180" fontId="26" fillId="0" borderId="26" xfId="0" applyFont="1" applyFill="1" applyBorder="1" applyAlignment="1" applyProtection="1">
      <alignment vertical="center"/>
    </xf>
    <xf numFmtId="180" fontId="26" fillId="0" borderId="80" xfId="0" applyFont="1" applyFill="1" applyBorder="1" applyAlignment="1" applyProtection="1">
      <alignment horizontal="center" vertical="center"/>
    </xf>
    <xf numFmtId="180" fontId="26" fillId="4" borderId="26" xfId="0" applyFont="1" applyFill="1" applyBorder="1" applyAlignment="1" applyProtection="1">
      <alignment vertical="center"/>
    </xf>
    <xf numFmtId="180" fontId="26" fillId="4" borderId="28" xfId="0" applyFont="1" applyFill="1" applyBorder="1" applyAlignment="1" applyProtection="1">
      <alignment vertical="center"/>
    </xf>
    <xf numFmtId="180" fontId="26" fillId="4" borderId="80" xfId="0" applyFont="1" applyFill="1" applyBorder="1" applyAlignment="1" applyProtection="1">
      <alignment vertical="center"/>
      <protection locked="0"/>
    </xf>
    <xf numFmtId="180" fontId="26" fillId="0" borderId="80" xfId="0" applyFont="1" applyBorder="1" applyAlignment="1" applyProtection="1">
      <alignment horizontal="center" vertical="center"/>
    </xf>
    <xf numFmtId="180" fontId="26" fillId="4" borderId="28" xfId="0" applyFont="1" applyFill="1" applyBorder="1" applyAlignment="1" applyProtection="1">
      <alignment vertical="center"/>
      <protection locked="0"/>
    </xf>
    <xf numFmtId="180" fontId="26" fillId="4" borderId="26" xfId="0" applyFont="1" applyFill="1" applyBorder="1" applyAlignment="1" applyProtection="1">
      <alignment vertical="center"/>
      <protection locked="0"/>
    </xf>
    <xf numFmtId="180" fontId="26" fillId="4" borderId="83" xfId="0" applyFont="1" applyFill="1" applyBorder="1" applyAlignment="1" applyProtection="1">
      <alignment vertical="center"/>
      <protection locked="0"/>
    </xf>
    <xf numFmtId="180" fontId="26" fillId="4" borderId="23" xfId="0" applyFont="1" applyFill="1" applyBorder="1" applyAlignment="1" applyProtection="1">
      <alignment vertical="center"/>
      <protection locked="0"/>
    </xf>
    <xf numFmtId="180" fontId="26" fillId="4" borderId="17" xfId="0" applyFont="1" applyFill="1" applyBorder="1" applyAlignment="1" applyProtection="1">
      <alignment vertical="center"/>
      <protection locked="0"/>
    </xf>
    <xf numFmtId="180" fontId="26" fillId="0" borderId="0" xfId="0" applyFont="1" applyAlignment="1">
      <alignment vertical="center" shrinkToFit="1"/>
    </xf>
    <xf numFmtId="180" fontId="3" fillId="0" borderId="0" xfId="0" applyFont="1" applyFill="1" applyAlignment="1">
      <alignment vertical="center"/>
    </xf>
    <xf numFmtId="180" fontId="26" fillId="0" borderId="0" xfId="0" applyFont="1" applyBorder="1" applyAlignment="1">
      <alignment vertical="center" shrinkToFit="1"/>
    </xf>
    <xf numFmtId="180" fontId="26" fillId="0" borderId="0" xfId="0" applyFont="1" applyAlignment="1">
      <alignment horizontal="centerContinuous" vertical="center" shrinkToFit="1"/>
    </xf>
    <xf numFmtId="180" fontId="10" fillId="0" borderId="0" xfId="0" applyFont="1" applyAlignment="1">
      <alignment horizontal="left" vertical="center"/>
    </xf>
    <xf numFmtId="0" fontId="13" fillId="3" borderId="36" xfId="6" applyFont="1" applyFill="1" applyBorder="1" applyAlignment="1">
      <alignment horizontal="center" vertical="center" shrinkToFit="1"/>
    </xf>
    <xf numFmtId="0" fontId="13" fillId="3" borderId="36" xfId="6" applyFont="1" applyFill="1" applyBorder="1" applyAlignment="1">
      <alignment horizontal="center" shrinkToFit="1"/>
    </xf>
    <xf numFmtId="0" fontId="13" fillId="3" borderId="1" xfId="6" applyFont="1" applyFill="1" applyBorder="1" applyAlignment="1">
      <alignment horizontal="centerContinuous" vertical="center"/>
    </xf>
    <xf numFmtId="0" fontId="13" fillId="3" borderId="19" xfId="6" applyFont="1" applyFill="1" applyBorder="1" applyAlignment="1">
      <alignment horizontal="centerContinuous" vertical="center" shrinkToFit="1"/>
    </xf>
    <xf numFmtId="0" fontId="13" fillId="3" borderId="53" xfId="6" applyFont="1" applyFill="1" applyBorder="1" applyAlignment="1">
      <alignment horizontal="center" vertical="center" shrinkToFit="1"/>
    </xf>
    <xf numFmtId="0" fontId="13" fillId="3" borderId="7" xfId="6" applyFont="1" applyFill="1" applyBorder="1" applyAlignment="1">
      <alignment horizontal="center" vertical="center" shrinkToFit="1"/>
    </xf>
    <xf numFmtId="0" fontId="13" fillId="3" borderId="8" xfId="6" applyFont="1" applyFill="1" applyBorder="1" applyAlignment="1">
      <alignment horizontal="center" vertical="center" shrinkToFit="1"/>
    </xf>
    <xf numFmtId="0" fontId="13" fillId="3" borderId="25" xfId="6" applyFont="1" applyFill="1" applyBorder="1" applyAlignment="1">
      <alignment horizontal="center" vertical="center" shrinkToFit="1"/>
    </xf>
    <xf numFmtId="0" fontId="13" fillId="3" borderId="20" xfId="6" applyFont="1" applyFill="1" applyBorder="1" applyAlignment="1">
      <alignment horizontal="center" vertical="center" shrinkToFit="1"/>
    </xf>
    <xf numFmtId="180" fontId="26" fillId="4" borderId="79" xfId="0" applyFont="1" applyFill="1" applyBorder="1" applyAlignment="1">
      <alignment vertical="center" shrinkToFit="1"/>
    </xf>
    <xf numFmtId="180" fontId="26" fillId="6" borderId="79" xfId="0" applyFont="1" applyFill="1" applyBorder="1" applyAlignment="1">
      <alignment vertical="center" shrinkToFit="1"/>
    </xf>
    <xf numFmtId="180" fontId="26" fillId="6" borderId="48" xfId="0" applyFont="1" applyFill="1" applyBorder="1" applyAlignment="1">
      <alignment vertical="center" shrinkToFit="1"/>
    </xf>
    <xf numFmtId="177" fontId="26" fillId="4" borderId="48" xfId="0" applyNumberFormat="1" applyFont="1" applyFill="1" applyBorder="1" applyAlignment="1">
      <alignment vertical="center" shrinkToFit="1"/>
    </xf>
    <xf numFmtId="180" fontId="26" fillId="0" borderId="49" xfId="0" applyFont="1" applyBorder="1" applyAlignment="1">
      <alignment horizontal="center" vertical="center" shrinkToFit="1"/>
    </xf>
    <xf numFmtId="177" fontId="26" fillId="4" borderId="50" xfId="0" applyNumberFormat="1" applyFont="1" applyFill="1" applyBorder="1" applyAlignment="1">
      <alignment vertical="center" shrinkToFit="1"/>
    </xf>
    <xf numFmtId="40" fontId="26" fillId="0" borderId="79" xfId="0" applyNumberFormat="1" applyFont="1" applyBorder="1" applyAlignment="1">
      <alignment vertical="center" shrinkToFit="1"/>
    </xf>
    <xf numFmtId="180" fontId="26" fillId="4" borderId="80" xfId="0" applyFont="1" applyFill="1" applyBorder="1" applyAlignment="1">
      <alignment vertical="center" shrinkToFit="1"/>
    </xf>
    <xf numFmtId="180" fontId="26" fillId="6" borderId="80" xfId="0" applyFont="1" applyFill="1" applyBorder="1" applyAlignment="1">
      <alignment vertical="center" shrinkToFit="1"/>
    </xf>
    <xf numFmtId="180" fontId="26" fillId="6" borderId="26" xfId="0" applyFont="1" applyFill="1" applyBorder="1" applyAlignment="1">
      <alignment vertical="center" shrinkToFit="1"/>
    </xf>
    <xf numFmtId="177" fontId="26" fillId="4" borderId="26" xfId="0" applyNumberFormat="1" applyFont="1" applyFill="1" applyBorder="1" applyAlignment="1">
      <alignment vertical="center" shrinkToFit="1"/>
    </xf>
    <xf numFmtId="180" fontId="26" fillId="0" borderId="27" xfId="0" applyFont="1" applyBorder="1" applyAlignment="1">
      <alignment horizontal="center" vertical="center" shrinkToFit="1"/>
    </xf>
    <xf numFmtId="177" fontId="26" fillId="4" borderId="28" xfId="0" applyNumberFormat="1" applyFont="1" applyFill="1" applyBorder="1" applyAlignment="1">
      <alignment vertical="center" shrinkToFit="1"/>
    </xf>
    <xf numFmtId="40" fontId="26" fillId="0" borderId="80" xfId="0" applyNumberFormat="1" applyFont="1" applyBorder="1" applyAlignment="1">
      <alignment vertical="center" shrinkToFit="1"/>
    </xf>
    <xf numFmtId="180" fontId="26" fillId="4" borderId="81" xfId="0" applyFont="1" applyFill="1" applyBorder="1" applyAlignment="1">
      <alignment vertical="center" shrinkToFit="1"/>
    </xf>
    <xf numFmtId="180" fontId="26" fillId="6" borderId="81" xfId="0" applyFont="1" applyFill="1" applyBorder="1" applyAlignment="1">
      <alignment vertical="center" shrinkToFit="1"/>
    </xf>
    <xf numFmtId="180" fontId="26" fillId="6" borderId="40" xfId="0" applyFont="1" applyFill="1" applyBorder="1" applyAlignment="1">
      <alignment vertical="center" shrinkToFit="1"/>
    </xf>
    <xf numFmtId="177" fontId="26" fillId="4" borderId="40" xfId="0" applyNumberFormat="1" applyFont="1" applyFill="1" applyBorder="1" applyAlignment="1">
      <alignment vertical="center" shrinkToFit="1"/>
    </xf>
    <xf numFmtId="180" fontId="26" fillId="0" borderId="38" xfId="0" applyFont="1" applyBorder="1" applyAlignment="1">
      <alignment horizontal="center" vertical="center" shrinkToFit="1"/>
    </xf>
    <xf numFmtId="177" fontId="26" fillId="4" borderId="39" xfId="0" applyNumberFormat="1" applyFont="1" applyFill="1" applyBorder="1" applyAlignment="1">
      <alignment vertical="center" shrinkToFit="1"/>
    </xf>
    <xf numFmtId="40" fontId="26" fillId="0" borderId="81" xfId="0" applyNumberFormat="1" applyFont="1" applyBorder="1" applyAlignment="1">
      <alignment vertical="center" shrinkToFit="1"/>
    </xf>
    <xf numFmtId="180" fontId="26" fillId="3" borderId="3" xfId="0" applyFont="1" applyFill="1" applyBorder="1" applyAlignment="1">
      <alignment vertical="center" shrinkToFit="1"/>
    </xf>
    <xf numFmtId="180" fontId="26" fillId="3" borderId="4" xfId="0" applyFont="1" applyFill="1" applyBorder="1" applyAlignment="1">
      <alignment vertical="center" shrinkToFit="1"/>
    </xf>
    <xf numFmtId="180" fontId="26" fillId="3" borderId="5" xfId="0" applyFont="1" applyFill="1" applyBorder="1" applyAlignment="1">
      <alignment vertical="center" shrinkToFit="1"/>
    </xf>
    <xf numFmtId="180" fontId="26" fillId="3" borderId="3" xfId="0" applyFont="1" applyFill="1" applyBorder="1" applyAlignment="1">
      <alignment horizontal="centerContinuous" vertical="center" shrinkToFit="1"/>
    </xf>
    <xf numFmtId="180" fontId="26" fillId="3" borderId="5" xfId="0" applyFont="1" applyFill="1" applyBorder="1" applyAlignment="1">
      <alignment horizontal="centerContinuous" vertical="center" shrinkToFit="1"/>
    </xf>
    <xf numFmtId="40" fontId="26" fillId="3" borderId="20" xfId="0" applyNumberFormat="1" applyFont="1" applyFill="1" applyBorder="1" applyAlignment="1">
      <alignment vertical="center" shrinkToFit="1"/>
    </xf>
    <xf numFmtId="180" fontId="26" fillId="4" borderId="82" xfId="0" applyFont="1" applyFill="1" applyBorder="1" applyAlignment="1">
      <alignment vertical="center" shrinkToFit="1"/>
    </xf>
    <xf numFmtId="180" fontId="26" fillId="0" borderId="14" xfId="0" applyFont="1" applyFill="1" applyBorder="1" applyAlignment="1">
      <alignment vertical="center" shrinkToFit="1"/>
    </xf>
    <xf numFmtId="177" fontId="26" fillId="4" borderId="14" xfId="0" applyNumberFormat="1" applyFont="1" applyFill="1" applyBorder="1" applyAlignment="1">
      <alignment vertical="center" shrinkToFit="1"/>
    </xf>
    <xf numFmtId="180" fontId="26" fillId="0" borderId="13" xfId="0" applyFont="1" applyBorder="1" applyAlignment="1">
      <alignment horizontal="center" vertical="center" shrinkToFit="1"/>
    </xf>
    <xf numFmtId="177" fontId="26" fillId="4" borderId="15" xfId="0" applyNumberFormat="1" applyFont="1" applyFill="1" applyBorder="1" applyAlignment="1">
      <alignment vertical="center" shrinkToFit="1"/>
    </xf>
    <xf numFmtId="40" fontId="26" fillId="0" borderId="82" xfId="0" applyNumberFormat="1" applyFont="1" applyBorder="1" applyAlignment="1">
      <alignment vertical="center" shrinkToFit="1"/>
    </xf>
    <xf numFmtId="180" fontId="26" fillId="0" borderId="26" xfId="0" applyFont="1" applyFill="1" applyBorder="1" applyAlignment="1">
      <alignment vertical="center" shrinkToFit="1"/>
    </xf>
    <xf numFmtId="180" fontId="26" fillId="0" borderId="0" xfId="0" applyFont="1" applyFill="1" applyAlignment="1">
      <alignment vertical="center" shrinkToFit="1"/>
    </xf>
    <xf numFmtId="180" fontId="26" fillId="0" borderId="0" xfId="0" applyFont="1" applyFill="1" applyBorder="1" applyAlignment="1">
      <alignment horizontal="centerContinuous" vertical="center" shrinkToFit="1"/>
    </xf>
    <xf numFmtId="40" fontId="26" fillId="0" borderId="0" xfId="0" applyNumberFormat="1" applyFont="1" applyBorder="1" applyAlignment="1">
      <alignment vertical="center" shrinkToFit="1"/>
    </xf>
    <xf numFmtId="180" fontId="26" fillId="0" borderId="0" xfId="0" applyFont="1" applyFill="1" applyBorder="1" applyAlignment="1">
      <alignment vertical="center" shrinkToFit="1"/>
    </xf>
    <xf numFmtId="180" fontId="26" fillId="0" borderId="101" xfId="0" applyFont="1" applyFill="1" applyBorder="1" applyAlignment="1">
      <alignment horizontal="centerContinuous" vertical="center" shrinkToFit="1"/>
    </xf>
    <xf numFmtId="40" fontId="26" fillId="0" borderId="101" xfId="0" applyNumberFormat="1" applyFont="1" applyFill="1" applyBorder="1" applyAlignment="1">
      <alignment vertical="center" shrinkToFit="1"/>
    </xf>
    <xf numFmtId="180" fontId="13" fillId="0" borderId="14" xfId="0" applyFont="1" applyBorder="1" applyAlignment="1">
      <alignment vertical="center"/>
    </xf>
    <xf numFmtId="40" fontId="26" fillId="0" borderId="82" xfId="0" applyNumberFormat="1" applyFont="1" applyBorder="1" applyAlignment="1">
      <alignment horizontal="right" vertical="center" shrinkToFit="1"/>
    </xf>
    <xf numFmtId="180" fontId="26" fillId="3" borderId="102" xfId="0" applyFont="1" applyFill="1" applyBorder="1" applyAlignment="1">
      <alignment horizontal="centerContinuous" vertical="center" shrinkToFit="1"/>
    </xf>
    <xf numFmtId="180" fontId="26" fillId="3" borderId="72" xfId="0" applyFont="1" applyFill="1" applyBorder="1" applyAlignment="1">
      <alignment horizontal="centerContinuous" vertical="center" shrinkToFit="1"/>
    </xf>
    <xf numFmtId="40" fontId="26" fillId="0" borderId="103" xfId="0" applyNumberFormat="1" applyFont="1" applyFill="1" applyBorder="1" applyAlignment="1">
      <alignment vertical="center" shrinkToFit="1"/>
    </xf>
    <xf numFmtId="40" fontId="26" fillId="0" borderId="46" xfId="0" applyNumberFormat="1" applyFont="1" applyFill="1" applyBorder="1" applyAlignment="1">
      <alignment vertical="center" shrinkToFit="1"/>
    </xf>
    <xf numFmtId="180" fontId="13" fillId="0" borderId="17" xfId="0" applyFont="1" applyBorder="1" applyAlignment="1">
      <alignment vertical="center"/>
    </xf>
    <xf numFmtId="40" fontId="26" fillId="0" borderId="83" xfId="0" applyNumberFormat="1" applyFont="1" applyBorder="1" applyAlignment="1">
      <alignment horizontal="right" vertical="center" shrinkToFit="1"/>
    </xf>
    <xf numFmtId="180" fontId="26" fillId="3" borderId="73" xfId="0" applyFont="1" applyFill="1" applyBorder="1" applyAlignment="1">
      <alignment horizontal="centerContinuous" vertical="center" shrinkToFit="1"/>
    </xf>
    <xf numFmtId="180" fontId="26" fillId="3" borderId="20" xfId="0" applyFont="1" applyFill="1" applyBorder="1" applyAlignment="1">
      <alignment horizontal="centerContinuous" vertical="center" shrinkToFit="1"/>
    </xf>
    <xf numFmtId="40" fontId="26" fillId="0" borderId="3" xfId="0" applyNumberFormat="1" applyFont="1" applyFill="1" applyBorder="1" applyAlignment="1">
      <alignment vertical="center" shrinkToFit="1"/>
    </xf>
    <xf numFmtId="40" fontId="26" fillId="0" borderId="21" xfId="0" applyNumberFormat="1" applyFont="1" applyFill="1" applyBorder="1" applyAlignment="1">
      <alignment vertical="center" shrinkToFit="1"/>
    </xf>
    <xf numFmtId="40" fontId="26" fillId="0" borderId="82" xfId="0" applyNumberFormat="1" applyFont="1" applyFill="1" applyBorder="1" applyAlignment="1">
      <alignment horizontal="right" vertical="center" shrinkToFit="1"/>
    </xf>
    <xf numFmtId="180" fontId="26" fillId="3" borderId="104" xfId="0" applyFont="1" applyFill="1" applyBorder="1" applyAlignment="1">
      <alignment horizontal="centerContinuous" vertical="center" shrinkToFit="1"/>
    </xf>
    <xf numFmtId="180" fontId="26" fillId="3" borderId="105" xfId="0" applyFont="1" applyFill="1" applyBorder="1" applyAlignment="1">
      <alignment horizontal="centerContinuous" vertical="center" shrinkToFit="1"/>
    </xf>
    <xf numFmtId="40" fontId="26" fillId="0" borderId="106" xfId="0" applyNumberFormat="1" applyFont="1" applyFill="1" applyBorder="1" applyAlignment="1">
      <alignment vertical="center" shrinkToFit="1"/>
    </xf>
    <xf numFmtId="40" fontId="26" fillId="0" borderId="78" xfId="0" applyNumberFormat="1" applyFont="1" applyFill="1" applyBorder="1" applyAlignment="1">
      <alignment vertical="center" shrinkToFit="1"/>
    </xf>
    <xf numFmtId="0" fontId="13" fillId="3" borderId="3" xfId="6" applyFont="1" applyFill="1" applyBorder="1" applyAlignment="1">
      <alignment horizontal="centerContinuous" vertical="center" shrinkToFit="1"/>
    </xf>
    <xf numFmtId="0" fontId="13" fillId="3" borderId="4" xfId="6" applyFont="1" applyFill="1" applyBorder="1" applyAlignment="1">
      <alignment horizontal="centerContinuous" vertical="center" shrinkToFit="1"/>
    </xf>
    <xf numFmtId="0" fontId="13" fillId="3" borderId="5" xfId="6" applyFont="1" applyFill="1" applyBorder="1" applyAlignment="1">
      <alignment horizontal="centerContinuous" vertical="center" shrinkToFit="1"/>
    </xf>
    <xf numFmtId="180" fontId="26" fillId="3" borderId="41" xfId="0" applyFont="1" applyFill="1" applyBorder="1" applyAlignment="1">
      <alignment horizontal="centerContinuous" vertical="center" shrinkToFit="1"/>
    </xf>
    <xf numFmtId="180" fontId="26" fillId="3" borderId="42" xfId="0" applyFont="1" applyFill="1" applyBorder="1" applyAlignment="1">
      <alignment horizontal="centerContinuous" vertical="center" shrinkToFit="1"/>
    </xf>
    <xf numFmtId="180" fontId="9" fillId="2" borderId="0" xfId="0" applyFont="1" applyFill="1">
      <alignment vertical="center"/>
    </xf>
    <xf numFmtId="180" fontId="9" fillId="2" borderId="0" xfId="0" applyFont="1" applyFill="1" applyAlignment="1">
      <alignment horizontal="center" vertical="center"/>
    </xf>
    <xf numFmtId="180" fontId="9" fillId="8" borderId="20" xfId="0" applyFont="1" applyFill="1" applyBorder="1" applyAlignment="1">
      <alignment horizontal="center" vertical="center"/>
    </xf>
    <xf numFmtId="180" fontId="25" fillId="2" borderId="0" xfId="0" applyFont="1" applyFill="1">
      <alignment vertical="center"/>
    </xf>
    <xf numFmtId="180" fontId="25" fillId="0" borderId="0" xfId="0" applyFont="1" applyFill="1">
      <alignment vertical="center"/>
    </xf>
    <xf numFmtId="180" fontId="9" fillId="0" borderId="0" xfId="0" applyFont="1" applyFill="1" applyAlignment="1">
      <alignment horizontal="center" vertical="center"/>
    </xf>
    <xf numFmtId="180" fontId="9" fillId="3" borderId="36" xfId="0" applyFont="1" applyFill="1" applyBorder="1" applyAlignment="1">
      <alignment vertical="center" textRotation="255"/>
    </xf>
    <xf numFmtId="180" fontId="0" fillId="3" borderId="103" xfId="0" applyFill="1" applyBorder="1" applyAlignment="1">
      <alignment horizontal="right" vertical="center"/>
    </xf>
    <xf numFmtId="180" fontId="0" fillId="3" borderId="25" xfId="0" applyFill="1" applyBorder="1" applyAlignment="1">
      <alignment horizontal="left" vertical="center"/>
    </xf>
    <xf numFmtId="180" fontId="14" fillId="6" borderId="79" xfId="0" applyFont="1" applyFill="1" applyBorder="1" applyAlignment="1">
      <alignment horizontal="center" vertical="center" shrinkToFit="1"/>
    </xf>
    <xf numFmtId="180" fontId="14" fillId="0" borderId="107" xfId="0" applyFont="1" applyBorder="1" applyAlignment="1">
      <alignment horizontal="center" vertical="center" shrinkToFit="1"/>
    </xf>
    <xf numFmtId="180" fontId="14" fillId="0" borderId="108" xfId="0" applyFont="1" applyBorder="1" applyAlignment="1">
      <alignment horizontal="center" vertical="center" shrinkToFit="1"/>
    </xf>
    <xf numFmtId="180" fontId="14" fillId="0" borderId="22" xfId="0" applyFont="1" applyBorder="1" applyAlignment="1">
      <alignment horizontal="center" vertical="center" shrinkToFit="1"/>
    </xf>
    <xf numFmtId="180" fontId="14" fillId="0" borderId="29" xfId="0" applyFont="1" applyBorder="1" applyAlignment="1">
      <alignment horizontal="center" vertical="center" shrinkToFit="1"/>
    </xf>
    <xf numFmtId="180" fontId="3" fillId="3" borderId="20" xfId="0" applyFont="1" applyFill="1" applyBorder="1" applyAlignment="1">
      <alignment horizontal="center" vertical="center"/>
    </xf>
    <xf numFmtId="40" fontId="14" fillId="0" borderId="83" xfId="0" applyNumberFormat="1" applyFont="1" applyBorder="1" applyAlignment="1">
      <alignment horizontal="center" vertical="center" shrinkToFit="1"/>
    </xf>
    <xf numFmtId="40" fontId="14" fillId="0" borderId="70" xfId="0" applyNumberFormat="1" applyFont="1" applyBorder="1" applyAlignment="1">
      <alignment horizontal="center" vertical="center" shrinkToFit="1"/>
    </xf>
    <xf numFmtId="40" fontId="14" fillId="0" borderId="71" xfId="0" applyNumberFormat="1" applyFont="1" applyBorder="1" applyAlignment="1">
      <alignment horizontal="center" vertical="center" shrinkToFit="1"/>
    </xf>
    <xf numFmtId="40" fontId="14" fillId="0" borderId="7" xfId="0" applyNumberFormat="1" applyFont="1" applyBorder="1" applyAlignment="1">
      <alignment horizontal="center" vertical="center" shrinkToFit="1"/>
    </xf>
    <xf numFmtId="40" fontId="14" fillId="0" borderId="0" xfId="0" applyNumberFormat="1" applyFont="1" applyBorder="1" applyAlignment="1">
      <alignment horizontal="center" vertical="center" shrinkToFit="1"/>
    </xf>
    <xf numFmtId="180" fontId="14" fillId="6" borderId="82" xfId="0" applyFont="1" applyFill="1" applyBorder="1" applyAlignment="1">
      <alignment horizontal="center" vertical="center" shrinkToFit="1"/>
    </xf>
    <xf numFmtId="180" fontId="14" fillId="0" borderId="65" xfId="0" applyFont="1" applyBorder="1" applyAlignment="1">
      <alignment horizontal="center" vertical="center" shrinkToFit="1"/>
    </xf>
    <xf numFmtId="180" fontId="14" fillId="0" borderId="64" xfId="0" applyFont="1" applyBorder="1" applyAlignment="1">
      <alignment horizontal="center" vertical="center" shrinkToFit="1"/>
    </xf>
    <xf numFmtId="180" fontId="14" fillId="0" borderId="51" xfId="0" applyFont="1" applyBorder="1" applyAlignment="1">
      <alignment horizontal="center" vertical="center" shrinkToFit="1"/>
    </xf>
    <xf numFmtId="40" fontId="14" fillId="0" borderId="69" xfId="0" applyNumberFormat="1" applyFont="1" applyBorder="1" applyAlignment="1">
      <alignment horizontal="center" vertical="center" shrinkToFit="1"/>
    </xf>
    <xf numFmtId="40" fontId="14" fillId="0" borderId="22" xfId="0" applyNumberFormat="1" applyFont="1" applyBorder="1" applyAlignment="1">
      <alignment horizontal="center" vertical="center" shrinkToFit="1"/>
    </xf>
    <xf numFmtId="180" fontId="14" fillId="0" borderId="31" xfId="0" applyFont="1" applyBorder="1" applyAlignment="1">
      <alignment horizontal="center" vertical="center" shrinkToFit="1"/>
    </xf>
    <xf numFmtId="180" fontId="14" fillId="0" borderId="51" xfId="0" applyFont="1" applyFill="1" applyBorder="1" applyAlignment="1">
      <alignment horizontal="center" vertical="center" shrinkToFit="1"/>
    </xf>
    <xf numFmtId="187" fontId="14" fillId="0" borderId="80" xfId="0" applyNumberFormat="1" applyFont="1" applyBorder="1" applyAlignment="1">
      <alignment horizontal="center" vertical="center" shrinkToFit="1"/>
    </xf>
    <xf numFmtId="187" fontId="14" fillId="0" borderId="68" xfId="0" applyNumberFormat="1" applyFont="1" applyBorder="1" applyAlignment="1">
      <alignment horizontal="center" vertical="center" shrinkToFit="1"/>
    </xf>
    <xf numFmtId="187" fontId="14" fillId="0" borderId="67" xfId="0" applyNumberFormat="1" applyFont="1" applyBorder="1" applyAlignment="1">
      <alignment horizontal="center" vertical="center" shrinkToFit="1"/>
    </xf>
    <xf numFmtId="187" fontId="14" fillId="0" borderId="33" xfId="0" applyNumberFormat="1" applyFont="1" applyBorder="1" applyAlignment="1">
      <alignment horizontal="center" vertical="center" shrinkToFit="1"/>
    </xf>
    <xf numFmtId="187" fontId="14" fillId="0" borderId="52" xfId="0" applyNumberFormat="1" applyFont="1" applyFill="1" applyBorder="1" applyAlignment="1">
      <alignment horizontal="center" vertical="center" shrinkToFit="1"/>
    </xf>
    <xf numFmtId="40" fontId="14" fillId="0" borderId="35" xfId="0" applyNumberFormat="1" applyFont="1" applyBorder="1" applyAlignment="1">
      <alignment horizontal="center" vertical="center" shrinkToFit="1"/>
    </xf>
    <xf numFmtId="40" fontId="14" fillId="0" borderId="71" xfId="0" applyNumberFormat="1" applyFont="1" applyFill="1" applyBorder="1" applyAlignment="1">
      <alignment horizontal="center" vertical="center" shrinkToFit="1"/>
    </xf>
    <xf numFmtId="188" fontId="14" fillId="0" borderId="82" xfId="0" applyNumberFormat="1" applyFont="1" applyFill="1" applyBorder="1" applyAlignment="1">
      <alignment horizontal="center" vertical="center" shrinkToFit="1"/>
    </xf>
    <xf numFmtId="202" fontId="14" fillId="0" borderId="65" xfId="0" applyNumberFormat="1" applyFont="1" applyBorder="1" applyAlignment="1">
      <alignment horizontal="center" vertical="center" shrinkToFit="1"/>
    </xf>
    <xf numFmtId="202" fontId="14" fillId="0" borderId="64" xfId="0" applyNumberFormat="1" applyFont="1" applyBorder="1" applyAlignment="1">
      <alignment horizontal="center" vertical="center" shrinkToFit="1"/>
    </xf>
    <xf numFmtId="202" fontId="14" fillId="0" borderId="51" xfId="0" applyNumberFormat="1" applyFont="1" applyBorder="1" applyAlignment="1">
      <alignment horizontal="center" vertical="center" shrinkToFit="1"/>
    </xf>
    <xf numFmtId="40" fontId="14" fillId="0" borderId="8" xfId="0" applyNumberFormat="1" applyFont="1" applyBorder="1" applyAlignment="1">
      <alignment horizontal="center" vertical="center" shrinkToFit="1"/>
    </xf>
    <xf numFmtId="180" fontId="3" fillId="3" borderId="109" xfId="0" applyFont="1" applyFill="1" applyBorder="1" applyAlignment="1">
      <alignment horizontal="center" vertical="center"/>
    </xf>
    <xf numFmtId="180" fontId="3" fillId="3" borderId="110" xfId="0" applyFont="1" applyFill="1" applyBorder="1" applyAlignment="1">
      <alignment horizontal="center" vertical="center"/>
    </xf>
    <xf numFmtId="180" fontId="3" fillId="4" borderId="110" xfId="0" applyFont="1" applyFill="1" applyBorder="1" applyAlignment="1">
      <alignment horizontal="center" vertical="center"/>
    </xf>
    <xf numFmtId="40" fontId="14" fillId="4" borderId="109" xfId="0" applyNumberFormat="1" applyFont="1" applyFill="1" applyBorder="1">
      <alignment vertical="center"/>
    </xf>
    <xf numFmtId="40" fontId="14" fillId="4" borderId="110" xfId="0" applyNumberFormat="1" applyFont="1" applyFill="1" applyBorder="1">
      <alignment vertical="center"/>
    </xf>
    <xf numFmtId="188" fontId="14" fillId="0" borderId="20" xfId="0" applyNumberFormat="1" applyFont="1" applyFill="1" applyBorder="1">
      <alignment vertical="center"/>
    </xf>
    <xf numFmtId="180" fontId="0" fillId="3" borderId="3" xfId="0" applyFill="1" applyBorder="1" applyAlignment="1">
      <alignment horizontal="right" vertical="center"/>
    </xf>
    <xf numFmtId="180" fontId="0" fillId="3" borderId="5" xfId="0" applyFill="1" applyBorder="1" applyAlignment="1">
      <alignment horizontal="left" vertical="center"/>
    </xf>
    <xf numFmtId="180" fontId="14" fillId="0" borderId="30" xfId="0" applyFont="1" applyBorder="1" applyAlignment="1">
      <alignment horizontal="center" vertical="center" shrinkToFit="1"/>
    </xf>
    <xf numFmtId="180" fontId="14" fillId="0" borderId="19" xfId="0" applyFont="1" applyBorder="1" applyAlignment="1">
      <alignment horizontal="center" vertical="center" shrinkToFit="1"/>
    </xf>
    <xf numFmtId="40" fontId="14" fillId="0" borderId="29" xfId="0" applyNumberFormat="1" applyFont="1" applyBorder="1" applyAlignment="1">
      <alignment horizontal="center" vertical="center" shrinkToFit="1"/>
    </xf>
    <xf numFmtId="40" fontId="14" fillId="0" borderId="34" xfId="0" applyNumberFormat="1" applyFont="1" applyBorder="1" applyAlignment="1">
      <alignment horizontal="center" vertical="center" shrinkToFit="1"/>
    </xf>
    <xf numFmtId="40" fontId="14" fillId="0" borderId="25" xfId="0" applyNumberFormat="1" applyFont="1" applyBorder="1" applyAlignment="1">
      <alignment horizontal="center" vertical="center" shrinkToFit="1"/>
    </xf>
    <xf numFmtId="180" fontId="3" fillId="4" borderId="111" xfId="0" applyFont="1" applyFill="1" applyBorder="1" applyAlignment="1">
      <alignment horizontal="center" vertical="center"/>
    </xf>
    <xf numFmtId="40" fontId="14" fillId="4" borderId="111" xfId="0" applyNumberFormat="1" applyFont="1" applyFill="1" applyBorder="1">
      <alignment vertical="center"/>
    </xf>
    <xf numFmtId="196" fontId="14" fillId="4" borderId="20" xfId="0" applyNumberFormat="1" applyFont="1" applyFill="1" applyBorder="1">
      <alignment vertical="center"/>
    </xf>
    <xf numFmtId="188" fontId="14" fillId="6" borderId="82" xfId="0" applyNumberFormat="1" applyFont="1" applyFill="1" applyBorder="1" applyAlignment="1">
      <alignment horizontal="center" vertical="center" shrinkToFit="1"/>
    </xf>
    <xf numFmtId="188" fontId="14" fillId="0" borderId="80" xfId="0" applyNumberFormat="1" applyFont="1" applyBorder="1" applyAlignment="1">
      <alignment horizontal="center" vertical="center" shrinkToFit="1"/>
    </xf>
    <xf numFmtId="188" fontId="14" fillId="0" borderId="68" xfId="0" applyNumberFormat="1" applyFont="1" applyBorder="1" applyAlignment="1">
      <alignment horizontal="center" vertical="center" shrinkToFit="1"/>
    </xf>
    <xf numFmtId="188" fontId="14" fillId="0" borderId="67" xfId="0" applyNumberFormat="1" applyFont="1" applyBorder="1" applyAlignment="1">
      <alignment horizontal="center" vertical="center" shrinkToFit="1"/>
    </xf>
    <xf numFmtId="188" fontId="14" fillId="0" borderId="33" xfId="0" applyNumberFormat="1" applyFont="1" applyBorder="1" applyAlignment="1">
      <alignment horizontal="center" vertical="center" shrinkToFit="1"/>
    </xf>
    <xf numFmtId="188" fontId="14" fillId="0" borderId="52" xfId="0" applyNumberFormat="1" applyFont="1" applyFill="1" applyBorder="1" applyAlignment="1">
      <alignment horizontal="center" vertical="center" shrinkToFit="1"/>
    </xf>
    <xf numFmtId="196" fontId="14" fillId="4" borderId="71" xfId="0" applyNumberFormat="1" applyFont="1" applyFill="1" applyBorder="1" applyAlignment="1">
      <alignment vertical="center"/>
    </xf>
    <xf numFmtId="188" fontId="14" fillId="0" borderId="71" xfId="0" applyNumberFormat="1" applyFont="1" applyFill="1" applyBorder="1" applyAlignment="1">
      <alignment vertical="center"/>
    </xf>
    <xf numFmtId="180" fontId="9" fillId="3" borderId="36" xfId="0" applyFont="1" applyFill="1" applyBorder="1" applyAlignment="1">
      <alignment horizontal="center" vertical="center" wrapText="1"/>
    </xf>
    <xf numFmtId="190" fontId="14" fillId="0" borderId="80" xfId="0" applyNumberFormat="1" applyFont="1" applyBorder="1" applyAlignment="1">
      <alignment horizontal="center" vertical="center" shrinkToFit="1"/>
    </xf>
    <xf numFmtId="190" fontId="14" fillId="0" borderId="68" xfId="0" applyNumberFormat="1" applyFont="1" applyBorder="1" applyAlignment="1">
      <alignment horizontal="center" vertical="center" shrinkToFit="1"/>
    </xf>
    <xf numFmtId="190" fontId="14" fillId="0" borderId="67" xfId="0" applyNumberFormat="1" applyFont="1" applyBorder="1" applyAlignment="1">
      <alignment horizontal="center" vertical="center" shrinkToFit="1"/>
    </xf>
    <xf numFmtId="190" fontId="14" fillId="0" borderId="33" xfId="0" applyNumberFormat="1" applyFont="1" applyBorder="1" applyAlignment="1">
      <alignment horizontal="center" vertical="center" shrinkToFit="1"/>
    </xf>
    <xf numFmtId="190" fontId="14" fillId="0" borderId="52" xfId="0" applyNumberFormat="1" applyFont="1" applyFill="1" applyBorder="1" applyAlignment="1">
      <alignment horizontal="center" vertical="center" shrinkToFit="1"/>
    </xf>
    <xf numFmtId="0" fontId="14" fillId="0" borderId="2" xfId="0" applyNumberFormat="1" applyFont="1" applyBorder="1" applyAlignment="1">
      <alignment horizontal="center" vertical="center" shrinkToFit="1"/>
    </xf>
    <xf numFmtId="195" fontId="14" fillId="4" borderId="20" xfId="0" applyNumberFormat="1" applyFont="1" applyFill="1" applyBorder="1">
      <alignment vertical="center"/>
    </xf>
    <xf numFmtId="190" fontId="14" fillId="0" borderId="5" xfId="0" applyNumberFormat="1" applyFont="1" applyFill="1" applyBorder="1">
      <alignment vertical="center"/>
    </xf>
    <xf numFmtId="180" fontId="9" fillId="3" borderId="36" xfId="0" applyFont="1" applyFill="1" applyBorder="1" applyAlignment="1">
      <alignment horizontal="center" vertical="center" textRotation="255" wrapText="1"/>
    </xf>
    <xf numFmtId="192" fontId="14" fillId="0" borderId="80" xfId="0" applyNumberFormat="1" applyFont="1" applyBorder="1" applyAlignment="1">
      <alignment horizontal="center" vertical="center" shrinkToFit="1"/>
    </xf>
    <xf numFmtId="192" fontId="14" fillId="0" borderId="68" xfId="0" applyNumberFormat="1" applyFont="1" applyBorder="1" applyAlignment="1">
      <alignment horizontal="center" vertical="center" shrinkToFit="1"/>
    </xf>
    <xf numFmtId="192" fontId="14" fillId="0" borderId="67" xfId="0" applyNumberFormat="1" applyFont="1" applyBorder="1" applyAlignment="1">
      <alignment horizontal="center" vertical="center" shrinkToFit="1"/>
    </xf>
    <xf numFmtId="192" fontId="14" fillId="0" borderId="33" xfId="0" applyNumberFormat="1" applyFont="1" applyBorder="1" applyAlignment="1">
      <alignment horizontal="center" vertical="center" shrinkToFit="1"/>
    </xf>
    <xf numFmtId="192" fontId="14" fillId="0" borderId="52" xfId="0" applyNumberFormat="1" applyFont="1" applyFill="1" applyBorder="1" applyAlignment="1">
      <alignment horizontal="center" vertical="center" shrinkToFit="1"/>
    </xf>
    <xf numFmtId="0" fontId="14" fillId="0" borderId="0" xfId="0" applyNumberFormat="1" applyFont="1" applyBorder="1" applyAlignment="1">
      <alignment horizontal="center" vertical="center" shrinkToFit="1"/>
    </xf>
    <xf numFmtId="192" fontId="14" fillId="0" borderId="20" xfId="0" applyNumberFormat="1" applyFont="1" applyFill="1" applyBorder="1" applyAlignment="1">
      <alignment vertical="center" shrinkToFit="1"/>
    </xf>
    <xf numFmtId="180" fontId="9" fillId="3" borderId="1" xfId="0" applyFont="1" applyFill="1" applyBorder="1" applyAlignment="1">
      <alignment horizontal="center" vertical="center" textRotation="255" wrapText="1"/>
    </xf>
    <xf numFmtId="180" fontId="9" fillId="3" borderId="19" xfId="0" applyFont="1" applyFill="1" applyBorder="1" applyAlignment="1">
      <alignment horizontal="center" vertical="center" textRotation="255" wrapText="1"/>
    </xf>
    <xf numFmtId="191" fontId="14" fillId="6" borderId="82" xfId="0" applyNumberFormat="1" applyFont="1" applyFill="1" applyBorder="1" applyAlignment="1">
      <alignment horizontal="center" vertical="center" shrinkToFit="1"/>
    </xf>
    <xf numFmtId="191" fontId="14" fillId="0" borderId="65" xfId="0" applyNumberFormat="1" applyFont="1" applyBorder="1" applyAlignment="1">
      <alignment horizontal="center" vertical="center" shrinkToFit="1"/>
    </xf>
    <xf numFmtId="191" fontId="14" fillId="0" borderId="64" xfId="0" applyNumberFormat="1" applyFont="1" applyBorder="1" applyAlignment="1">
      <alignment horizontal="center" vertical="center" shrinkToFit="1"/>
    </xf>
    <xf numFmtId="191" fontId="14" fillId="0" borderId="31" xfId="0" applyNumberFormat="1" applyFont="1" applyBorder="1" applyAlignment="1">
      <alignment horizontal="center" vertical="center" shrinkToFit="1"/>
    </xf>
    <xf numFmtId="191" fontId="14" fillId="0" borderId="51" xfId="0" applyNumberFormat="1" applyFont="1" applyFill="1" applyBorder="1" applyAlignment="1">
      <alignment horizontal="center" vertical="center" shrinkToFit="1"/>
    </xf>
    <xf numFmtId="0" fontId="14" fillId="0" borderId="80" xfId="0" applyNumberFormat="1" applyFont="1" applyBorder="1" applyAlignment="1">
      <alignment horizontal="center" vertical="center" shrinkToFit="1"/>
    </xf>
    <xf numFmtId="191" fontId="14" fillId="4" borderId="109" xfId="0" applyNumberFormat="1" applyFont="1" applyFill="1" applyBorder="1" applyAlignment="1">
      <alignment horizontal="center" vertical="center"/>
    </xf>
    <xf numFmtId="191" fontId="14" fillId="4" borderId="110" xfId="0" applyNumberFormat="1" applyFont="1" applyFill="1" applyBorder="1" applyAlignment="1">
      <alignment horizontal="center" vertical="center"/>
    </xf>
    <xf numFmtId="40" fontId="14" fillId="0" borderId="81" xfId="0" applyNumberFormat="1" applyFont="1" applyBorder="1" applyAlignment="1">
      <alignment horizontal="center" vertical="center" shrinkToFit="1"/>
    </xf>
    <xf numFmtId="40" fontId="14" fillId="0" borderId="116" xfId="0" applyNumberFormat="1" applyFont="1" applyBorder="1" applyAlignment="1">
      <alignment horizontal="center" vertical="center" shrinkToFit="1"/>
    </xf>
    <xf numFmtId="40" fontId="14" fillId="0" borderId="117" xfId="0" applyNumberFormat="1" applyFont="1" applyBorder="1" applyAlignment="1">
      <alignment horizontal="center" vertical="center" shrinkToFit="1"/>
    </xf>
    <xf numFmtId="40" fontId="14" fillId="0" borderId="118" xfId="0" applyNumberFormat="1" applyFont="1" applyBorder="1" applyAlignment="1">
      <alignment horizontal="center" vertical="center" shrinkToFit="1"/>
    </xf>
    <xf numFmtId="180" fontId="14" fillId="0" borderId="51" xfId="0" applyFont="1" applyBorder="1" applyAlignment="1">
      <alignment horizontal="center" vertical="center"/>
    </xf>
    <xf numFmtId="205" fontId="14" fillId="0" borderId="65" xfId="0" applyNumberFormat="1" applyFont="1" applyBorder="1" applyAlignment="1">
      <alignment horizontal="center" vertical="center" shrinkToFit="1"/>
    </xf>
    <xf numFmtId="205" fontId="14" fillId="0" borderId="64" xfId="0" applyNumberFormat="1" applyFont="1" applyBorder="1" applyAlignment="1">
      <alignment horizontal="center" vertical="center" shrinkToFit="1"/>
    </xf>
    <xf numFmtId="205" fontId="14" fillId="4" borderId="20" xfId="0" applyNumberFormat="1" applyFont="1" applyFill="1" applyBorder="1" applyAlignment="1">
      <alignment horizontal="center" vertical="center"/>
    </xf>
    <xf numFmtId="0" fontId="14" fillId="0" borderId="65" xfId="0" applyNumberFormat="1" applyFont="1" applyBorder="1" applyAlignment="1">
      <alignment horizontal="center" vertical="center" shrinkToFit="1"/>
    </xf>
    <xf numFmtId="0" fontId="14" fillId="0" borderId="51" xfId="0" applyNumberFormat="1" applyFont="1" applyFill="1" applyBorder="1" applyAlignment="1">
      <alignment horizontal="center" vertical="center" shrinkToFit="1"/>
    </xf>
    <xf numFmtId="191" fontId="14" fillId="0" borderId="68" xfId="0" applyNumberFormat="1" applyFont="1" applyBorder="1" applyAlignment="1">
      <alignment horizontal="center" vertical="center" shrinkToFit="1"/>
    </xf>
    <xf numFmtId="191" fontId="14" fillId="0" borderId="67" xfId="0" applyNumberFormat="1" applyFont="1" applyBorder="1" applyAlignment="1">
      <alignment horizontal="center" vertical="center" shrinkToFit="1"/>
    </xf>
    <xf numFmtId="191" fontId="14" fillId="0" borderId="33" xfId="0" applyNumberFormat="1" applyFont="1" applyBorder="1" applyAlignment="1">
      <alignment horizontal="center" vertical="center" shrinkToFit="1"/>
    </xf>
    <xf numFmtId="191" fontId="14" fillId="4" borderId="20" xfId="0" applyNumberFormat="1" applyFont="1" applyFill="1" applyBorder="1" applyAlignment="1">
      <alignment horizontal="center" vertical="center"/>
    </xf>
    <xf numFmtId="40" fontId="14" fillId="0" borderId="83" xfId="2" applyNumberFormat="1" applyFont="1" applyBorder="1" applyAlignment="1">
      <alignment horizontal="center" vertical="center" shrinkToFit="1"/>
    </xf>
    <xf numFmtId="40" fontId="14" fillId="0" borderId="70" xfId="2" applyNumberFormat="1" applyFont="1" applyBorder="1" applyAlignment="1">
      <alignment horizontal="center" vertical="center" shrinkToFit="1"/>
    </xf>
    <xf numFmtId="40" fontId="14" fillId="0" borderId="71" xfId="2" applyNumberFormat="1" applyFont="1" applyBorder="1" applyAlignment="1">
      <alignment horizontal="center" vertical="center" shrinkToFit="1"/>
    </xf>
    <xf numFmtId="180" fontId="14" fillId="0" borderId="31" xfId="0" applyFont="1" applyFill="1" applyBorder="1" applyAlignment="1">
      <alignment horizontal="center" vertical="center" shrinkToFit="1"/>
    </xf>
    <xf numFmtId="180" fontId="14" fillId="0" borderId="87" xfId="0" applyFont="1" applyFill="1" applyBorder="1" applyAlignment="1">
      <alignment horizontal="center" vertical="center" shrinkToFit="1"/>
    </xf>
    <xf numFmtId="187" fontId="14" fillId="0" borderId="80" xfId="2" applyNumberFormat="1" applyFont="1" applyBorder="1" applyAlignment="1">
      <alignment horizontal="center" vertical="center" shrinkToFit="1"/>
    </xf>
    <xf numFmtId="187" fontId="14" fillId="0" borderId="68" xfId="2" applyNumberFormat="1" applyFont="1" applyBorder="1" applyAlignment="1">
      <alignment horizontal="center" vertical="center" shrinkToFit="1"/>
    </xf>
    <xf numFmtId="187" fontId="14" fillId="0" borderId="67" xfId="2" applyNumberFormat="1" applyFont="1" applyBorder="1" applyAlignment="1">
      <alignment horizontal="center" vertical="center" shrinkToFit="1"/>
    </xf>
    <xf numFmtId="187" fontId="14" fillId="0" borderId="33" xfId="0" applyNumberFormat="1" applyFont="1" applyFill="1" applyBorder="1" applyAlignment="1">
      <alignment horizontal="center" vertical="center" shrinkToFit="1"/>
    </xf>
    <xf numFmtId="187" fontId="14" fillId="0" borderId="87" xfId="0" applyNumberFormat="1" applyFont="1" applyFill="1" applyBorder="1" applyAlignment="1">
      <alignment horizontal="center" vertical="center" shrinkToFit="1"/>
    </xf>
    <xf numFmtId="40" fontId="14" fillId="0" borderId="35" xfId="0" applyNumberFormat="1" applyFont="1" applyFill="1" applyBorder="1" applyAlignment="1">
      <alignment horizontal="center" vertical="center" shrinkToFit="1"/>
    </xf>
    <xf numFmtId="40" fontId="14" fillId="0" borderId="87" xfId="0" applyNumberFormat="1" applyFont="1" applyFill="1" applyBorder="1" applyAlignment="1">
      <alignment horizontal="center" vertical="center" shrinkToFit="1"/>
    </xf>
    <xf numFmtId="180" fontId="14" fillId="0" borderId="119" xfId="0" applyFont="1" applyBorder="1" applyAlignment="1">
      <alignment horizontal="center" vertical="center" shrinkToFit="1"/>
    </xf>
    <xf numFmtId="188" fontId="14" fillId="0" borderId="120" xfId="0" applyNumberFormat="1" applyFont="1" applyBorder="1" applyAlignment="1">
      <alignment horizontal="center" vertical="center" shrinkToFit="1"/>
    </xf>
    <xf numFmtId="40" fontId="14" fillId="0" borderId="120" xfId="0" applyNumberFormat="1" applyFont="1" applyBorder="1" applyAlignment="1">
      <alignment horizontal="center" vertical="center" shrinkToFit="1"/>
    </xf>
    <xf numFmtId="40" fontId="14" fillId="4" borderId="65" xfId="0" applyNumberFormat="1" applyFont="1" applyFill="1" applyBorder="1">
      <alignment vertical="center"/>
    </xf>
    <xf numFmtId="40" fontId="14" fillId="4" borderId="64" xfId="0" applyNumberFormat="1" applyFont="1" applyFill="1" applyBorder="1">
      <alignment vertical="center"/>
    </xf>
    <xf numFmtId="40" fontId="14" fillId="4" borderId="51" xfId="0" applyNumberFormat="1" applyFont="1" applyFill="1" applyBorder="1">
      <alignment vertical="center"/>
    </xf>
    <xf numFmtId="40" fontId="14" fillId="4" borderId="69" xfId="0" applyNumberFormat="1" applyFont="1" applyFill="1" applyBorder="1">
      <alignment vertical="center"/>
    </xf>
    <xf numFmtId="40" fontId="14" fillId="4" borderId="71" xfId="0" applyNumberFormat="1" applyFont="1" applyFill="1" applyBorder="1">
      <alignment vertical="center"/>
    </xf>
    <xf numFmtId="180" fontId="3" fillId="3" borderId="83" xfId="0" applyFont="1" applyFill="1" applyBorder="1" applyAlignment="1">
      <alignment horizontal="center" vertical="center"/>
    </xf>
    <xf numFmtId="180" fontId="14" fillId="0" borderId="16" xfId="0" applyFont="1" applyBorder="1" applyAlignment="1">
      <alignment horizontal="center" vertical="center" shrinkToFit="1"/>
    </xf>
    <xf numFmtId="187" fontId="14" fillId="0" borderId="16" xfId="0" applyNumberFormat="1" applyFont="1" applyFill="1" applyBorder="1">
      <alignment vertical="center"/>
    </xf>
    <xf numFmtId="188" fontId="14" fillId="0" borderId="4" xfId="0" applyNumberFormat="1" applyFont="1" applyFill="1" applyBorder="1" applyAlignment="1">
      <alignment vertical="center"/>
    </xf>
    <xf numFmtId="188" fontId="14" fillId="0" borderId="4" xfId="0" applyNumberFormat="1" applyFont="1" applyBorder="1">
      <alignment vertical="center"/>
    </xf>
    <xf numFmtId="180" fontId="14" fillId="0" borderId="5" xfId="0" applyFont="1" applyBorder="1" applyAlignment="1">
      <alignment vertical="center" shrinkToFit="1"/>
    </xf>
    <xf numFmtId="180" fontId="14" fillId="0" borderId="64" xfId="0" applyFont="1" applyFill="1" applyBorder="1" applyAlignment="1">
      <alignment horizontal="center" vertical="center" shrinkToFit="1"/>
    </xf>
    <xf numFmtId="180" fontId="14" fillId="0" borderId="115" xfId="0" applyFont="1" applyFill="1" applyBorder="1" applyAlignment="1">
      <alignment horizontal="center" vertical="center" shrinkToFit="1"/>
    </xf>
    <xf numFmtId="187" fontId="14" fillId="0" borderId="67" xfId="0" applyNumberFormat="1" applyFont="1" applyFill="1" applyBorder="1" applyAlignment="1">
      <alignment horizontal="center" vertical="center" shrinkToFit="1"/>
    </xf>
    <xf numFmtId="187" fontId="14" fillId="0" borderId="113" xfId="0" applyNumberFormat="1" applyFont="1" applyFill="1" applyBorder="1" applyAlignment="1">
      <alignment horizontal="center" vertical="center" shrinkToFit="1"/>
    </xf>
    <xf numFmtId="40" fontId="14" fillId="0" borderId="69" xfId="0" applyNumberFormat="1" applyFont="1" applyFill="1" applyBorder="1" applyAlignment="1">
      <alignment horizontal="center" vertical="center" shrinkToFit="1"/>
    </xf>
    <xf numFmtId="40" fontId="14" fillId="0" borderId="113" xfId="0" applyNumberFormat="1" applyFont="1" applyFill="1" applyBorder="1" applyAlignment="1">
      <alignment horizontal="center" vertical="center" shrinkToFit="1"/>
    </xf>
    <xf numFmtId="40" fontId="14" fillId="0" borderId="35" xfId="2" applyNumberFormat="1" applyFont="1" applyBorder="1" applyAlignment="1">
      <alignment horizontal="center" vertical="center" shrinkToFit="1"/>
    </xf>
    <xf numFmtId="191" fontId="14" fillId="0" borderId="1" xfId="0" applyNumberFormat="1" applyFont="1" applyBorder="1" applyAlignment="1">
      <alignment horizontal="center" vertical="center" shrinkToFit="1"/>
    </xf>
    <xf numFmtId="191" fontId="14" fillId="0" borderId="19" xfId="0" applyNumberFormat="1" applyFont="1" applyFill="1" applyBorder="1" applyAlignment="1">
      <alignment horizontal="center" vertical="center" shrinkToFit="1"/>
    </xf>
    <xf numFmtId="40" fontId="14" fillId="0" borderId="7" xfId="2" applyNumberFormat="1" applyFont="1" applyBorder="1" applyAlignment="1">
      <alignment horizontal="center" vertical="center" shrinkToFit="1"/>
    </xf>
    <xf numFmtId="40" fontId="14" fillId="0" borderId="25" xfId="2" applyNumberFormat="1" applyFont="1" applyBorder="1" applyAlignment="1">
      <alignment horizontal="center" vertical="center" shrinkToFit="1"/>
    </xf>
    <xf numFmtId="191" fontId="14" fillId="4" borderId="51" xfId="0" applyNumberFormat="1" applyFont="1" applyFill="1" applyBorder="1" applyAlignment="1">
      <alignment horizontal="center" vertical="center" shrinkToFit="1"/>
    </xf>
    <xf numFmtId="191" fontId="14" fillId="0" borderId="51" xfId="0" applyNumberFormat="1" applyFont="1" applyBorder="1" applyAlignment="1">
      <alignment horizontal="center" vertical="center" shrinkToFit="1"/>
    </xf>
    <xf numFmtId="189" fontId="14" fillId="0" borderId="65" xfId="0" applyNumberFormat="1" applyFont="1" applyBorder="1" applyAlignment="1">
      <alignment horizontal="center" vertical="center" shrinkToFit="1"/>
    </xf>
    <xf numFmtId="189" fontId="14" fillId="0" borderId="64" xfId="0" applyNumberFormat="1" applyFont="1" applyBorder="1" applyAlignment="1">
      <alignment horizontal="center" vertical="center" shrinkToFit="1"/>
    </xf>
    <xf numFmtId="189" fontId="14" fillId="4" borderId="51" xfId="0" applyNumberFormat="1" applyFont="1" applyFill="1" applyBorder="1" applyAlignment="1">
      <alignment horizontal="center" vertical="center" shrinkToFit="1"/>
    </xf>
    <xf numFmtId="203" fontId="14" fillId="0" borderId="65" xfId="0" applyNumberFormat="1" applyFont="1" applyBorder="1" applyAlignment="1">
      <alignment horizontal="center" vertical="center" shrinkToFit="1"/>
    </xf>
    <xf numFmtId="203" fontId="14" fillId="0" borderId="64" xfId="0" applyNumberFormat="1" applyFont="1" applyBorder="1" applyAlignment="1">
      <alignment horizontal="center" vertical="center" shrinkToFit="1"/>
    </xf>
    <xf numFmtId="202" fontId="14" fillId="0" borderId="31" xfId="0" applyNumberFormat="1" applyFont="1" applyBorder="1" applyAlignment="1">
      <alignment horizontal="center" vertical="center" shrinkToFit="1"/>
    </xf>
    <xf numFmtId="188" fontId="14" fillId="0" borderId="52" xfId="0" applyNumberFormat="1" applyFont="1" applyBorder="1" applyAlignment="1">
      <alignment horizontal="center" vertical="center" shrinkToFit="1"/>
    </xf>
    <xf numFmtId="201" fontId="14" fillId="0" borderId="65" xfId="0" applyNumberFormat="1" applyFont="1" applyBorder="1" applyAlignment="1">
      <alignment horizontal="center" vertical="center" shrinkToFit="1"/>
    </xf>
    <xf numFmtId="201" fontId="14" fillId="0" borderId="64" xfId="0" applyNumberFormat="1" applyFont="1" applyBorder="1" applyAlignment="1">
      <alignment horizontal="center" vertical="center" shrinkToFit="1"/>
    </xf>
    <xf numFmtId="201" fontId="14" fillId="4" borderId="51" xfId="0" applyNumberFormat="1" applyFont="1" applyFill="1" applyBorder="1" applyAlignment="1">
      <alignment horizontal="center" vertical="center" shrinkToFit="1"/>
    </xf>
    <xf numFmtId="193" fontId="14" fillId="0" borderId="65" xfId="0" applyNumberFormat="1" applyFont="1" applyBorder="1" applyAlignment="1">
      <alignment horizontal="center" vertical="center" shrinkToFit="1"/>
    </xf>
    <xf numFmtId="193" fontId="14" fillId="0" borderId="64" xfId="0" applyNumberFormat="1" applyFont="1" applyBorder="1" applyAlignment="1">
      <alignment horizontal="center" vertical="center" shrinkToFit="1"/>
    </xf>
    <xf numFmtId="193" fontId="14" fillId="4" borderId="51" xfId="0" applyNumberFormat="1" applyFont="1" applyFill="1" applyBorder="1" applyAlignment="1">
      <alignment horizontal="center" vertical="center" shrinkToFit="1"/>
    </xf>
    <xf numFmtId="195" fontId="14" fillId="0" borderId="65" xfId="0" applyNumberFormat="1" applyFont="1" applyBorder="1" applyAlignment="1">
      <alignment horizontal="center" vertical="center" shrinkToFit="1"/>
    </xf>
    <xf numFmtId="195" fontId="14" fillId="0" borderId="64" xfId="0" applyNumberFormat="1" applyFont="1" applyBorder="1" applyAlignment="1">
      <alignment horizontal="center" vertical="center" shrinkToFit="1"/>
    </xf>
    <xf numFmtId="195" fontId="14" fillId="4" borderId="51" xfId="0" applyNumberFormat="1" applyFont="1" applyFill="1" applyBorder="1" applyAlignment="1">
      <alignment horizontal="center" vertical="center" shrinkToFit="1"/>
    </xf>
    <xf numFmtId="194" fontId="14" fillId="0" borderId="65" xfId="0" applyNumberFormat="1" applyFont="1" applyBorder="1" applyAlignment="1">
      <alignment horizontal="center" vertical="center" shrinkToFit="1"/>
    </xf>
    <xf numFmtId="194" fontId="14" fillId="0" borderId="64" xfId="0" applyNumberFormat="1" applyFont="1" applyBorder="1" applyAlignment="1">
      <alignment horizontal="center" vertical="center" shrinkToFit="1"/>
    </xf>
    <xf numFmtId="194" fontId="14" fillId="4" borderId="51" xfId="0" applyNumberFormat="1" applyFont="1" applyFill="1" applyBorder="1" applyAlignment="1">
      <alignment horizontal="center" vertical="center" shrinkToFit="1"/>
    </xf>
    <xf numFmtId="180" fontId="0" fillId="3" borderId="1" xfId="0" applyFill="1" applyBorder="1" applyAlignment="1">
      <alignment horizontal="center" vertical="center"/>
    </xf>
    <xf numFmtId="180" fontId="0" fillId="3" borderId="19" xfId="0" applyFill="1" applyBorder="1" applyAlignment="1">
      <alignment horizontal="center" vertical="center"/>
    </xf>
    <xf numFmtId="0" fontId="14" fillId="6" borderId="82" xfId="0" applyNumberFormat="1" applyFont="1" applyFill="1" applyBorder="1" applyAlignment="1">
      <alignment horizontal="center" vertical="center" shrinkToFit="1"/>
    </xf>
    <xf numFmtId="180" fontId="9" fillId="3" borderId="121" xfId="0" applyFont="1" applyFill="1" applyBorder="1">
      <alignment vertical="center"/>
    </xf>
    <xf numFmtId="180" fontId="9" fillId="3" borderId="122" xfId="0" applyFont="1" applyFill="1" applyBorder="1" applyAlignment="1">
      <alignment horizontal="center" vertical="center"/>
    </xf>
    <xf numFmtId="180" fontId="0" fillId="3" borderId="122" xfId="0" applyFill="1" applyBorder="1">
      <alignment vertical="center"/>
    </xf>
    <xf numFmtId="180" fontId="9" fillId="3" borderId="121" xfId="0" applyFont="1" applyFill="1" applyBorder="1" applyAlignment="1">
      <alignment horizontal="centerContinuous" vertical="center"/>
    </xf>
    <xf numFmtId="180" fontId="9" fillId="3" borderId="122" xfId="0" applyFont="1" applyFill="1" applyBorder="1" applyAlignment="1">
      <alignment horizontal="centerContinuous" vertical="center"/>
    </xf>
    <xf numFmtId="180" fontId="9" fillId="3" borderId="123" xfId="0" applyFont="1" applyFill="1" applyBorder="1" applyAlignment="1">
      <alignment horizontal="centerContinuous" vertical="center"/>
    </xf>
    <xf numFmtId="180" fontId="9" fillId="0" borderId="0" xfId="0" applyFont="1">
      <alignment vertical="center"/>
    </xf>
    <xf numFmtId="180" fontId="9" fillId="0" borderId="0" xfId="0" applyFont="1" applyAlignment="1">
      <alignment horizontal="center" vertical="center"/>
    </xf>
    <xf numFmtId="0" fontId="25" fillId="0" borderId="0" xfId="5" applyFont="1" applyBorder="1">
      <alignment vertical="center"/>
    </xf>
    <xf numFmtId="0" fontId="14" fillId="0" borderId="0" xfId="5" applyFont="1" applyBorder="1">
      <alignment vertical="center"/>
    </xf>
    <xf numFmtId="0" fontId="14" fillId="0" borderId="8" xfId="5" applyFont="1" applyBorder="1">
      <alignment vertical="center"/>
    </xf>
    <xf numFmtId="0" fontId="14" fillId="0" borderId="8" xfId="5" applyFont="1" applyFill="1" applyBorder="1" applyAlignment="1">
      <alignment horizontal="center" vertical="center"/>
    </xf>
    <xf numFmtId="0" fontId="14" fillId="0" borderId="0" xfId="5" applyFont="1" applyFill="1" applyBorder="1" applyAlignment="1">
      <alignment horizontal="left" vertical="center"/>
    </xf>
    <xf numFmtId="0" fontId="14" fillId="0" borderId="0" xfId="5" applyFont="1" applyFill="1" applyBorder="1">
      <alignment vertical="center"/>
    </xf>
    <xf numFmtId="0" fontId="10" fillId="3" borderId="4" xfId="5" applyFont="1" applyFill="1" applyBorder="1" applyAlignment="1">
      <alignment horizontal="centerContinuous" vertical="center"/>
    </xf>
    <xf numFmtId="0" fontId="11" fillId="3" borderId="4" xfId="5" applyFont="1" applyFill="1" applyBorder="1" applyAlignment="1">
      <alignment horizontal="centerContinuous" vertical="center"/>
    </xf>
    <xf numFmtId="0" fontId="11" fillId="3" borderId="5" xfId="5" applyFont="1" applyFill="1" applyBorder="1" applyAlignment="1">
      <alignment horizontal="centerContinuous" vertical="center"/>
    </xf>
    <xf numFmtId="0" fontId="14" fillId="0" borderId="22" xfId="5" applyFont="1" applyFill="1" applyBorder="1" applyAlignment="1">
      <alignment horizontal="left" vertical="center"/>
    </xf>
    <xf numFmtId="0" fontId="10" fillId="3" borderId="1" xfId="5" applyFont="1" applyFill="1" applyBorder="1" applyAlignment="1">
      <alignment horizontal="centerContinuous" vertical="center"/>
    </xf>
    <xf numFmtId="0" fontId="11" fillId="3" borderId="2" xfId="5" applyFont="1" applyFill="1" applyBorder="1" applyAlignment="1">
      <alignment horizontal="centerContinuous" vertical="center"/>
    </xf>
    <xf numFmtId="0" fontId="11" fillId="3" borderId="19" xfId="5" applyFont="1" applyFill="1" applyBorder="1" applyAlignment="1">
      <alignment horizontal="centerContinuous" vertical="center"/>
    </xf>
    <xf numFmtId="0" fontId="14" fillId="0" borderId="65" xfId="5" applyFont="1" applyBorder="1" applyAlignment="1">
      <alignment horizontal="center" vertical="center" shrinkToFit="1"/>
    </xf>
    <xf numFmtId="0" fontId="14" fillId="0" borderId="64" xfId="5" applyFont="1" applyBorder="1" applyAlignment="1">
      <alignment horizontal="center" vertical="center" shrinkToFit="1"/>
    </xf>
    <xf numFmtId="0" fontId="14" fillId="0" borderId="51" xfId="5" applyFont="1" applyBorder="1" applyAlignment="1">
      <alignment horizontal="center" vertical="center" shrinkToFit="1"/>
    </xf>
    <xf numFmtId="40" fontId="14" fillId="0" borderId="126" xfId="0" applyNumberFormat="1" applyFont="1" applyBorder="1" applyAlignment="1">
      <alignment horizontal="center" vertical="center" shrinkToFit="1"/>
    </xf>
    <xf numFmtId="40" fontId="14" fillId="0" borderId="127" xfId="0" applyNumberFormat="1" applyFont="1" applyBorder="1" applyAlignment="1">
      <alignment horizontal="center" vertical="center" shrinkToFit="1"/>
    </xf>
    <xf numFmtId="180" fontId="14" fillId="0" borderId="0" xfId="0" applyFont="1" applyBorder="1" applyAlignment="1">
      <alignment horizontal="left" vertical="center"/>
    </xf>
    <xf numFmtId="40" fontId="14" fillId="0" borderId="70" xfId="0" applyNumberFormat="1" applyFont="1" applyFill="1" applyBorder="1" applyAlignment="1">
      <alignment horizontal="center" vertical="center" shrinkToFit="1"/>
    </xf>
    <xf numFmtId="0" fontId="14" fillId="4" borderId="14" xfId="5" applyNumberFormat="1" applyFont="1" applyFill="1" applyBorder="1" applyAlignment="1">
      <alignment horizontal="center" vertical="center" shrinkToFit="1"/>
    </xf>
    <xf numFmtId="0" fontId="14" fillId="0" borderId="13" xfId="5" applyNumberFormat="1" applyFont="1" applyBorder="1" applyAlignment="1">
      <alignment horizontal="center" vertical="center" shrinkToFit="1"/>
    </xf>
    <xf numFmtId="0" fontId="14" fillId="4" borderId="15" xfId="5" applyNumberFormat="1" applyFont="1" applyFill="1" applyBorder="1" applyAlignment="1">
      <alignment horizontal="center" vertical="center" shrinkToFit="1"/>
    </xf>
    <xf numFmtId="0" fontId="12" fillId="3" borderId="121" xfId="5" applyFont="1" applyFill="1" applyBorder="1" applyAlignment="1">
      <alignment horizontal="centerContinuous" vertical="center"/>
    </xf>
    <xf numFmtId="0" fontId="12" fillId="3" borderId="122" xfId="5" applyFont="1" applyFill="1" applyBorder="1" applyAlignment="1">
      <alignment horizontal="centerContinuous" vertical="center"/>
    </xf>
    <xf numFmtId="0" fontId="11" fillId="3" borderId="122" xfId="5" applyFont="1" applyFill="1" applyBorder="1" applyAlignment="1">
      <alignment horizontal="centerContinuous" vertical="center"/>
    </xf>
    <xf numFmtId="0" fontId="10" fillId="3" borderId="121" xfId="5" applyFont="1" applyFill="1" applyBorder="1" applyAlignment="1">
      <alignment horizontal="centerContinuous" vertical="center"/>
    </xf>
    <xf numFmtId="0" fontId="10" fillId="3" borderId="122" xfId="5" applyFont="1" applyFill="1" applyBorder="1" applyAlignment="1">
      <alignment horizontal="centerContinuous" vertical="center"/>
    </xf>
    <xf numFmtId="0" fontId="11" fillId="3" borderId="123" xfId="5" applyFont="1" applyFill="1" applyBorder="1" applyAlignment="1">
      <alignment horizontal="centerContinuous" vertical="center"/>
    </xf>
    <xf numFmtId="38" fontId="9" fillId="0" borderId="123" xfId="5" applyNumberFormat="1" applyFont="1" applyBorder="1">
      <alignment vertical="center"/>
    </xf>
    <xf numFmtId="38" fontId="14" fillId="0" borderId="22" xfId="5" applyNumberFormat="1" applyFont="1" applyBorder="1" applyAlignment="1">
      <alignment horizontal="left" vertical="center"/>
    </xf>
    <xf numFmtId="0" fontId="14" fillId="0" borderId="0" xfId="5" applyFont="1">
      <alignment vertical="center"/>
    </xf>
    <xf numFmtId="180" fontId="35" fillId="2" borderId="0" xfId="0" applyFont="1" applyFill="1">
      <alignment vertical="center"/>
    </xf>
    <xf numFmtId="180" fontId="3" fillId="0" borderId="0" xfId="0" applyFont="1" applyFill="1">
      <alignment vertical="center"/>
    </xf>
    <xf numFmtId="180" fontId="24" fillId="2" borderId="0" xfId="0" applyFont="1" applyFill="1">
      <alignment vertical="center"/>
    </xf>
    <xf numFmtId="0" fontId="3" fillId="0" borderId="0" xfId="3" applyFont="1" applyAlignment="1">
      <alignment vertical="center"/>
    </xf>
    <xf numFmtId="0" fontId="3" fillId="3" borderId="36" xfId="3" applyFont="1" applyFill="1" applyBorder="1" applyAlignment="1">
      <alignment horizontal="center" vertical="center"/>
    </xf>
    <xf numFmtId="0" fontId="3" fillId="3" borderId="36" xfId="5" applyFont="1" applyFill="1" applyBorder="1" applyAlignment="1" applyProtection="1">
      <alignment horizontal="center" vertical="center" shrinkToFit="1"/>
      <protection locked="0"/>
    </xf>
    <xf numFmtId="0" fontId="3" fillId="3" borderId="30" xfId="3" applyFont="1" applyFill="1" applyBorder="1" applyAlignment="1">
      <alignment horizontal="centerContinuous" vertical="center"/>
    </xf>
    <xf numFmtId="0" fontId="3" fillId="3" borderId="64" xfId="3" applyFont="1" applyFill="1" applyBorder="1" applyAlignment="1">
      <alignment horizontal="centerContinuous" vertical="center"/>
    </xf>
    <xf numFmtId="0" fontId="3" fillId="3" borderId="51" xfId="3" applyFont="1" applyFill="1" applyBorder="1" applyAlignment="1">
      <alignment horizontal="centerContinuous" vertical="center"/>
    </xf>
    <xf numFmtId="178" fontId="3" fillId="3" borderId="65" xfId="3" applyNumberFormat="1" applyFont="1" applyFill="1" applyBorder="1" applyAlignment="1">
      <alignment horizontal="centerContinuous" vertical="center"/>
    </xf>
    <xf numFmtId="178" fontId="3" fillId="3" borderId="30" xfId="3" applyNumberFormat="1" applyFont="1" applyFill="1" applyBorder="1" applyAlignment="1">
      <alignment horizontal="centerContinuous" vertical="center"/>
    </xf>
    <xf numFmtId="178" fontId="3" fillId="3" borderId="64" xfId="3" applyNumberFormat="1" applyFont="1" applyFill="1" applyBorder="1" applyAlignment="1">
      <alignment horizontal="centerContinuous" vertical="center"/>
    </xf>
    <xf numFmtId="178" fontId="3" fillId="3" borderId="31" xfId="3" applyNumberFormat="1" applyFont="1" applyFill="1" applyBorder="1" applyAlignment="1">
      <alignment horizontal="centerContinuous" vertical="center"/>
    </xf>
    <xf numFmtId="178" fontId="3" fillId="3" borderId="51" xfId="3" applyNumberFormat="1" applyFont="1" applyFill="1" applyBorder="1" applyAlignment="1">
      <alignment horizontal="centerContinuous" vertical="center"/>
    </xf>
    <xf numFmtId="0" fontId="3" fillId="3" borderId="31" xfId="3" applyFont="1" applyFill="1" applyBorder="1" applyAlignment="1">
      <alignment horizontal="centerContinuous" vertical="center"/>
    </xf>
    <xf numFmtId="0" fontId="3" fillId="3" borderId="65" xfId="3" applyFont="1" applyFill="1" applyBorder="1" applyAlignment="1">
      <alignment horizontal="centerContinuous" vertical="center"/>
    </xf>
    <xf numFmtId="0" fontId="3" fillId="0" borderId="2" xfId="3" applyFont="1" applyFill="1" applyBorder="1" applyAlignment="1">
      <alignment horizontal="center" vertical="center"/>
    </xf>
    <xf numFmtId="0" fontId="3" fillId="0" borderId="2" xfId="3" applyFont="1" applyBorder="1" applyAlignment="1">
      <alignment horizontal="center" vertical="center"/>
    </xf>
    <xf numFmtId="0" fontId="3" fillId="0" borderId="19" xfId="3" applyFont="1" applyBorder="1" applyAlignment="1">
      <alignment horizontal="center" vertical="center"/>
    </xf>
    <xf numFmtId="0" fontId="3" fillId="3" borderId="53" xfId="3" applyFont="1" applyFill="1" applyBorder="1" applyAlignment="1">
      <alignment horizontal="center" vertical="center"/>
    </xf>
    <xf numFmtId="0" fontId="24" fillId="3" borderId="53" xfId="5" applyFont="1" applyFill="1" applyBorder="1" applyAlignment="1" applyProtection="1">
      <alignment horizontal="center" vertical="center" shrinkToFit="1"/>
      <protection locked="0"/>
    </xf>
    <xf numFmtId="0" fontId="3" fillId="3" borderId="34" xfId="3" applyFont="1" applyFill="1" applyBorder="1" applyAlignment="1">
      <alignment horizontal="centerContinuous" vertical="center"/>
    </xf>
    <xf numFmtId="0" fontId="3" fillId="3" borderId="69" xfId="3" applyFont="1" applyFill="1" applyBorder="1" applyAlignment="1">
      <alignment horizontal="centerContinuous" vertical="center"/>
    </xf>
    <xf numFmtId="0" fontId="3" fillId="3" borderId="71" xfId="3" applyFont="1" applyFill="1" applyBorder="1" applyAlignment="1">
      <alignment horizontal="centerContinuous" vertical="center"/>
    </xf>
    <xf numFmtId="178" fontId="3" fillId="3" borderId="70" xfId="3" applyNumberFormat="1" applyFont="1" applyFill="1" applyBorder="1" applyAlignment="1">
      <alignment horizontal="centerContinuous" vertical="center"/>
    </xf>
    <xf numFmtId="178" fontId="3" fillId="3" borderId="34" xfId="3" applyNumberFormat="1" applyFont="1" applyFill="1" applyBorder="1" applyAlignment="1">
      <alignment horizontal="centerContinuous" vertical="center"/>
    </xf>
    <xf numFmtId="178" fontId="3" fillId="3" borderId="69" xfId="3" applyNumberFormat="1" applyFont="1" applyFill="1" applyBorder="1" applyAlignment="1">
      <alignment horizontal="centerContinuous" vertical="center"/>
    </xf>
    <xf numFmtId="178" fontId="3" fillId="3" borderId="35" xfId="3" applyNumberFormat="1" applyFont="1" applyFill="1" applyBorder="1" applyAlignment="1">
      <alignment horizontal="centerContinuous" vertical="center"/>
    </xf>
    <xf numFmtId="178" fontId="3" fillId="3" borderId="71" xfId="3" applyNumberFormat="1" applyFont="1" applyFill="1" applyBorder="1" applyAlignment="1">
      <alignment horizontal="centerContinuous" vertical="center"/>
    </xf>
    <xf numFmtId="0" fontId="3" fillId="3" borderId="35" xfId="3" applyFont="1" applyFill="1" applyBorder="1" applyAlignment="1">
      <alignment horizontal="centerContinuous" vertical="center"/>
    </xf>
    <xf numFmtId="0" fontId="3" fillId="3" borderId="70" xfId="3" applyFont="1" applyFill="1" applyBorder="1" applyAlignment="1">
      <alignment horizontal="centerContinuous" vertical="center"/>
    </xf>
    <xf numFmtId="0" fontId="3" fillId="0" borderId="0" xfId="3" applyFont="1" applyFill="1" applyBorder="1" applyAlignment="1">
      <alignment horizontal="center" vertical="center"/>
    </xf>
    <xf numFmtId="0" fontId="3" fillId="0" borderId="0" xfId="3" applyFont="1" applyBorder="1" applyAlignment="1">
      <alignment horizontal="center" vertical="center"/>
    </xf>
    <xf numFmtId="0" fontId="3" fillId="0" borderId="29" xfId="3" applyFont="1" applyBorder="1" applyAlignment="1">
      <alignment horizontal="center" vertical="center"/>
    </xf>
    <xf numFmtId="178" fontId="3" fillId="0" borderId="128" xfId="3" applyNumberFormat="1" applyFont="1" applyFill="1" applyBorder="1" applyAlignment="1">
      <alignment horizontal="center" vertical="center" shrinkToFit="1"/>
    </xf>
    <xf numFmtId="178" fontId="3" fillId="0" borderId="114" xfId="3" applyNumberFormat="1" applyFont="1" applyFill="1" applyBorder="1" applyAlignment="1">
      <alignment horizontal="center" vertical="center" shrinkToFit="1"/>
    </xf>
    <xf numFmtId="178" fontId="3" fillId="0" borderId="108" xfId="3" applyNumberFormat="1" applyFont="1" applyFill="1" applyBorder="1" applyAlignment="1">
      <alignment horizontal="center" vertical="center" shrinkToFit="1"/>
    </xf>
    <xf numFmtId="178" fontId="3" fillId="0" borderId="107" xfId="3" applyNumberFormat="1" applyFont="1" applyFill="1" applyBorder="1" applyAlignment="1">
      <alignment horizontal="center" vertical="center" shrinkToFit="1"/>
    </xf>
    <xf numFmtId="178" fontId="3" fillId="0" borderId="61" xfId="3" applyNumberFormat="1" applyFont="1" applyFill="1" applyBorder="1" applyAlignment="1">
      <alignment horizontal="center" vertical="center" shrinkToFit="1"/>
    </xf>
    <xf numFmtId="180" fontId="3" fillId="0" borderId="128" xfId="3" applyNumberFormat="1" applyFont="1" applyFill="1" applyBorder="1" applyAlignment="1">
      <alignment horizontal="center" vertical="center" shrinkToFit="1"/>
    </xf>
    <xf numFmtId="180" fontId="3" fillId="0" borderId="114" xfId="3" applyNumberFormat="1" applyFont="1" applyFill="1" applyBorder="1" applyAlignment="1">
      <alignment horizontal="center" vertical="center" shrinkToFit="1"/>
    </xf>
    <xf numFmtId="180" fontId="3" fillId="0" borderId="80" xfId="5" applyNumberFormat="1" applyFont="1" applyFill="1" applyBorder="1" applyAlignment="1" applyProtection="1">
      <alignment horizontal="center" vertical="center"/>
      <protection locked="0"/>
    </xf>
    <xf numFmtId="178" fontId="3" fillId="0" borderId="32" xfId="3" applyNumberFormat="1" applyFont="1" applyFill="1" applyBorder="1" applyAlignment="1">
      <alignment horizontal="center" vertical="center" shrinkToFit="1"/>
    </xf>
    <xf numFmtId="178" fontId="3" fillId="0" borderId="67" xfId="3" applyNumberFormat="1" applyFont="1" applyFill="1" applyBorder="1" applyAlignment="1">
      <alignment horizontal="center" vertical="center" shrinkToFit="1"/>
    </xf>
    <xf numFmtId="178" fontId="3" fillId="0" borderId="52" xfId="3" applyNumberFormat="1" applyFont="1" applyFill="1" applyBorder="1" applyAlignment="1">
      <alignment horizontal="center" vertical="center" shrinkToFit="1"/>
    </xf>
    <xf numFmtId="181" fontId="3" fillId="0" borderId="68" xfId="3" applyNumberFormat="1" applyFont="1" applyFill="1" applyBorder="1" applyAlignment="1">
      <alignment horizontal="center" vertical="center" shrinkToFit="1"/>
    </xf>
    <xf numFmtId="181" fontId="3" fillId="0" borderId="32" xfId="3" applyNumberFormat="1" applyFont="1" applyFill="1" applyBorder="1" applyAlignment="1">
      <alignment horizontal="center" vertical="center" shrinkToFit="1"/>
    </xf>
    <xf numFmtId="181" fontId="3" fillId="0" borderId="67" xfId="3" applyNumberFormat="1" applyFont="1" applyFill="1" applyBorder="1" applyAlignment="1">
      <alignment horizontal="center" vertical="center" shrinkToFit="1"/>
    </xf>
    <xf numFmtId="181" fontId="3" fillId="0" borderId="33" xfId="3" applyNumberFormat="1" applyFont="1" applyFill="1" applyBorder="1" applyAlignment="1">
      <alignment horizontal="center" vertical="center" shrinkToFit="1"/>
    </xf>
    <xf numFmtId="178" fontId="3" fillId="0" borderId="33" xfId="3" applyNumberFormat="1" applyFont="1" applyFill="1" applyBorder="1" applyAlignment="1">
      <alignment horizontal="center" vertical="center" shrinkToFit="1"/>
    </xf>
    <xf numFmtId="180" fontId="3" fillId="0" borderId="32" xfId="3" applyNumberFormat="1" applyFont="1" applyFill="1" applyBorder="1" applyAlignment="1">
      <alignment horizontal="center" vertical="center" shrinkToFit="1"/>
    </xf>
    <xf numFmtId="180" fontId="3" fillId="0" borderId="67" xfId="3" applyNumberFormat="1" applyFont="1" applyFill="1" applyBorder="1" applyAlignment="1">
      <alignment horizontal="center" vertical="center" shrinkToFit="1"/>
    </xf>
    <xf numFmtId="178" fontId="3" fillId="0" borderId="68" xfId="3" applyNumberFormat="1" applyFont="1" applyFill="1" applyBorder="1" applyAlignment="1">
      <alignment horizontal="center" vertical="center" shrinkToFit="1"/>
    </xf>
    <xf numFmtId="0" fontId="3" fillId="7" borderId="3" xfId="3" applyFont="1" applyFill="1" applyBorder="1" applyAlignment="1">
      <alignment horizontal="centerContinuous" vertical="center"/>
    </xf>
    <xf numFmtId="0" fontId="3" fillId="7" borderId="4" xfId="3" applyFont="1" applyFill="1" applyBorder="1" applyAlignment="1">
      <alignment horizontal="centerContinuous" vertical="center"/>
    </xf>
    <xf numFmtId="0" fontId="3" fillId="7" borderId="5" xfId="3" applyFont="1" applyFill="1" applyBorder="1" applyAlignment="1">
      <alignment horizontal="centerContinuous" vertical="center"/>
    </xf>
    <xf numFmtId="178" fontId="3" fillId="0" borderId="129" xfId="3" applyNumberFormat="1" applyFont="1" applyFill="1" applyBorder="1" applyAlignment="1">
      <alignment horizontal="center" vertical="center" shrinkToFit="1"/>
    </xf>
    <xf numFmtId="178" fontId="3" fillId="0" borderId="117" xfId="3" applyNumberFormat="1" applyFont="1" applyFill="1" applyBorder="1" applyAlignment="1">
      <alignment horizontal="center" vertical="center" shrinkToFit="1"/>
    </xf>
    <xf numFmtId="178" fontId="3" fillId="0" borderId="118" xfId="3" applyNumberFormat="1" applyFont="1" applyFill="1" applyBorder="1" applyAlignment="1">
      <alignment horizontal="center" vertical="center" shrinkToFit="1"/>
    </xf>
    <xf numFmtId="178" fontId="3" fillId="0" borderId="116" xfId="3" applyNumberFormat="1" applyFont="1" applyFill="1" applyBorder="1" applyAlignment="1">
      <alignment horizontal="center" vertical="center" shrinkToFit="1"/>
    </xf>
    <xf numFmtId="178" fontId="3" fillId="0" borderId="130" xfId="3" applyNumberFormat="1" applyFont="1" applyFill="1" applyBorder="1" applyAlignment="1">
      <alignment horizontal="center" vertical="center" shrinkToFit="1"/>
    </xf>
    <xf numFmtId="180" fontId="3" fillId="0" borderId="129" xfId="3" applyNumberFormat="1" applyFont="1" applyFill="1" applyBorder="1" applyAlignment="1">
      <alignment horizontal="center" vertical="center" shrinkToFit="1"/>
    </xf>
    <xf numFmtId="180" fontId="3" fillId="0" borderId="117" xfId="3" applyNumberFormat="1" applyFont="1" applyFill="1" applyBorder="1" applyAlignment="1">
      <alignment horizontal="center" vertical="center" shrinkToFit="1"/>
    </xf>
    <xf numFmtId="178" fontId="3" fillId="3" borderId="14" xfId="3" applyNumberFormat="1" applyFont="1" applyFill="1" applyBorder="1" applyAlignment="1">
      <alignment horizontal="centerContinuous" vertical="center"/>
    </xf>
    <xf numFmtId="178" fontId="3" fillId="3" borderId="13" xfId="3" applyNumberFormat="1" applyFont="1" applyFill="1" applyBorder="1" applyAlignment="1">
      <alignment horizontal="centerContinuous" vertical="center"/>
    </xf>
    <xf numFmtId="178" fontId="3" fillId="3" borderId="15" xfId="3" applyNumberFormat="1" applyFont="1" applyFill="1" applyBorder="1" applyAlignment="1">
      <alignment horizontal="centerContinuous" vertical="center"/>
    </xf>
    <xf numFmtId="178" fontId="3" fillId="3" borderId="17" xfId="3" applyNumberFormat="1" applyFont="1" applyFill="1" applyBorder="1" applyAlignment="1">
      <alignment horizontal="centerContinuous" vertical="center"/>
    </xf>
    <xf numFmtId="178" fontId="3" fillId="3" borderId="23" xfId="3" applyNumberFormat="1" applyFont="1" applyFill="1" applyBorder="1" applyAlignment="1">
      <alignment horizontal="centerContinuous" vertical="center"/>
    </xf>
    <xf numFmtId="178" fontId="3" fillId="0" borderId="65" xfId="3" applyNumberFormat="1" applyFont="1" applyFill="1" applyBorder="1" applyAlignment="1">
      <alignment horizontal="center" vertical="center" shrinkToFit="1"/>
    </xf>
    <xf numFmtId="178" fontId="3" fillId="0" borderId="64" xfId="3" applyNumberFormat="1" applyFont="1" applyFill="1" applyBorder="1" applyAlignment="1">
      <alignment horizontal="center" vertical="center" shrinkToFit="1"/>
    </xf>
    <xf numFmtId="178" fontId="3" fillId="0" borderId="51" xfId="3" applyNumberFormat="1" applyFont="1" applyFill="1" applyBorder="1" applyAlignment="1">
      <alignment horizontal="center" vertical="center" shrinkToFit="1"/>
    </xf>
    <xf numFmtId="178" fontId="3" fillId="0" borderId="70" xfId="3" applyNumberFormat="1" applyFont="1" applyFill="1" applyBorder="1" applyAlignment="1">
      <alignment horizontal="center" vertical="center" shrinkToFit="1"/>
    </xf>
    <xf numFmtId="178" fontId="3" fillId="0" borderId="69" xfId="3" applyNumberFormat="1" applyFont="1" applyFill="1" applyBorder="1" applyAlignment="1">
      <alignment horizontal="center" vertical="center" shrinkToFit="1"/>
    </xf>
    <xf numFmtId="178" fontId="3" fillId="0" borderId="71" xfId="3" applyNumberFormat="1" applyFont="1" applyFill="1" applyBorder="1" applyAlignment="1">
      <alignment horizontal="center" vertical="center" shrinkToFit="1"/>
    </xf>
    <xf numFmtId="178" fontId="3" fillId="3" borderId="16" xfId="3" applyNumberFormat="1" applyFont="1" applyFill="1" applyBorder="1" applyAlignment="1">
      <alignment horizontal="centerContinuous" vertical="center"/>
    </xf>
    <xf numFmtId="178" fontId="3" fillId="0" borderId="22" xfId="3" applyNumberFormat="1" applyFont="1" applyFill="1" applyBorder="1" applyAlignment="1">
      <alignment horizontal="center" vertical="center"/>
    </xf>
    <xf numFmtId="178" fontId="3" fillId="0" borderId="0" xfId="3" applyNumberFormat="1" applyFont="1" applyFill="1" applyBorder="1" applyAlignment="1">
      <alignment horizontal="center" vertical="center"/>
    </xf>
    <xf numFmtId="178" fontId="3" fillId="0" borderId="22" xfId="3" applyNumberFormat="1" applyFont="1" applyFill="1" applyBorder="1" applyAlignment="1">
      <alignment horizontal="center" vertical="center" shrinkToFit="1"/>
    </xf>
    <xf numFmtId="178" fontId="3" fillId="0" borderId="0" xfId="3" applyNumberFormat="1" applyFont="1" applyFill="1" applyBorder="1" applyAlignment="1">
      <alignment horizontal="center" vertical="center" shrinkToFit="1"/>
    </xf>
    <xf numFmtId="180" fontId="3" fillId="0" borderId="107" xfId="3" applyNumberFormat="1" applyFont="1" applyFill="1" applyBorder="1" applyAlignment="1">
      <alignment horizontal="center" vertical="center" shrinkToFit="1"/>
    </xf>
    <xf numFmtId="180" fontId="3" fillId="0" borderId="68" xfId="3" applyNumberFormat="1" applyFont="1" applyFill="1" applyBorder="1" applyAlignment="1">
      <alignment horizontal="center" vertical="center" shrinkToFit="1"/>
    </xf>
    <xf numFmtId="180" fontId="3" fillId="0" borderId="116" xfId="3" applyNumberFormat="1" applyFont="1" applyFill="1" applyBorder="1" applyAlignment="1">
      <alignment horizontal="center" vertical="center" shrinkToFit="1"/>
    </xf>
    <xf numFmtId="180" fontId="3" fillId="0" borderId="70" xfId="3" applyNumberFormat="1" applyFont="1" applyFill="1" applyBorder="1" applyAlignment="1">
      <alignment horizontal="center" vertical="center" shrinkToFit="1"/>
    </xf>
    <xf numFmtId="180" fontId="3" fillId="0" borderId="69" xfId="3" applyNumberFormat="1" applyFont="1" applyFill="1" applyBorder="1" applyAlignment="1">
      <alignment horizontal="center" vertical="center" shrinkToFit="1"/>
    </xf>
    <xf numFmtId="0" fontId="3" fillId="0" borderId="8" xfId="3" applyFont="1" applyFill="1" applyBorder="1" applyAlignment="1">
      <alignment horizontal="center" vertical="center"/>
    </xf>
    <xf numFmtId="0" fontId="3" fillId="0" borderId="8" xfId="3" applyFont="1" applyBorder="1" applyAlignment="1">
      <alignment horizontal="center" vertical="center"/>
    </xf>
    <xf numFmtId="0" fontId="3" fillId="0" borderId="25" xfId="3" applyFont="1" applyBorder="1" applyAlignment="1">
      <alignment horizontal="center" vertical="center"/>
    </xf>
    <xf numFmtId="181" fontId="3" fillId="0" borderId="128" xfId="3" applyNumberFormat="1" applyFont="1" applyFill="1" applyBorder="1" applyAlignment="1">
      <alignment horizontal="center" vertical="center" shrinkToFit="1"/>
    </xf>
    <xf numFmtId="181" fontId="3" fillId="0" borderId="114" xfId="3" applyNumberFormat="1" applyFont="1" applyFill="1" applyBorder="1" applyAlignment="1">
      <alignment horizontal="center" vertical="center" shrinkToFit="1"/>
    </xf>
    <xf numFmtId="181" fontId="3" fillId="0" borderId="61" xfId="3" applyNumberFormat="1" applyFont="1" applyFill="1" applyBorder="1" applyAlignment="1">
      <alignment horizontal="center" vertical="center" shrinkToFit="1"/>
    </xf>
    <xf numFmtId="181" fontId="3" fillId="0" borderId="129" xfId="3" applyNumberFormat="1" applyFont="1" applyFill="1" applyBorder="1" applyAlignment="1">
      <alignment horizontal="center" vertical="center" shrinkToFit="1"/>
    </xf>
    <xf numFmtId="181" fontId="3" fillId="0" borderId="117" xfId="3" applyNumberFormat="1" applyFont="1" applyFill="1" applyBorder="1" applyAlignment="1">
      <alignment horizontal="center" vertical="center" shrinkToFit="1"/>
    </xf>
    <xf numFmtId="181" fontId="3" fillId="0" borderId="130" xfId="3" applyNumberFormat="1" applyFont="1" applyFill="1" applyBorder="1" applyAlignment="1">
      <alignment horizontal="center" vertical="center" shrinkToFit="1"/>
    </xf>
    <xf numFmtId="180" fontId="3" fillId="0" borderId="1" xfId="3" applyNumberFormat="1" applyFont="1" applyFill="1" applyBorder="1" applyAlignment="1">
      <alignment horizontal="center" vertical="center" shrinkToFit="1"/>
    </xf>
    <xf numFmtId="178" fontId="3" fillId="0" borderId="2" xfId="3" applyNumberFormat="1" applyFont="1" applyFill="1" applyBorder="1" applyAlignment="1">
      <alignment horizontal="center" vertical="center" shrinkToFit="1"/>
    </xf>
    <xf numFmtId="180" fontId="3" fillId="0" borderId="2" xfId="3" applyNumberFormat="1" applyFont="1" applyFill="1" applyBorder="1" applyAlignment="1">
      <alignment horizontal="center" vertical="center" shrinkToFit="1"/>
    </xf>
    <xf numFmtId="180" fontId="3" fillId="0" borderId="22" xfId="3" applyNumberFormat="1" applyFont="1" applyFill="1" applyBorder="1" applyAlignment="1">
      <alignment horizontal="center" vertical="center" shrinkToFit="1"/>
    </xf>
    <xf numFmtId="180" fontId="3" fillId="0" borderId="0" xfId="3" applyNumberFormat="1" applyFont="1" applyFill="1" applyBorder="1" applyAlignment="1">
      <alignment horizontal="center" vertical="center" shrinkToFit="1"/>
    </xf>
    <xf numFmtId="180" fontId="3" fillId="0" borderId="83" xfId="5" applyNumberFormat="1" applyFont="1" applyFill="1" applyBorder="1" applyAlignment="1" applyProtection="1">
      <alignment horizontal="center" vertical="center"/>
      <protection locked="0"/>
    </xf>
    <xf numFmtId="178" fontId="3" fillId="0" borderId="1" xfId="3" applyNumberFormat="1" applyFont="1" applyFill="1" applyBorder="1" applyAlignment="1">
      <alignment horizontal="center" vertical="center" shrinkToFit="1"/>
    </xf>
    <xf numFmtId="180" fontId="3" fillId="0" borderId="128" xfId="0" applyFont="1" applyFill="1" applyBorder="1" applyAlignment="1">
      <alignment horizontal="center" vertical="center" shrinkToFit="1"/>
    </xf>
    <xf numFmtId="180" fontId="3" fillId="0" borderId="114" xfId="0" applyFont="1" applyFill="1" applyBorder="1" applyAlignment="1">
      <alignment horizontal="center" vertical="center" shrinkToFit="1"/>
    </xf>
    <xf numFmtId="180" fontId="3" fillId="0" borderId="61" xfId="0" applyFont="1" applyFill="1" applyBorder="1" applyAlignment="1">
      <alignment horizontal="center" vertical="center" shrinkToFit="1"/>
    </xf>
    <xf numFmtId="180" fontId="3" fillId="0" borderId="32" xfId="0" applyFont="1" applyFill="1" applyBorder="1" applyAlignment="1">
      <alignment horizontal="center" vertical="center" shrinkToFit="1"/>
    </xf>
    <xf numFmtId="180" fontId="3" fillId="0" borderId="67" xfId="0" applyFont="1" applyFill="1" applyBorder="1" applyAlignment="1">
      <alignment horizontal="center" vertical="center" shrinkToFit="1"/>
    </xf>
    <xf numFmtId="180" fontId="3" fillId="0" borderId="33" xfId="0" applyFont="1" applyFill="1" applyBorder="1" applyAlignment="1">
      <alignment horizontal="center" vertical="center" shrinkToFit="1"/>
    </xf>
    <xf numFmtId="180" fontId="3" fillId="0" borderId="129" xfId="0" applyFont="1" applyFill="1" applyBorder="1" applyAlignment="1">
      <alignment horizontal="center" vertical="center" shrinkToFit="1"/>
    </xf>
    <xf numFmtId="180" fontId="3" fillId="0" borderId="117" xfId="0" applyFont="1" applyFill="1" applyBorder="1" applyAlignment="1">
      <alignment horizontal="center" vertical="center" shrinkToFit="1"/>
    </xf>
    <xf numFmtId="180" fontId="3" fillId="0" borderId="130" xfId="0" applyFont="1" applyFill="1" applyBorder="1" applyAlignment="1">
      <alignment horizontal="center" vertical="center" shrinkToFit="1"/>
    </xf>
    <xf numFmtId="0" fontId="3" fillId="0" borderId="1" xfId="3" applyFont="1" applyBorder="1" applyAlignment="1">
      <alignment horizontal="center" vertical="center"/>
    </xf>
    <xf numFmtId="0" fontId="3" fillId="0" borderId="22" xfId="3" applyFont="1" applyBorder="1" applyAlignment="1">
      <alignment horizontal="center" vertical="center"/>
    </xf>
    <xf numFmtId="181" fontId="3" fillId="0" borderId="1" xfId="3" applyNumberFormat="1" applyFont="1" applyFill="1" applyBorder="1" applyAlignment="1">
      <alignment horizontal="center" vertical="center" shrinkToFit="1"/>
    </xf>
    <xf numFmtId="181" fontId="3" fillId="0" borderId="22" xfId="3" applyNumberFormat="1" applyFont="1" applyFill="1" applyBorder="1" applyAlignment="1">
      <alignment horizontal="center" vertical="center" shrinkToFit="1"/>
    </xf>
    <xf numFmtId="181" fontId="3" fillId="0" borderId="2" xfId="3" applyNumberFormat="1" applyFont="1" applyFill="1" applyBorder="1" applyAlignment="1">
      <alignment horizontal="center" vertical="center" shrinkToFit="1"/>
    </xf>
    <xf numFmtId="178" fontId="36" fillId="0" borderId="2" xfId="3" applyNumberFormat="1" applyFont="1" applyFill="1" applyBorder="1" applyAlignment="1">
      <alignment horizontal="center" vertical="center" shrinkToFit="1"/>
    </xf>
    <xf numFmtId="181" fontId="3" fillId="0" borderId="0" xfId="3" applyNumberFormat="1" applyFont="1" applyFill="1" applyBorder="1" applyAlignment="1">
      <alignment horizontal="center" vertical="center" shrinkToFit="1"/>
    </xf>
    <xf numFmtId="178" fontId="36" fillId="0" borderId="0" xfId="3" applyNumberFormat="1" applyFont="1" applyFill="1" applyBorder="1" applyAlignment="1">
      <alignment horizontal="center" vertical="center" shrinkToFit="1"/>
    </xf>
    <xf numFmtId="180" fontId="3" fillId="3" borderId="36" xfId="5" applyNumberFormat="1" applyFont="1" applyFill="1" applyBorder="1" applyAlignment="1" applyProtection="1">
      <alignment horizontal="center" vertical="center" shrinkToFit="1"/>
      <protection locked="0"/>
    </xf>
    <xf numFmtId="179" fontId="3" fillId="0" borderId="67" xfId="3" applyNumberFormat="1" applyFont="1" applyFill="1" applyBorder="1" applyAlignment="1">
      <alignment horizontal="center" vertical="center" shrinkToFit="1"/>
    </xf>
    <xf numFmtId="179" fontId="3" fillId="0" borderId="52" xfId="3" applyNumberFormat="1" applyFont="1" applyFill="1" applyBorder="1" applyAlignment="1">
      <alignment horizontal="center" vertical="center" shrinkToFit="1"/>
    </xf>
    <xf numFmtId="180" fontId="3" fillId="3" borderId="13" xfId="3" applyNumberFormat="1" applyFont="1" applyFill="1" applyBorder="1" applyAlignment="1">
      <alignment horizontal="centerContinuous" vertical="center"/>
    </xf>
    <xf numFmtId="180" fontId="3" fillId="3" borderId="15" xfId="3" applyNumberFormat="1" applyFont="1" applyFill="1" applyBorder="1" applyAlignment="1">
      <alignment horizontal="centerContinuous" vertical="center"/>
    </xf>
    <xf numFmtId="180" fontId="36" fillId="0" borderId="2" xfId="3" applyNumberFormat="1" applyFont="1" applyFill="1" applyBorder="1" applyAlignment="1">
      <alignment horizontal="center" vertical="center" shrinkToFit="1"/>
    </xf>
    <xf numFmtId="180" fontId="36" fillId="0" borderId="0" xfId="3" applyNumberFormat="1" applyFont="1" applyFill="1" applyBorder="1" applyAlignment="1">
      <alignment horizontal="center" vertical="center" shrinkToFit="1"/>
    </xf>
    <xf numFmtId="180" fontId="3" fillId="3" borderId="64" xfId="3" applyNumberFormat="1" applyFont="1" applyFill="1" applyBorder="1" applyAlignment="1">
      <alignment horizontal="centerContinuous" vertical="center"/>
    </xf>
    <xf numFmtId="180" fontId="3" fillId="3" borderId="65" xfId="3" applyNumberFormat="1" applyFont="1" applyFill="1" applyBorder="1" applyAlignment="1">
      <alignment horizontal="centerContinuous" vertical="center"/>
    </xf>
    <xf numFmtId="180" fontId="3" fillId="0" borderId="68" xfId="0" applyFont="1" applyFill="1" applyBorder="1" applyAlignment="1">
      <alignment horizontal="center" vertical="center" shrinkToFit="1"/>
    </xf>
    <xf numFmtId="178" fontId="3" fillId="0" borderId="1" xfId="3" applyNumberFormat="1" applyFont="1" applyFill="1" applyBorder="1" applyAlignment="1">
      <alignment horizontal="centerContinuous" vertical="center"/>
    </xf>
    <xf numFmtId="178" fontId="3" fillId="0" borderId="2" xfId="3" applyNumberFormat="1" applyFont="1" applyFill="1" applyBorder="1" applyAlignment="1">
      <alignment horizontal="centerContinuous" vertical="center"/>
    </xf>
    <xf numFmtId="178" fontId="3" fillId="0" borderId="22" xfId="3" applyNumberFormat="1" applyFont="1" applyFill="1" applyBorder="1" applyAlignment="1">
      <alignment horizontal="centerContinuous" vertical="center"/>
    </xf>
    <xf numFmtId="178" fontId="3" fillId="0" borderId="0" xfId="3" applyNumberFormat="1" applyFont="1" applyFill="1" applyBorder="1" applyAlignment="1">
      <alignment horizontal="centerContinuous" vertical="center"/>
    </xf>
    <xf numFmtId="180" fontId="3" fillId="0" borderId="22" xfId="0" applyFont="1" applyFill="1" applyBorder="1" applyAlignment="1">
      <alignment horizontal="center" vertical="center" shrinkToFit="1"/>
    </xf>
    <xf numFmtId="180" fontId="3" fillId="0" borderId="0" xfId="0" applyFont="1" applyFill="1" applyBorder="1" applyAlignment="1">
      <alignment horizontal="center" vertical="center" shrinkToFit="1"/>
    </xf>
    <xf numFmtId="180" fontId="3" fillId="0" borderId="7" xfId="0" applyFont="1" applyFill="1" applyBorder="1" applyAlignment="1">
      <alignment horizontal="center" vertical="center" shrinkToFit="1"/>
    </xf>
    <xf numFmtId="180" fontId="3" fillId="0" borderId="8" xfId="0" applyFont="1" applyFill="1" applyBorder="1" applyAlignment="1">
      <alignment horizontal="center" vertical="center" shrinkToFit="1"/>
    </xf>
    <xf numFmtId="178" fontId="3" fillId="0" borderId="8" xfId="3" applyNumberFormat="1" applyFont="1" applyFill="1" applyBorder="1" applyAlignment="1">
      <alignment horizontal="center" vertical="center" shrinkToFit="1"/>
    </xf>
    <xf numFmtId="0" fontId="3" fillId="0" borderId="68" xfId="3" applyFont="1" applyFill="1" applyBorder="1" applyAlignment="1">
      <alignment horizontal="center" vertical="center"/>
    </xf>
    <xf numFmtId="178" fontId="3" fillId="0" borderId="67" xfId="3" applyNumberFormat="1" applyFont="1" applyFill="1" applyBorder="1" applyAlignment="1">
      <alignment horizontal="center" vertical="center"/>
    </xf>
    <xf numFmtId="0" fontId="3" fillId="0" borderId="67" xfId="3" applyFont="1" applyFill="1" applyBorder="1" applyAlignment="1">
      <alignment horizontal="center" vertical="center"/>
    </xf>
    <xf numFmtId="178" fontId="3" fillId="0" borderId="52" xfId="3" applyNumberFormat="1" applyFont="1" applyFill="1" applyBorder="1" applyAlignment="1">
      <alignment horizontal="center" vertical="center"/>
    </xf>
    <xf numFmtId="180" fontId="3" fillId="3" borderId="36" xfId="5" applyNumberFormat="1" applyFont="1" applyFill="1" applyBorder="1" applyAlignment="1" applyProtection="1">
      <alignment horizontal="center" vertical="center"/>
      <protection locked="0"/>
    </xf>
    <xf numFmtId="178" fontId="3" fillId="3" borderId="82" xfId="3" applyNumberFormat="1" applyFont="1" applyFill="1" applyBorder="1" applyAlignment="1">
      <alignment horizontal="centerContinuous" vertical="center"/>
    </xf>
    <xf numFmtId="178" fontId="3" fillId="3" borderId="36" xfId="3" applyNumberFormat="1" applyFont="1" applyFill="1" applyBorder="1" applyAlignment="1">
      <alignment horizontal="centerContinuous" vertical="center"/>
    </xf>
    <xf numFmtId="178" fontId="3" fillId="3" borderId="53" xfId="3" applyNumberFormat="1" applyFont="1" applyFill="1" applyBorder="1" applyAlignment="1">
      <alignment horizontal="centerContinuous" vertical="center"/>
    </xf>
    <xf numFmtId="178" fontId="3" fillId="3" borderId="7" xfId="3" applyNumberFormat="1" applyFont="1" applyFill="1" applyBorder="1" applyAlignment="1">
      <alignment horizontal="centerContinuous" vertical="center"/>
    </xf>
    <xf numFmtId="178" fontId="3" fillId="3" borderId="83" xfId="3" applyNumberFormat="1" applyFont="1" applyFill="1" applyBorder="1" applyAlignment="1">
      <alignment horizontal="centerContinuous" vertical="center"/>
    </xf>
    <xf numFmtId="182" fontId="3" fillId="0" borderId="128" xfId="3" applyNumberFormat="1" applyFont="1" applyFill="1" applyBorder="1" applyAlignment="1">
      <alignment horizontal="center" vertical="center" shrinkToFit="1"/>
    </xf>
    <xf numFmtId="180" fontId="3" fillId="0" borderId="30" xfId="3" applyNumberFormat="1" applyFont="1" applyFill="1" applyBorder="1" applyAlignment="1">
      <alignment horizontal="center" vertical="center" shrinkToFit="1"/>
    </xf>
    <xf numFmtId="178" fontId="3" fillId="0" borderId="30" xfId="3" applyNumberFormat="1" applyFont="1" applyFill="1" applyBorder="1" applyAlignment="1">
      <alignment horizontal="center" vertical="center" shrinkToFit="1"/>
    </xf>
    <xf numFmtId="178" fontId="3" fillId="0" borderId="15" xfId="3" applyNumberFormat="1" applyFont="1" applyFill="1" applyBorder="1" applyAlignment="1">
      <alignment horizontal="center" vertical="center" shrinkToFit="1"/>
    </xf>
    <xf numFmtId="182" fontId="3" fillId="0" borderId="32" xfId="3" applyNumberFormat="1" applyFont="1" applyFill="1" applyBorder="1" applyAlignment="1">
      <alignment horizontal="center" vertical="center" shrinkToFit="1"/>
    </xf>
    <xf numFmtId="179" fontId="3" fillId="0" borderId="128" xfId="3" applyNumberFormat="1" applyFont="1" applyFill="1" applyBorder="1" applyAlignment="1">
      <alignment horizontal="center" vertical="center" shrinkToFit="1"/>
    </xf>
    <xf numFmtId="179" fontId="3" fillId="0" borderId="50" xfId="3" applyNumberFormat="1" applyFont="1" applyFill="1" applyBorder="1" applyAlignment="1">
      <alignment horizontal="center" vertical="center" shrinkToFit="1"/>
    </xf>
    <xf numFmtId="178" fontId="3" fillId="0" borderId="28" xfId="3" applyNumberFormat="1" applyFont="1" applyFill="1" applyBorder="1" applyAlignment="1">
      <alignment horizontal="center" vertical="center" shrinkToFit="1"/>
    </xf>
    <xf numFmtId="182" fontId="3" fillId="0" borderId="129" xfId="3" applyNumberFormat="1" applyFont="1" applyFill="1" applyBorder="1" applyAlignment="1">
      <alignment horizontal="center" vertical="center" shrinkToFit="1"/>
    </xf>
    <xf numFmtId="178" fontId="3" fillId="0" borderId="35" xfId="3" applyNumberFormat="1" applyFont="1" applyFill="1" applyBorder="1" applyAlignment="1">
      <alignment horizontal="center" vertical="center" shrinkToFit="1"/>
    </xf>
    <xf numFmtId="180" fontId="3" fillId="0" borderId="7" xfId="3" applyNumberFormat="1" applyFont="1" applyFill="1" applyBorder="1" applyAlignment="1">
      <alignment horizontal="center" vertical="center" shrinkToFit="1"/>
    </xf>
    <xf numFmtId="180" fontId="3" fillId="0" borderId="24" xfId="3" applyNumberFormat="1" applyFont="1" applyFill="1" applyBorder="1" applyAlignment="1">
      <alignment horizontal="center" vertical="center" shrinkToFit="1"/>
    </xf>
    <xf numFmtId="178" fontId="3" fillId="0" borderId="24" xfId="3" applyNumberFormat="1" applyFont="1" applyFill="1" applyBorder="1" applyAlignment="1">
      <alignment horizontal="center" vertical="center" shrinkToFit="1"/>
    </xf>
    <xf numFmtId="178" fontId="3" fillId="0" borderId="25" xfId="3" applyNumberFormat="1" applyFont="1" applyFill="1" applyBorder="1" applyAlignment="1">
      <alignment horizontal="center" vertical="center" shrinkToFit="1"/>
    </xf>
    <xf numFmtId="179" fontId="3" fillId="0" borderId="33" xfId="3" applyNumberFormat="1" applyFont="1" applyFill="1" applyBorder="1" applyAlignment="1">
      <alignment horizontal="center" vertical="center" shrinkToFit="1"/>
    </xf>
    <xf numFmtId="181" fontId="3" fillId="0" borderId="107" xfId="3" applyNumberFormat="1" applyFont="1" applyFill="1" applyBorder="1" applyAlignment="1">
      <alignment horizontal="center" vertical="center" shrinkToFit="1"/>
    </xf>
    <xf numFmtId="181" fontId="3" fillId="0" borderId="116" xfId="3" applyNumberFormat="1" applyFont="1" applyFill="1" applyBorder="1" applyAlignment="1">
      <alignment horizontal="center" vertical="center" shrinkToFit="1"/>
    </xf>
    <xf numFmtId="181" fontId="3" fillId="0" borderId="70" xfId="3" applyNumberFormat="1" applyFont="1" applyFill="1" applyBorder="1" applyAlignment="1">
      <alignment horizontal="center" vertical="center" shrinkToFit="1"/>
    </xf>
    <xf numFmtId="181" fontId="3" fillId="0" borderId="69" xfId="3" applyNumberFormat="1" applyFont="1" applyFill="1" applyBorder="1" applyAlignment="1">
      <alignment horizontal="center" vertical="center" shrinkToFit="1"/>
    </xf>
    <xf numFmtId="181" fontId="3" fillId="0" borderId="34" xfId="3" applyNumberFormat="1" applyFont="1" applyFill="1" applyBorder="1" applyAlignment="1">
      <alignment horizontal="center" vertical="center" shrinkToFit="1"/>
    </xf>
    <xf numFmtId="0" fontId="3" fillId="0" borderId="1" xfId="3" applyFont="1" applyFill="1" applyBorder="1" applyAlignment="1">
      <alignment horizontal="center" vertical="center"/>
    </xf>
    <xf numFmtId="0" fontId="3" fillId="0" borderId="22" xfId="3" applyFont="1" applyFill="1" applyBorder="1" applyAlignment="1">
      <alignment horizontal="center" vertical="center"/>
    </xf>
    <xf numFmtId="0" fontId="5" fillId="0" borderId="2" xfId="3" applyBorder="1" applyAlignment="1">
      <alignment vertical="center"/>
    </xf>
    <xf numFmtId="0" fontId="5" fillId="0" borderId="0" xfId="3" applyBorder="1" applyAlignment="1">
      <alignment vertical="center"/>
    </xf>
    <xf numFmtId="0" fontId="5" fillId="0" borderId="0" xfId="3" applyAlignment="1">
      <alignment vertical="center"/>
    </xf>
    <xf numFmtId="0" fontId="3" fillId="0" borderId="7" xfId="3" applyFont="1" applyFill="1" applyBorder="1" applyAlignment="1">
      <alignment horizontal="center" vertical="center"/>
    </xf>
    <xf numFmtId="180" fontId="0" fillId="0" borderId="4" xfId="0" applyFill="1" applyBorder="1" applyAlignment="1">
      <alignment horizontal="centerContinuous" vertical="center"/>
    </xf>
    <xf numFmtId="180" fontId="0" fillId="0" borderId="5" xfId="0" applyFill="1" applyBorder="1" applyAlignment="1">
      <alignment horizontal="centerContinuous" vertical="center"/>
    </xf>
    <xf numFmtId="180" fontId="0" fillId="5" borderId="2" xfId="0" applyFill="1" applyBorder="1" applyAlignment="1">
      <alignment horizontal="centerContinuous" vertical="center"/>
    </xf>
    <xf numFmtId="180" fontId="0" fillId="5" borderId="19" xfId="0" applyFill="1" applyBorder="1" applyAlignment="1">
      <alignment horizontal="centerContinuous" vertical="center"/>
    </xf>
    <xf numFmtId="180" fontId="0" fillId="5" borderId="1" xfId="0" applyFill="1" applyBorder="1" applyAlignment="1">
      <alignment horizontal="centerContinuous" vertical="center"/>
    </xf>
    <xf numFmtId="180" fontId="0" fillId="5" borderId="20" xfId="0" applyFill="1" applyBorder="1" applyAlignment="1">
      <alignment horizontal="center" vertical="center"/>
    </xf>
    <xf numFmtId="180" fontId="0" fillId="3" borderId="14" xfId="0" applyFill="1" applyBorder="1">
      <alignment vertical="center"/>
    </xf>
    <xf numFmtId="40" fontId="0" fillId="0" borderId="65" xfId="0" applyNumberFormat="1" applyBorder="1" applyAlignment="1">
      <alignment horizontal="center" vertical="center"/>
    </xf>
    <xf numFmtId="40" fontId="0" fillId="0" borderId="51" xfId="0" applyNumberFormat="1" applyBorder="1" applyAlignment="1">
      <alignment horizontal="center" vertical="center"/>
    </xf>
    <xf numFmtId="40" fontId="3" fillId="0" borderId="65" xfId="0" applyNumberFormat="1" applyFont="1" applyBorder="1" applyAlignment="1">
      <alignment horizontal="center" vertical="center"/>
    </xf>
    <xf numFmtId="38" fontId="3" fillId="5" borderId="14" xfId="0" applyNumberFormat="1" applyFont="1" applyFill="1" applyBorder="1" applyAlignment="1">
      <alignment horizontal="center" vertical="center"/>
    </xf>
    <xf numFmtId="40" fontId="0" fillId="5" borderId="31" xfId="0" applyNumberFormat="1" applyFill="1" applyBorder="1" applyAlignment="1">
      <alignment horizontal="center" vertical="center"/>
    </xf>
    <xf numFmtId="38" fontId="3" fillId="5" borderId="65" xfId="0" applyNumberFormat="1" applyFont="1" applyFill="1" applyBorder="1" applyAlignment="1">
      <alignment horizontal="center" vertical="center"/>
    </xf>
    <xf numFmtId="40" fontId="0" fillId="5" borderId="51" xfId="0" applyNumberFormat="1" applyFill="1" applyBorder="1" applyAlignment="1">
      <alignment horizontal="center" vertical="center"/>
    </xf>
    <xf numFmtId="40" fontId="0" fillId="5" borderId="15" xfId="0" applyNumberFormat="1" applyFill="1" applyBorder="1" applyAlignment="1">
      <alignment horizontal="center" vertical="center"/>
    </xf>
    <xf numFmtId="184" fontId="3" fillId="5" borderId="128" xfId="0" applyNumberFormat="1" applyFont="1" applyFill="1" applyBorder="1" applyAlignment="1">
      <alignment horizontal="center" vertical="center"/>
    </xf>
    <xf numFmtId="40" fontId="0" fillId="5" borderId="49" xfId="0" applyNumberFormat="1" applyFill="1" applyBorder="1" applyAlignment="1">
      <alignment horizontal="center" vertical="center"/>
    </xf>
    <xf numFmtId="184" fontId="3" fillId="5" borderId="48" xfId="0" applyNumberFormat="1" applyFont="1" applyFill="1" applyBorder="1" applyAlignment="1">
      <alignment horizontal="center" vertical="center"/>
    </xf>
    <xf numFmtId="40" fontId="0" fillId="5" borderId="108" xfId="0" applyNumberFormat="1" applyFill="1" applyBorder="1" applyAlignment="1">
      <alignment horizontal="center" vertical="center"/>
    </xf>
    <xf numFmtId="180" fontId="0" fillId="5" borderId="82" xfId="0" applyFill="1" applyBorder="1" applyAlignment="1">
      <alignment horizontal="center" vertical="center"/>
    </xf>
    <xf numFmtId="180" fontId="0" fillId="3" borderId="26" xfId="0" applyFill="1" applyBorder="1">
      <alignment vertical="center"/>
    </xf>
    <xf numFmtId="40" fontId="0" fillId="0" borderId="68" xfId="0" applyNumberFormat="1" applyBorder="1" applyAlignment="1">
      <alignment horizontal="center" vertical="center"/>
    </xf>
    <xf numFmtId="40" fontId="0" fillId="0" borderId="52" xfId="0" applyNumberFormat="1" applyBorder="1" applyAlignment="1">
      <alignment horizontal="center" vertical="center"/>
    </xf>
    <xf numFmtId="40" fontId="3" fillId="0" borderId="68" xfId="0" applyNumberFormat="1" applyFont="1" applyBorder="1" applyAlignment="1">
      <alignment horizontal="center" vertical="center"/>
    </xf>
    <xf numFmtId="38" fontId="0" fillId="5" borderId="26" xfId="0" applyNumberFormat="1" applyFill="1" applyBorder="1" applyAlignment="1">
      <alignment horizontal="center" vertical="center"/>
    </xf>
    <xf numFmtId="40" fontId="0" fillId="5" borderId="33" xfId="0" applyNumberFormat="1" applyFill="1" applyBorder="1" applyAlignment="1">
      <alignment horizontal="center" vertical="center"/>
    </xf>
    <xf numFmtId="38" fontId="3" fillId="5" borderId="68" xfId="0" applyNumberFormat="1" applyFont="1" applyFill="1" applyBorder="1" applyAlignment="1">
      <alignment horizontal="center" vertical="center"/>
    </xf>
    <xf numFmtId="40" fontId="0" fillId="5" borderId="52" xfId="0" applyNumberFormat="1" applyFill="1" applyBorder="1" applyAlignment="1">
      <alignment horizontal="center" vertical="center"/>
    </xf>
    <xf numFmtId="40" fontId="0" fillId="5" borderId="28" xfId="0" applyNumberFormat="1" applyFill="1" applyBorder="1" applyAlignment="1">
      <alignment horizontal="center" vertical="center"/>
    </xf>
    <xf numFmtId="184" fontId="3" fillId="5" borderId="32" xfId="0" applyNumberFormat="1" applyFont="1" applyFill="1" applyBorder="1" applyAlignment="1">
      <alignment horizontal="center" vertical="center"/>
    </xf>
    <xf numFmtId="40" fontId="0" fillId="5" borderId="27" xfId="0" applyNumberFormat="1" applyFill="1" applyBorder="1" applyAlignment="1">
      <alignment horizontal="center" vertical="center"/>
    </xf>
    <xf numFmtId="184" fontId="3" fillId="5" borderId="26" xfId="0" applyNumberFormat="1" applyFont="1" applyFill="1" applyBorder="1" applyAlignment="1">
      <alignment horizontal="center" vertical="center"/>
    </xf>
    <xf numFmtId="180" fontId="0" fillId="5" borderId="80" xfId="0" applyFill="1" applyBorder="1" applyAlignment="1">
      <alignment horizontal="center" vertical="center"/>
    </xf>
    <xf numFmtId="40" fontId="0" fillId="0" borderId="116" xfId="0" applyNumberFormat="1" applyBorder="1" applyAlignment="1">
      <alignment horizontal="center" vertical="center"/>
    </xf>
    <xf numFmtId="40" fontId="0" fillId="0" borderId="118" xfId="0" applyNumberFormat="1" applyBorder="1" applyAlignment="1">
      <alignment horizontal="center" vertical="center"/>
    </xf>
    <xf numFmtId="40" fontId="3" fillId="0" borderId="116" xfId="0" applyNumberFormat="1" applyFont="1" applyBorder="1" applyAlignment="1">
      <alignment horizontal="center" vertical="center"/>
    </xf>
    <xf numFmtId="180" fontId="0" fillId="3" borderId="17" xfId="0" applyFill="1" applyBorder="1">
      <alignment vertical="center"/>
    </xf>
    <xf numFmtId="40" fontId="0" fillId="0" borderId="70" xfId="0" applyNumberFormat="1" applyBorder="1" applyAlignment="1">
      <alignment horizontal="center" vertical="center"/>
    </xf>
    <xf numFmtId="40" fontId="0" fillId="0" borderId="71" xfId="0" applyNumberFormat="1" applyBorder="1" applyAlignment="1">
      <alignment horizontal="center" vertical="center"/>
    </xf>
    <xf numFmtId="40" fontId="3" fillId="0" borderId="70" xfId="0" applyNumberFormat="1" applyFont="1" applyBorder="1" applyAlignment="1">
      <alignment horizontal="center" vertical="center"/>
    </xf>
    <xf numFmtId="38" fontId="0" fillId="5" borderId="17" xfId="0" applyNumberFormat="1" applyFill="1" applyBorder="1" applyAlignment="1">
      <alignment horizontal="center" vertical="center"/>
    </xf>
    <xf numFmtId="40" fontId="0" fillId="5" borderId="35" xfId="0" applyNumberFormat="1" applyFill="1" applyBorder="1" applyAlignment="1">
      <alignment horizontal="center" vertical="center"/>
    </xf>
    <xf numFmtId="38" fontId="3" fillId="5" borderId="70" xfId="0" applyNumberFormat="1" applyFont="1" applyFill="1" applyBorder="1" applyAlignment="1">
      <alignment horizontal="center" vertical="center"/>
    </xf>
    <xf numFmtId="40" fontId="0" fillId="5" borderId="71" xfId="0" applyNumberFormat="1" applyFill="1" applyBorder="1" applyAlignment="1">
      <alignment horizontal="center" vertical="center"/>
    </xf>
    <xf numFmtId="40" fontId="0" fillId="5" borderId="23" xfId="0" applyNumberFormat="1" applyFill="1" applyBorder="1" applyAlignment="1">
      <alignment horizontal="center" vertical="center"/>
    </xf>
    <xf numFmtId="184" fontId="3" fillId="5" borderId="34" xfId="0" applyNumberFormat="1" applyFont="1" applyFill="1" applyBorder="1" applyAlignment="1">
      <alignment horizontal="center" vertical="center"/>
    </xf>
    <xf numFmtId="40" fontId="0" fillId="5" borderId="16" xfId="0" applyNumberFormat="1" applyFill="1" applyBorder="1" applyAlignment="1">
      <alignment horizontal="center" vertical="center"/>
    </xf>
    <xf numFmtId="184" fontId="3" fillId="5" borderId="17" xfId="0" applyNumberFormat="1" applyFont="1" applyFill="1" applyBorder="1" applyAlignment="1">
      <alignment horizontal="center" vertical="center"/>
    </xf>
    <xf numFmtId="180" fontId="0" fillId="5" borderId="83" xfId="0" applyFill="1" applyBorder="1" applyAlignment="1">
      <alignment horizontal="center" vertical="center"/>
    </xf>
    <xf numFmtId="40" fontId="0" fillId="5" borderId="65" xfId="0" applyNumberFormat="1" applyFill="1" applyBorder="1" applyAlignment="1">
      <alignment horizontal="center" vertical="center"/>
    </xf>
    <xf numFmtId="40" fontId="0" fillId="5" borderId="82" xfId="0" applyNumberFormat="1" applyFill="1" applyBorder="1" applyAlignment="1">
      <alignment horizontal="center" vertical="center"/>
    </xf>
    <xf numFmtId="40" fontId="0" fillId="5" borderId="68" xfId="0" applyNumberFormat="1" applyFill="1" applyBorder="1" applyAlignment="1">
      <alignment horizontal="center" vertical="center"/>
    </xf>
    <xf numFmtId="40" fontId="0" fillId="5" borderId="80" xfId="0" applyNumberFormat="1" applyFill="1" applyBorder="1" applyAlignment="1">
      <alignment horizontal="center" vertical="center"/>
    </xf>
    <xf numFmtId="40" fontId="0" fillId="5" borderId="116" xfId="0" applyNumberFormat="1" applyFill="1" applyBorder="1" applyAlignment="1">
      <alignment horizontal="center" vertical="center"/>
    </xf>
    <xf numFmtId="40" fontId="0" fillId="5" borderId="118" xfId="0" applyNumberFormat="1" applyFill="1" applyBorder="1" applyAlignment="1">
      <alignment horizontal="center" vertical="center"/>
    </xf>
    <xf numFmtId="40" fontId="0" fillId="5" borderId="70" xfId="0" applyNumberFormat="1" applyFill="1" applyBorder="1" applyAlignment="1">
      <alignment horizontal="center" vertical="center"/>
    </xf>
    <xf numFmtId="40" fontId="0" fillId="5" borderId="83" xfId="0" applyNumberFormat="1" applyFill="1" applyBorder="1" applyAlignment="1">
      <alignment horizontal="center" vertical="center"/>
    </xf>
    <xf numFmtId="40" fontId="3" fillId="5" borderId="65" xfId="0" applyNumberFormat="1" applyFont="1" applyFill="1" applyBorder="1" applyAlignment="1">
      <alignment horizontal="center" vertical="center"/>
    </xf>
    <xf numFmtId="40" fontId="3" fillId="5" borderId="51" xfId="0" applyNumberFormat="1" applyFont="1" applyFill="1" applyBorder="1" applyAlignment="1">
      <alignment horizontal="center" vertical="center"/>
    </xf>
    <xf numFmtId="40" fontId="3" fillId="5" borderId="116" xfId="0" applyNumberFormat="1" applyFont="1" applyFill="1" applyBorder="1" applyAlignment="1">
      <alignment horizontal="center" vertical="center"/>
    </xf>
    <xf numFmtId="40" fontId="3" fillId="5" borderId="118" xfId="0" applyNumberFormat="1" applyFont="1" applyFill="1" applyBorder="1" applyAlignment="1">
      <alignment horizontal="center" vertical="center"/>
    </xf>
    <xf numFmtId="180" fontId="0" fillId="3" borderId="82" xfId="0" applyFill="1" applyBorder="1">
      <alignment vertical="center"/>
    </xf>
    <xf numFmtId="40" fontId="0" fillId="0" borderId="13" xfId="0" applyNumberFormat="1" applyBorder="1" applyAlignment="1">
      <alignment horizontal="center" vertical="center"/>
    </xf>
    <xf numFmtId="38" fontId="3" fillId="0" borderId="14" xfId="0" applyNumberFormat="1" applyFont="1" applyFill="1" applyBorder="1" applyAlignment="1">
      <alignment horizontal="center" vertical="center"/>
    </xf>
    <xf numFmtId="40" fontId="0" fillId="0" borderId="31" xfId="0" applyNumberFormat="1" applyFill="1" applyBorder="1" applyAlignment="1">
      <alignment horizontal="center" vertical="center"/>
    </xf>
    <xf numFmtId="38" fontId="3" fillId="0" borderId="65" xfId="0" applyNumberFormat="1" applyFont="1" applyFill="1" applyBorder="1" applyAlignment="1">
      <alignment horizontal="center" vertical="center"/>
    </xf>
    <xf numFmtId="40" fontId="0" fillId="0" borderId="15" xfId="0" applyNumberFormat="1" applyFill="1" applyBorder="1" applyAlignment="1">
      <alignment horizontal="center" vertical="center"/>
    </xf>
    <xf numFmtId="40" fontId="0" fillId="0" borderId="13" xfId="0" applyNumberFormat="1" applyFill="1" applyBorder="1" applyAlignment="1">
      <alignment horizontal="center" vertical="center"/>
    </xf>
    <xf numFmtId="184" fontId="3" fillId="0" borderId="14" xfId="0" applyNumberFormat="1" applyFont="1" applyFill="1" applyBorder="1" applyAlignment="1">
      <alignment horizontal="center" vertical="center"/>
    </xf>
    <xf numFmtId="40" fontId="0" fillId="0" borderId="14" xfId="0" applyNumberFormat="1" applyFill="1" applyBorder="1" applyAlignment="1">
      <alignment horizontal="center" vertical="center"/>
    </xf>
    <xf numFmtId="40" fontId="0" fillId="0" borderId="65" xfId="0" applyNumberFormat="1" applyFill="1" applyBorder="1" applyAlignment="1">
      <alignment horizontal="center" vertical="center"/>
    </xf>
    <xf numFmtId="180" fontId="0" fillId="3" borderId="80" xfId="0" applyFill="1" applyBorder="1">
      <alignment vertical="center"/>
    </xf>
    <xf numFmtId="40" fontId="0" fillId="0" borderId="27" xfId="0" applyNumberFormat="1" applyBorder="1" applyAlignment="1">
      <alignment horizontal="center" vertical="center"/>
    </xf>
    <xf numFmtId="38" fontId="0" fillId="0" borderId="26" xfId="0" applyNumberFormat="1" applyFill="1" applyBorder="1" applyAlignment="1">
      <alignment horizontal="center" vertical="center"/>
    </xf>
    <xf numFmtId="40" fontId="0" fillId="0" borderId="33" xfId="0" applyNumberFormat="1" applyFill="1" applyBorder="1" applyAlignment="1">
      <alignment horizontal="center" vertical="center"/>
    </xf>
    <xf numFmtId="38" fontId="3" fillId="0" borderId="68" xfId="0" applyNumberFormat="1" applyFont="1" applyFill="1" applyBorder="1" applyAlignment="1">
      <alignment horizontal="center" vertical="center"/>
    </xf>
    <xf numFmtId="40" fontId="0" fillId="0" borderId="28" xfId="0" applyNumberFormat="1" applyFill="1" applyBorder="1" applyAlignment="1">
      <alignment horizontal="center" vertical="center"/>
    </xf>
    <xf numFmtId="40" fontId="0" fillId="0" borderId="27" xfId="0" applyNumberFormat="1" applyFill="1" applyBorder="1" applyAlignment="1">
      <alignment horizontal="center" vertical="center"/>
    </xf>
    <xf numFmtId="184" fontId="3" fillId="0" borderId="26" xfId="0" applyNumberFormat="1" applyFont="1" applyFill="1" applyBorder="1" applyAlignment="1">
      <alignment horizontal="center" vertical="center"/>
    </xf>
    <xf numFmtId="40" fontId="0" fillId="0" borderId="26" xfId="0" applyNumberFormat="1" applyFill="1" applyBorder="1" applyAlignment="1">
      <alignment horizontal="center" vertical="center"/>
    </xf>
    <xf numFmtId="40" fontId="0" fillId="0" borderId="68" xfId="0" applyNumberFormat="1" applyFill="1" applyBorder="1" applyAlignment="1">
      <alignment horizontal="center" vertical="center"/>
    </xf>
    <xf numFmtId="180" fontId="0" fillId="3" borderId="83" xfId="0" applyFill="1" applyBorder="1">
      <alignment vertical="center"/>
    </xf>
    <xf numFmtId="40" fontId="0" fillId="0" borderId="16" xfId="0" applyNumberFormat="1" applyBorder="1" applyAlignment="1">
      <alignment horizontal="center" vertical="center"/>
    </xf>
    <xf numFmtId="40" fontId="0" fillId="0" borderId="35" xfId="0" applyNumberFormat="1" applyBorder="1" applyAlignment="1">
      <alignment horizontal="center" vertical="center"/>
    </xf>
    <xf numFmtId="40" fontId="0" fillId="0" borderId="23" xfId="0" applyNumberFormat="1" applyBorder="1" applyAlignment="1">
      <alignment horizontal="center" vertical="center"/>
    </xf>
    <xf numFmtId="38" fontId="0" fillId="0" borderId="17" xfId="0" applyNumberFormat="1" applyFill="1" applyBorder="1" applyAlignment="1">
      <alignment horizontal="center" vertical="center"/>
    </xf>
    <xf numFmtId="38" fontId="3" fillId="0" borderId="70" xfId="0" applyNumberFormat="1" applyFont="1" applyFill="1" applyBorder="1" applyAlignment="1">
      <alignment horizontal="center" vertical="center"/>
    </xf>
    <xf numFmtId="40" fontId="0" fillId="0" borderId="71" xfId="0" applyNumberFormat="1" applyFill="1" applyBorder="1" applyAlignment="1">
      <alignment horizontal="center" vertical="center"/>
    </xf>
    <xf numFmtId="40" fontId="0" fillId="0" borderId="17" xfId="0" applyNumberFormat="1" applyBorder="1" applyAlignment="1">
      <alignment horizontal="center" vertical="center"/>
    </xf>
    <xf numFmtId="40" fontId="0" fillId="0" borderId="16" xfId="0" applyNumberFormat="1" applyFill="1" applyBorder="1" applyAlignment="1">
      <alignment horizontal="center" vertical="center"/>
    </xf>
    <xf numFmtId="184" fontId="3" fillId="0" borderId="17" xfId="0" applyNumberFormat="1" applyFont="1" applyFill="1" applyBorder="1" applyAlignment="1">
      <alignment horizontal="center" vertical="center"/>
    </xf>
    <xf numFmtId="40" fontId="0" fillId="0" borderId="34" xfId="0" applyNumberFormat="1" applyBorder="1" applyAlignment="1">
      <alignment horizontal="center" vertical="center"/>
    </xf>
    <xf numFmtId="40" fontId="0" fillId="0" borderId="17" xfId="0" applyNumberFormat="1" applyFill="1" applyBorder="1" applyAlignment="1">
      <alignment horizontal="center" vertical="center"/>
    </xf>
    <xf numFmtId="40" fontId="0" fillId="0" borderId="70" xfId="0" applyNumberFormat="1" applyFill="1" applyBorder="1" applyAlignment="1">
      <alignment horizontal="center" vertical="center"/>
    </xf>
    <xf numFmtId="0" fontId="14" fillId="0" borderId="65" xfId="5" applyFont="1" applyFill="1" applyBorder="1" applyAlignment="1">
      <alignment horizontal="center" vertical="center" shrinkToFit="1"/>
    </xf>
    <xf numFmtId="0" fontId="14" fillId="0" borderId="64" xfId="5" applyFont="1" applyFill="1" applyBorder="1" applyAlignment="1">
      <alignment horizontal="center" vertical="center" shrinkToFit="1"/>
    </xf>
    <xf numFmtId="0" fontId="14" fillId="0" borderId="51" xfId="5" applyFont="1" applyFill="1" applyBorder="1" applyAlignment="1">
      <alignment horizontal="center" vertical="center" shrinkToFit="1"/>
    </xf>
    <xf numFmtId="0" fontId="14" fillId="0" borderId="107" xfId="5" applyFont="1" applyFill="1" applyBorder="1" applyAlignment="1">
      <alignment horizontal="center" vertical="center" shrinkToFit="1"/>
    </xf>
    <xf numFmtId="0" fontId="14" fillId="0" borderId="114" xfId="5" applyFont="1" applyFill="1" applyBorder="1" applyAlignment="1">
      <alignment horizontal="center" vertical="center" shrinkToFit="1"/>
    </xf>
    <xf numFmtId="0" fontId="14" fillId="0" borderId="108" xfId="5" applyFont="1" applyFill="1" applyBorder="1" applyAlignment="1">
      <alignment horizontal="center" vertical="center" shrinkToFit="1"/>
    </xf>
    <xf numFmtId="205" fontId="14" fillId="0" borderId="65" xfId="5" applyNumberFormat="1" applyFont="1" applyFill="1" applyBorder="1" applyAlignment="1">
      <alignment horizontal="center" vertical="center" shrinkToFit="1"/>
    </xf>
    <xf numFmtId="205" fontId="14" fillId="0" borderId="64" xfId="5" applyNumberFormat="1" applyFont="1" applyFill="1" applyBorder="1" applyAlignment="1">
      <alignment horizontal="center" vertical="center" shrinkToFit="1"/>
    </xf>
    <xf numFmtId="186" fontId="14" fillId="0" borderId="65" xfId="5" applyNumberFormat="1" applyFont="1" applyFill="1" applyBorder="1" applyAlignment="1">
      <alignment horizontal="center" vertical="center" shrinkToFit="1"/>
    </xf>
    <xf numFmtId="186" fontId="14" fillId="0" borderId="64" xfId="5" applyNumberFormat="1" applyFont="1" applyFill="1" applyBorder="1" applyAlignment="1">
      <alignment horizontal="center" vertical="center" shrinkToFit="1"/>
    </xf>
    <xf numFmtId="0" fontId="14" fillId="0" borderId="65" xfId="5" applyNumberFormat="1" applyFont="1" applyFill="1" applyBorder="1" applyAlignment="1">
      <alignment horizontal="center" vertical="center" shrinkToFit="1"/>
    </xf>
    <xf numFmtId="0" fontId="14" fillId="0" borderId="64" xfId="5" applyNumberFormat="1" applyFont="1" applyFill="1" applyBorder="1" applyAlignment="1">
      <alignment horizontal="center" vertical="center" shrinkToFit="1"/>
    </xf>
    <xf numFmtId="40" fontId="14" fillId="0" borderId="51" xfId="0" applyNumberFormat="1" applyFont="1" applyFill="1" applyBorder="1" applyAlignment="1">
      <alignment horizontal="center" vertical="center" shrinkToFit="1"/>
    </xf>
    <xf numFmtId="0" fontId="14" fillId="0" borderId="68" xfId="5" applyNumberFormat="1" applyFont="1" applyFill="1" applyBorder="1" applyAlignment="1">
      <alignment horizontal="center" vertical="center" shrinkToFit="1"/>
    </xf>
    <xf numFmtId="0" fontId="14" fillId="0" borderId="67" xfId="5" applyNumberFormat="1" applyFont="1" applyFill="1" applyBorder="1" applyAlignment="1">
      <alignment horizontal="center" vertical="center" shrinkToFit="1"/>
    </xf>
    <xf numFmtId="0" fontId="14" fillId="0" borderId="52" xfId="5" applyNumberFormat="1" applyFont="1" applyFill="1" applyBorder="1" applyAlignment="1">
      <alignment horizontal="center" vertical="center" shrinkToFit="1"/>
    </xf>
    <xf numFmtId="40" fontId="3" fillId="0" borderId="3" xfId="0" applyNumberFormat="1" applyFont="1" applyFill="1" applyBorder="1" applyAlignment="1">
      <alignment horizontal="centerContinuous" vertical="center"/>
    </xf>
    <xf numFmtId="40" fontId="3" fillId="0" borderId="5" xfId="0" applyNumberFormat="1" applyFont="1" applyFill="1" applyBorder="1" applyAlignment="1">
      <alignment horizontal="centerContinuous" vertical="center"/>
    </xf>
    <xf numFmtId="38" fontId="26" fillId="0" borderId="80" xfId="2" applyFont="1" applyFill="1" applyBorder="1" applyAlignment="1">
      <alignment vertical="center"/>
    </xf>
    <xf numFmtId="38" fontId="26" fillId="0" borderId="80" xfId="2" applyFont="1" applyBorder="1" applyAlignment="1">
      <alignment vertical="center"/>
    </xf>
    <xf numFmtId="38" fontId="26" fillId="0" borderId="98" xfId="2" applyFont="1" applyBorder="1" applyAlignment="1">
      <alignment vertical="center"/>
    </xf>
    <xf numFmtId="180" fontId="14" fillId="0" borderId="14" xfId="0" applyFont="1" applyFill="1" applyBorder="1" applyAlignment="1">
      <alignment vertical="center"/>
    </xf>
    <xf numFmtId="180" fontId="9" fillId="3" borderId="1" xfId="0" applyFont="1" applyFill="1" applyBorder="1" applyAlignment="1">
      <alignment horizontal="centerContinuous" vertical="center" shrinkToFit="1"/>
    </xf>
    <xf numFmtId="180" fontId="9" fillId="3" borderId="2" xfId="0" applyFont="1" applyFill="1" applyBorder="1" applyAlignment="1">
      <alignment horizontal="centerContinuous" vertical="center" shrinkToFit="1"/>
    </xf>
    <xf numFmtId="180" fontId="9" fillId="3" borderId="3" xfId="0" applyFont="1" applyFill="1" applyBorder="1" applyAlignment="1">
      <alignment horizontal="centerContinuous" vertical="center" shrinkToFit="1"/>
    </xf>
    <xf numFmtId="180" fontId="9" fillId="3" borderId="4" xfId="0" applyFont="1" applyFill="1" applyBorder="1" applyAlignment="1">
      <alignment horizontal="centerContinuous" vertical="center" shrinkToFit="1"/>
    </xf>
    <xf numFmtId="180" fontId="9" fillId="3" borderId="7" xfId="0" applyFont="1" applyFill="1" applyBorder="1" applyAlignment="1">
      <alignment horizontal="centerContinuous" vertical="center" shrinkToFit="1"/>
    </xf>
    <xf numFmtId="180" fontId="9" fillId="3" borderId="8" xfId="0" applyFont="1" applyFill="1" applyBorder="1" applyAlignment="1">
      <alignment horizontal="centerContinuous" vertical="center" shrinkToFit="1"/>
    </xf>
    <xf numFmtId="180" fontId="26" fillId="6" borderId="40" xfId="0" applyFont="1" applyFill="1" applyBorder="1" applyAlignment="1">
      <alignment vertical="center" shrinkToFit="1"/>
    </xf>
    <xf numFmtId="180" fontId="26" fillId="6" borderId="26" xfId="0" applyFont="1" applyFill="1" applyBorder="1" applyAlignment="1">
      <alignment vertical="center" shrinkToFit="1"/>
    </xf>
    <xf numFmtId="180" fontId="26" fillId="6" borderId="48" xfId="0" applyFont="1" applyFill="1" applyBorder="1" applyAlignment="1">
      <alignment vertical="center" shrinkToFit="1"/>
    </xf>
    <xf numFmtId="0" fontId="13" fillId="3" borderId="36" xfId="6" applyFont="1" applyFill="1" applyBorder="1" applyAlignment="1">
      <alignment horizontal="center" shrinkToFit="1"/>
    </xf>
    <xf numFmtId="188" fontId="26" fillId="0" borderId="26" xfId="0" applyNumberFormat="1" applyFont="1" applyFill="1" applyBorder="1" applyAlignment="1">
      <alignment vertical="center"/>
    </xf>
    <xf numFmtId="209" fontId="26" fillId="0" borderId="26" xfId="2" applyNumberFormat="1" applyFont="1" applyFill="1" applyBorder="1" applyAlignment="1">
      <alignment vertical="center"/>
    </xf>
    <xf numFmtId="195" fontId="26" fillId="0" borderId="26" xfId="2" applyNumberFormat="1" applyFont="1" applyFill="1" applyBorder="1" applyAlignment="1">
      <alignment vertical="center"/>
    </xf>
    <xf numFmtId="38" fontId="26" fillId="0" borderId="80" xfId="2" applyFont="1" applyFill="1" applyBorder="1" applyAlignment="1" applyProtection="1">
      <alignment vertical="center"/>
    </xf>
    <xf numFmtId="38" fontId="26" fillId="0" borderId="83" xfId="2" applyFont="1" applyFill="1" applyBorder="1" applyAlignment="1" applyProtection="1">
      <alignment vertical="center"/>
    </xf>
    <xf numFmtId="38" fontId="26" fillId="0" borderId="83" xfId="2" applyFont="1" applyBorder="1" applyAlignment="1">
      <alignment vertical="center"/>
    </xf>
    <xf numFmtId="38" fontId="26" fillId="0" borderId="28" xfId="2" applyFont="1" applyFill="1" applyBorder="1" applyAlignment="1" applyProtection="1">
      <alignment vertical="center"/>
    </xf>
    <xf numFmtId="38" fontId="26" fillId="4" borderId="28" xfId="2" applyFont="1" applyFill="1" applyBorder="1" applyAlignment="1" applyProtection="1">
      <alignment vertical="center"/>
      <protection locked="0"/>
    </xf>
    <xf numFmtId="38" fontId="26" fillId="4" borderId="23" xfId="2" applyFont="1" applyFill="1" applyBorder="1" applyAlignment="1" applyProtection="1">
      <alignment vertical="center"/>
      <protection locked="0"/>
    </xf>
    <xf numFmtId="38" fontId="26" fillId="0" borderId="98" xfId="2" applyFont="1" applyFill="1" applyBorder="1" applyAlignment="1">
      <alignment vertical="center"/>
    </xf>
    <xf numFmtId="38" fontId="26" fillId="0" borderId="100" xfId="2" applyFont="1" applyBorder="1" applyAlignment="1">
      <alignment vertical="center"/>
    </xf>
    <xf numFmtId="191" fontId="26" fillId="4" borderId="28" xfId="0" applyNumberFormat="1" applyFont="1" applyFill="1" applyBorder="1" applyAlignment="1" applyProtection="1">
      <alignment horizontal="left" vertical="center"/>
    </xf>
    <xf numFmtId="0" fontId="26" fillId="0" borderId="81" xfId="4" applyFont="1" applyBorder="1" applyAlignment="1">
      <alignment horizontal="center" vertical="center"/>
    </xf>
    <xf numFmtId="180" fontId="26" fillId="4" borderId="40" xfId="0" applyFont="1" applyFill="1" applyBorder="1" applyAlignment="1">
      <alignment vertical="center"/>
    </xf>
    <xf numFmtId="0" fontId="26" fillId="0" borderId="82" xfId="4" applyFont="1" applyBorder="1" applyAlignment="1">
      <alignment horizontal="center" vertical="center"/>
    </xf>
    <xf numFmtId="0" fontId="26" fillId="0" borderId="83" xfId="4" applyFont="1" applyBorder="1" applyAlignment="1">
      <alignment horizontal="center" vertical="center"/>
    </xf>
    <xf numFmtId="3" fontId="0" fillId="0" borderId="0" xfId="0" applyNumberFormat="1">
      <alignment vertical="center"/>
    </xf>
    <xf numFmtId="180" fontId="26" fillId="9" borderId="28" xfId="0" applyFont="1" applyFill="1" applyBorder="1" applyAlignment="1">
      <alignment vertical="center"/>
    </xf>
    <xf numFmtId="180" fontId="26" fillId="9" borderId="23" xfId="0" applyFont="1" applyFill="1" applyBorder="1" applyAlignment="1">
      <alignment vertical="center"/>
    </xf>
    <xf numFmtId="0" fontId="26" fillId="9" borderId="79" xfId="4" applyFont="1" applyFill="1" applyBorder="1" applyAlignment="1">
      <alignment horizontal="left" vertical="center"/>
    </xf>
    <xf numFmtId="0" fontId="26" fillId="9" borderId="83" xfId="4" applyFont="1" applyFill="1" applyBorder="1" applyAlignment="1">
      <alignment horizontal="left" vertical="center"/>
    </xf>
    <xf numFmtId="40" fontId="14" fillId="0" borderId="16" xfId="0" applyNumberFormat="1" applyFont="1" applyBorder="1" applyAlignment="1">
      <alignment horizontal="center" vertical="center"/>
    </xf>
    <xf numFmtId="40" fontId="0" fillId="0" borderId="31" xfId="0" applyNumberFormat="1" applyBorder="1" applyAlignment="1">
      <alignment horizontal="center" vertical="center"/>
    </xf>
    <xf numFmtId="40" fontId="0" fillId="0" borderId="15" xfId="0" applyNumberFormat="1" applyBorder="1" applyAlignment="1">
      <alignment horizontal="center" vertical="center"/>
    </xf>
    <xf numFmtId="40" fontId="0" fillId="0" borderId="26" xfId="0" applyNumberFormat="1" applyBorder="1" applyAlignment="1">
      <alignment horizontal="center" vertical="center"/>
    </xf>
    <xf numFmtId="40" fontId="0" fillId="0" borderId="33" xfId="0" applyNumberFormat="1" applyBorder="1" applyAlignment="1">
      <alignment horizontal="center" vertical="center"/>
    </xf>
    <xf numFmtId="40" fontId="0" fillId="0" borderId="28" xfId="0" applyNumberFormat="1" applyBorder="1" applyAlignment="1">
      <alignment horizontal="center" vertical="center"/>
    </xf>
    <xf numFmtId="40" fontId="0" fillId="0" borderId="51" xfId="0" applyNumberFormat="1" applyFill="1" applyBorder="1" applyAlignment="1">
      <alignment horizontal="center" vertical="center"/>
    </xf>
    <xf numFmtId="40" fontId="0" fillId="0" borderId="52" xfId="0" applyNumberFormat="1" applyFill="1" applyBorder="1" applyAlignment="1">
      <alignment horizontal="center" vertical="center"/>
    </xf>
    <xf numFmtId="40" fontId="14" fillId="0" borderId="0" xfId="0" applyNumberFormat="1" applyFont="1" applyFill="1" applyBorder="1">
      <alignment vertical="center"/>
    </xf>
    <xf numFmtId="40" fontId="0" fillId="0" borderId="35" xfId="0" applyNumberFormat="1" applyFill="1" applyBorder="1" applyAlignment="1">
      <alignment horizontal="center" vertical="center"/>
    </xf>
    <xf numFmtId="40" fontId="0" fillId="0" borderId="23" xfId="0" applyNumberFormat="1" applyFill="1" applyBorder="1" applyAlignment="1">
      <alignment horizontal="center" vertical="center"/>
    </xf>
    <xf numFmtId="40" fontId="0" fillId="0" borderId="14" xfId="0" applyNumberFormat="1" applyBorder="1" applyAlignment="1">
      <alignment horizontal="center" vertical="center"/>
    </xf>
    <xf numFmtId="40" fontId="14" fillId="0" borderId="0" xfId="0" applyNumberFormat="1" applyFont="1" applyBorder="1">
      <alignment vertical="center"/>
    </xf>
    <xf numFmtId="180" fontId="14" fillId="0" borderId="26" xfId="0" applyFont="1" applyFill="1" applyBorder="1" applyAlignment="1">
      <alignment vertical="center"/>
    </xf>
    <xf numFmtId="180" fontId="14" fillId="0" borderId="48" xfId="0" applyFont="1" applyFill="1" applyBorder="1" applyAlignment="1">
      <alignment vertical="center"/>
    </xf>
    <xf numFmtId="180" fontId="14" fillId="0" borderId="14" xfId="0" applyFont="1" applyFill="1" applyBorder="1" applyAlignment="1">
      <alignment vertical="center"/>
    </xf>
    <xf numFmtId="180" fontId="14" fillId="4" borderId="26" xfId="0" applyFont="1" applyFill="1" applyBorder="1" applyAlignment="1">
      <alignment vertical="center"/>
    </xf>
    <xf numFmtId="178" fontId="0" fillId="0" borderId="70" xfId="0" applyNumberFormat="1" applyFont="1" applyFill="1" applyBorder="1" applyAlignment="1">
      <alignment horizontal="centerContinuous" vertical="center" shrinkToFit="1"/>
    </xf>
    <xf numFmtId="184" fontId="3" fillId="0" borderId="65" xfId="0" applyNumberFormat="1" applyFont="1" applyFill="1" applyBorder="1" applyAlignment="1">
      <alignment horizontal="center" vertical="center"/>
    </xf>
    <xf numFmtId="184" fontId="3" fillId="0" borderId="68" xfId="0" applyNumberFormat="1" applyFont="1" applyFill="1" applyBorder="1" applyAlignment="1">
      <alignment horizontal="center" vertical="center"/>
    </xf>
    <xf numFmtId="184" fontId="3" fillId="0" borderId="70" xfId="0" applyNumberFormat="1" applyFont="1" applyFill="1" applyBorder="1" applyAlignment="1">
      <alignment horizontal="center" vertical="center"/>
    </xf>
    <xf numFmtId="180" fontId="0" fillId="3" borderId="163" xfId="0" applyFill="1" applyBorder="1" applyAlignment="1">
      <alignment vertical="center"/>
    </xf>
    <xf numFmtId="180" fontId="0" fillId="3" borderId="164" xfId="0" applyFill="1" applyBorder="1" applyAlignment="1">
      <alignment vertical="center"/>
    </xf>
    <xf numFmtId="40" fontId="0" fillId="0" borderId="165" xfId="0" applyNumberFormat="1" applyBorder="1" applyAlignment="1">
      <alignment horizontal="center" vertical="center"/>
    </xf>
    <xf numFmtId="40" fontId="0" fillId="0" borderId="166" xfId="0" applyNumberFormat="1" applyBorder="1" applyAlignment="1">
      <alignment horizontal="center" vertical="center"/>
    </xf>
    <xf numFmtId="40" fontId="0" fillId="0" borderId="167" xfId="0" applyNumberFormat="1" applyBorder="1" applyAlignment="1">
      <alignment horizontal="center" vertical="center"/>
    </xf>
    <xf numFmtId="40" fontId="0" fillId="0" borderId="168" xfId="0" applyNumberFormat="1" applyBorder="1" applyAlignment="1">
      <alignment horizontal="center" vertical="center"/>
    </xf>
    <xf numFmtId="40" fontId="0" fillId="0" borderId="169" xfId="0" applyNumberFormat="1" applyBorder="1" applyAlignment="1">
      <alignment horizontal="center" vertical="center"/>
    </xf>
    <xf numFmtId="40" fontId="0" fillId="0" borderId="170" xfId="0" applyNumberFormat="1" applyBorder="1" applyAlignment="1">
      <alignment horizontal="center" vertical="center"/>
    </xf>
    <xf numFmtId="180" fontId="40" fillId="0" borderId="27" xfId="0" applyFont="1" applyFill="1" applyBorder="1" applyAlignment="1">
      <alignment vertical="center"/>
    </xf>
    <xf numFmtId="180" fontId="3" fillId="3" borderId="4" xfId="0" applyFont="1" applyFill="1" applyBorder="1" applyAlignment="1">
      <alignment vertical="center" shrinkToFit="1"/>
    </xf>
    <xf numFmtId="180" fontId="3" fillId="3" borderId="5" xfId="0" applyFont="1" applyFill="1" applyBorder="1" applyAlignment="1">
      <alignment vertical="center" shrinkToFit="1"/>
    </xf>
    <xf numFmtId="40" fontId="0" fillId="10" borderId="116" xfId="0" applyNumberFormat="1" applyFill="1" applyBorder="1" applyAlignment="1">
      <alignment horizontal="center" vertical="center"/>
    </xf>
    <xf numFmtId="40" fontId="0" fillId="10" borderId="118" xfId="0" applyNumberFormat="1" applyFill="1" applyBorder="1" applyAlignment="1">
      <alignment horizontal="center" vertical="center"/>
    </xf>
    <xf numFmtId="40" fontId="3" fillId="10" borderId="116" xfId="0" applyNumberFormat="1" applyFont="1" applyFill="1" applyBorder="1" applyAlignment="1">
      <alignment horizontal="center" vertical="center"/>
    </xf>
    <xf numFmtId="38" fontId="0" fillId="0" borderId="65" xfId="2" applyFont="1" applyBorder="1" applyAlignment="1">
      <alignment horizontal="center" vertical="center"/>
    </xf>
    <xf numFmtId="38" fontId="0" fillId="0" borderId="68" xfId="2" applyFont="1" applyBorder="1" applyAlignment="1">
      <alignment horizontal="center" vertical="center"/>
    </xf>
    <xf numFmtId="38" fontId="0" fillId="0" borderId="116" xfId="2" applyFont="1" applyBorder="1" applyAlignment="1">
      <alignment horizontal="center" vertical="center"/>
    </xf>
    <xf numFmtId="38" fontId="0" fillId="0" borderId="70" xfId="2" applyFont="1" applyBorder="1" applyAlignment="1">
      <alignment horizontal="center" vertical="center"/>
    </xf>
    <xf numFmtId="38" fontId="0" fillId="10" borderId="116" xfId="2" applyFont="1" applyFill="1" applyBorder="1" applyAlignment="1">
      <alignment horizontal="center" vertical="center"/>
    </xf>
    <xf numFmtId="38" fontId="3" fillId="10" borderId="116" xfId="2" applyFont="1" applyFill="1" applyBorder="1" applyAlignment="1">
      <alignment horizontal="center" vertical="center"/>
    </xf>
    <xf numFmtId="38" fontId="3" fillId="0" borderId="116" xfId="2" applyFont="1" applyBorder="1" applyAlignment="1">
      <alignment horizontal="center" vertical="center"/>
    </xf>
    <xf numFmtId="40" fontId="34" fillId="3" borderId="3" xfId="0" applyNumberFormat="1" applyFont="1" applyFill="1" applyBorder="1" applyAlignment="1">
      <alignment horizontal="centerContinuous" vertical="center"/>
    </xf>
    <xf numFmtId="180" fontId="34" fillId="3" borderId="4" xfId="0" applyFont="1" applyFill="1" applyBorder="1" applyAlignment="1">
      <alignment horizontal="centerContinuous" vertical="center"/>
    </xf>
    <xf numFmtId="180" fontId="34" fillId="3" borderId="5" xfId="0" applyFont="1" applyFill="1" applyBorder="1" applyAlignment="1">
      <alignment horizontal="centerContinuous" vertical="center"/>
    </xf>
    <xf numFmtId="40" fontId="0" fillId="3" borderId="3" xfId="0" applyNumberFormat="1" applyFont="1" applyFill="1" applyBorder="1" applyAlignment="1">
      <alignment horizontal="centerContinuous" vertical="center" shrinkToFit="1"/>
    </xf>
    <xf numFmtId="40" fontId="3" fillId="0" borderId="2" xfId="0" applyNumberFormat="1" applyFont="1" applyFill="1" applyBorder="1" applyAlignment="1">
      <alignment horizontal="centerContinuous" vertical="center" shrinkToFit="1"/>
    </xf>
    <xf numFmtId="40" fontId="0" fillId="0" borderId="2" xfId="0" applyNumberFormat="1" applyFill="1" applyBorder="1" applyAlignment="1">
      <alignment horizontal="centerContinuous" vertical="center" shrinkToFit="1"/>
    </xf>
    <xf numFmtId="180" fontId="0" fillId="0" borderId="2" xfId="0" applyFill="1" applyBorder="1" applyAlignment="1">
      <alignment horizontal="centerContinuous" vertical="center" shrinkToFit="1"/>
    </xf>
    <xf numFmtId="40" fontId="0" fillId="0" borderId="19" xfId="0" applyNumberFormat="1" applyFill="1" applyBorder="1" applyAlignment="1">
      <alignment horizontal="centerContinuous" vertical="center" shrinkToFit="1"/>
    </xf>
    <xf numFmtId="40" fontId="34" fillId="3" borderId="4" xfId="0" applyNumberFormat="1" applyFont="1" applyFill="1" applyBorder="1" applyAlignment="1">
      <alignment horizontal="centerContinuous" vertical="center"/>
    </xf>
    <xf numFmtId="40" fontId="34" fillId="3" borderId="5" xfId="0" applyNumberFormat="1" applyFont="1" applyFill="1" applyBorder="1" applyAlignment="1">
      <alignment horizontal="centerContinuous" vertical="center"/>
    </xf>
    <xf numFmtId="40" fontId="0" fillId="0" borderId="0" xfId="0" applyNumberFormat="1" applyBorder="1" applyAlignment="1">
      <alignment vertical="center" shrinkToFit="1"/>
    </xf>
    <xf numFmtId="180" fontId="0" fillId="3" borderId="3" xfId="0" applyFont="1" applyFill="1" applyBorder="1" applyAlignment="1">
      <alignment horizontal="centerContinuous" vertical="center" shrinkToFit="1"/>
    </xf>
    <xf numFmtId="38" fontId="14" fillId="0" borderId="13" xfId="2" applyFont="1" applyFill="1" applyBorder="1" applyAlignment="1">
      <alignment vertical="center" shrinkToFit="1"/>
    </xf>
    <xf numFmtId="38" fontId="14" fillId="0" borderId="0" xfId="2" applyFont="1" applyFill="1" applyBorder="1" applyAlignment="1">
      <alignment vertical="center" shrinkToFit="1"/>
    </xf>
    <xf numFmtId="38" fontId="43" fillId="0" borderId="27" xfId="2" applyFont="1" applyBorder="1" applyAlignment="1">
      <alignment vertical="center"/>
    </xf>
    <xf numFmtId="38" fontId="14" fillId="0" borderId="27" xfId="2" applyFont="1" applyFill="1" applyBorder="1" applyAlignment="1">
      <alignment vertical="center" shrinkToFit="1"/>
    </xf>
    <xf numFmtId="38" fontId="14" fillId="0" borderId="38" xfId="2" applyFont="1" applyFill="1" applyBorder="1" applyAlignment="1">
      <alignment vertical="center" shrinkToFit="1"/>
    </xf>
    <xf numFmtId="38" fontId="14" fillId="0" borderId="13" xfId="2" applyFont="1" applyBorder="1" applyAlignment="1">
      <alignment vertical="center"/>
    </xf>
    <xf numFmtId="38" fontId="14" fillId="0" borderId="27" xfId="2" applyFont="1" applyBorder="1" applyAlignment="1">
      <alignment vertical="center"/>
    </xf>
    <xf numFmtId="38" fontId="14" fillId="0" borderId="49" xfId="2" applyFont="1" applyFill="1" applyBorder="1" applyAlignment="1">
      <alignment vertical="center"/>
    </xf>
    <xf numFmtId="38" fontId="14" fillId="0" borderId="0" xfId="2" applyFont="1" applyFill="1" applyBorder="1" applyAlignment="1">
      <alignment vertical="center"/>
    </xf>
    <xf numFmtId="180" fontId="14" fillId="4" borderId="17" xfId="0" applyFont="1" applyFill="1" applyBorder="1" applyAlignment="1">
      <alignment vertical="center"/>
    </xf>
    <xf numFmtId="38" fontId="14" fillId="0" borderId="16" xfId="2" applyFont="1" applyFill="1" applyBorder="1" applyAlignment="1">
      <alignment vertical="center" shrinkToFit="1"/>
    </xf>
    <xf numFmtId="38" fontId="14" fillId="0" borderId="27" xfId="2" applyFont="1" applyBorder="1" applyAlignment="1">
      <alignment vertical="center" shrinkToFit="1"/>
    </xf>
    <xf numFmtId="38" fontId="14" fillId="0" borderId="38" xfId="2" applyFont="1" applyBorder="1" applyAlignment="1">
      <alignment vertical="center" shrinkToFit="1"/>
    </xf>
    <xf numFmtId="38" fontId="14" fillId="0" borderId="16" xfId="2" applyFont="1" applyBorder="1" applyAlignment="1">
      <alignment vertical="center" shrinkToFit="1"/>
    </xf>
    <xf numFmtId="38" fontId="14" fillId="0" borderId="14" xfId="2" applyFont="1" applyFill="1" applyBorder="1" applyAlignment="1">
      <alignment vertical="center"/>
    </xf>
    <xf numFmtId="38" fontId="14" fillId="0" borderId="26" xfId="2" applyFont="1" applyFill="1" applyBorder="1" applyAlignment="1">
      <alignment vertical="center"/>
    </xf>
    <xf numFmtId="38" fontId="14" fillId="4" borderId="26" xfId="2" applyFont="1" applyFill="1" applyBorder="1" applyAlignment="1">
      <alignment vertical="center"/>
    </xf>
    <xf numFmtId="38" fontId="14" fillId="4" borderId="17" xfId="2" applyFont="1" applyFill="1" applyBorder="1" applyAlignment="1">
      <alignment vertical="center"/>
    </xf>
    <xf numFmtId="38" fontId="14" fillId="0" borderId="28" xfId="2" applyFont="1" applyFill="1" applyBorder="1" applyAlignment="1">
      <alignment vertical="center" shrinkToFit="1"/>
    </xf>
    <xf numFmtId="38" fontId="14" fillId="0" borderId="48" xfId="2" applyFont="1" applyFill="1" applyBorder="1" applyAlignment="1">
      <alignment vertical="center"/>
    </xf>
    <xf numFmtId="38" fontId="14" fillId="0" borderId="49" xfId="2" applyFont="1" applyBorder="1" applyAlignment="1">
      <alignment vertical="center" shrinkToFit="1"/>
    </xf>
    <xf numFmtId="38" fontId="14" fillId="0" borderId="13" xfId="2" applyFont="1" applyBorder="1" applyAlignment="1">
      <alignment vertical="center" shrinkToFit="1"/>
    </xf>
    <xf numFmtId="38" fontId="14" fillId="0" borderId="0" xfId="2" applyFont="1" applyBorder="1" applyAlignment="1">
      <alignment vertical="center" shrinkToFit="1"/>
    </xf>
    <xf numFmtId="40" fontId="26" fillId="0" borderId="82" xfId="2" applyNumberFormat="1" applyFont="1" applyFill="1" applyBorder="1" applyAlignment="1">
      <alignment vertical="center"/>
    </xf>
    <xf numFmtId="40" fontId="26" fillId="0" borderId="80" xfId="2" applyNumberFormat="1" applyFont="1" applyFill="1" applyBorder="1" applyAlignment="1">
      <alignment vertical="center"/>
    </xf>
    <xf numFmtId="40" fontId="26" fillId="0" borderId="81" xfId="2" applyNumberFormat="1" applyFont="1" applyFill="1" applyBorder="1" applyAlignment="1">
      <alignment vertical="center"/>
    </xf>
    <xf numFmtId="40" fontId="26" fillId="0" borderId="83" xfId="2" applyNumberFormat="1" applyFont="1" applyFill="1" applyBorder="1" applyAlignment="1">
      <alignment vertical="center"/>
    </xf>
    <xf numFmtId="40" fontId="26" fillId="0" borderId="79" xfId="2" applyNumberFormat="1" applyFont="1" applyFill="1" applyBorder="1" applyAlignment="1">
      <alignment vertical="center"/>
    </xf>
    <xf numFmtId="180" fontId="26" fillId="3" borderId="3" xfId="0" applyFont="1" applyFill="1" applyBorder="1" applyAlignment="1" applyProtection="1">
      <alignment horizontal="center" vertical="center" shrinkToFit="1"/>
    </xf>
    <xf numFmtId="180" fontId="26" fillId="3" borderId="5" xfId="0" applyFont="1" applyFill="1" applyBorder="1" applyAlignment="1" applyProtection="1">
      <alignment horizontal="center" vertical="center" shrinkToFit="1"/>
    </xf>
    <xf numFmtId="38" fontId="26" fillId="0" borderId="26" xfId="2" applyFont="1" applyFill="1" applyBorder="1" applyAlignment="1" applyProtection="1">
      <alignment vertical="center"/>
    </xf>
    <xf numFmtId="38" fontId="26" fillId="0" borderId="40" xfId="2" applyFont="1" applyFill="1" applyBorder="1" applyAlignment="1" applyProtection="1">
      <alignment vertical="center"/>
    </xf>
    <xf numFmtId="38" fontId="26" fillId="0" borderId="39" xfId="2" applyFont="1" applyFill="1" applyBorder="1" applyAlignment="1" applyProtection="1">
      <alignment vertical="center"/>
    </xf>
    <xf numFmtId="180" fontId="26" fillId="3" borderId="20" xfId="0" applyFont="1" applyFill="1" applyBorder="1" applyAlignment="1">
      <alignment horizontal="center" vertical="center" shrinkToFit="1"/>
    </xf>
    <xf numFmtId="180" fontId="9" fillId="3" borderId="1" xfId="0" applyFont="1" applyFill="1" applyBorder="1" applyAlignment="1">
      <alignment horizontal="center" vertical="center" wrapText="1"/>
    </xf>
    <xf numFmtId="180" fontId="9" fillId="3" borderId="19" xfId="0" applyFont="1" applyFill="1" applyBorder="1" applyAlignment="1">
      <alignment horizontal="center" vertical="center" wrapText="1"/>
    </xf>
    <xf numFmtId="180" fontId="14" fillId="0" borderId="29" xfId="0" applyFont="1" applyBorder="1">
      <alignment vertical="center"/>
    </xf>
    <xf numFmtId="180" fontId="14" fillId="0" borderId="19" xfId="0" applyFont="1" applyBorder="1">
      <alignment vertical="center"/>
    </xf>
    <xf numFmtId="180" fontId="0" fillId="3" borderId="20" xfId="0" applyFill="1" applyBorder="1" applyAlignment="1">
      <alignment horizontal="center" vertical="center"/>
    </xf>
    <xf numFmtId="0" fontId="45" fillId="0" borderId="0" xfId="8">
      <alignment vertical="center"/>
    </xf>
    <xf numFmtId="195" fontId="26" fillId="0" borderId="17" xfId="2" applyNumberFormat="1" applyFont="1" applyFill="1" applyBorder="1" applyAlignment="1">
      <alignment vertical="center"/>
    </xf>
    <xf numFmtId="0" fontId="0" fillId="0" borderId="0" xfId="4" applyNumberFormat="1" applyFont="1" applyFill="1" applyAlignment="1">
      <alignment vertical="center"/>
    </xf>
    <xf numFmtId="180" fontId="44" fillId="3" borderId="20" xfId="0" applyFont="1" applyFill="1" applyBorder="1" applyAlignment="1" applyProtection="1">
      <alignment horizontal="center" vertical="center" shrinkToFit="1"/>
    </xf>
    <xf numFmtId="180" fontId="44" fillId="3" borderId="20" xfId="0" applyFont="1" applyFill="1" applyBorder="1" applyAlignment="1">
      <alignment horizontal="center" vertical="center" shrinkToFit="1"/>
    </xf>
    <xf numFmtId="180" fontId="0" fillId="11" borderId="4" xfId="0" applyFill="1" applyBorder="1" applyAlignment="1">
      <alignment horizontal="centerContinuous" vertical="center"/>
    </xf>
    <xf numFmtId="40" fontId="26" fillId="0" borderId="0" xfId="4" applyNumberFormat="1" applyFont="1" applyAlignment="1">
      <alignment vertical="center"/>
    </xf>
    <xf numFmtId="180" fontId="26" fillId="0" borderId="13" xfId="0" applyFont="1" applyFill="1" applyBorder="1" applyAlignment="1">
      <alignment vertical="center" shrinkToFit="1"/>
    </xf>
    <xf numFmtId="180" fontId="26" fillId="0" borderId="15" xfId="0" applyFont="1" applyFill="1" applyBorder="1" applyAlignment="1">
      <alignment vertical="center" shrinkToFit="1"/>
    </xf>
    <xf numFmtId="180" fontId="26" fillId="0" borderId="27" xfId="0" applyFont="1" applyFill="1" applyBorder="1" applyAlignment="1">
      <alignment vertical="center" shrinkToFit="1"/>
    </xf>
    <xf numFmtId="180" fontId="26" fillId="0" borderId="28" xfId="0" applyFont="1" applyFill="1" applyBorder="1" applyAlignment="1">
      <alignment vertical="center" shrinkToFit="1"/>
    </xf>
    <xf numFmtId="180" fontId="26" fillId="0" borderId="17" xfId="0" applyFont="1" applyFill="1" applyBorder="1" applyAlignment="1">
      <alignment vertical="center" shrinkToFit="1"/>
    </xf>
    <xf numFmtId="180" fontId="26" fillId="0" borderId="16" xfId="0" applyFont="1" applyFill="1" applyBorder="1" applyAlignment="1">
      <alignment vertical="center" shrinkToFit="1"/>
    </xf>
    <xf numFmtId="180" fontId="26" fillId="0" borderId="23" xfId="0" applyFont="1" applyFill="1" applyBorder="1" applyAlignment="1">
      <alignment vertical="center" shrinkToFit="1"/>
    </xf>
    <xf numFmtId="180" fontId="13" fillId="0" borderId="14" xfId="0" applyFont="1" applyBorder="1" applyAlignment="1">
      <alignment vertical="center" shrinkToFit="1"/>
    </xf>
    <xf numFmtId="180" fontId="46" fillId="5" borderId="20" xfId="1" applyNumberFormat="1" applyFont="1" applyFill="1" applyBorder="1" applyAlignment="1" applyProtection="1">
      <alignment horizontal="center" vertical="center"/>
    </xf>
    <xf numFmtId="38" fontId="5" fillId="0" borderId="20" xfId="9" applyFont="1" applyBorder="1">
      <alignment vertical="center"/>
    </xf>
    <xf numFmtId="180" fontId="5" fillId="0" borderId="3" xfId="0" applyFont="1" applyBorder="1">
      <alignment vertical="center"/>
    </xf>
    <xf numFmtId="180" fontId="5" fillId="0" borderId="5" xfId="0" applyFont="1" applyBorder="1">
      <alignment vertical="center"/>
    </xf>
    <xf numFmtId="0" fontId="45" fillId="0" borderId="20" xfId="8" applyBorder="1">
      <alignment vertical="center"/>
    </xf>
    <xf numFmtId="180" fontId="14" fillId="0" borderId="0" xfId="0" applyFont="1" applyBorder="1">
      <alignment vertical="center"/>
    </xf>
    <xf numFmtId="180" fontId="14" fillId="0" borderId="29" xfId="0" applyFont="1" applyBorder="1">
      <alignment vertical="center"/>
    </xf>
    <xf numFmtId="0" fontId="45" fillId="0" borderId="82" xfId="8" applyBorder="1">
      <alignment vertical="center"/>
    </xf>
    <xf numFmtId="0" fontId="45" fillId="0" borderId="80" xfId="8" applyBorder="1">
      <alignment vertical="center"/>
    </xf>
    <xf numFmtId="3" fontId="45" fillId="0" borderId="80" xfId="8" applyNumberFormat="1" applyBorder="1">
      <alignment vertical="center"/>
    </xf>
    <xf numFmtId="0" fontId="45" fillId="0" borderId="83" xfId="8" applyBorder="1">
      <alignment vertical="center"/>
    </xf>
    <xf numFmtId="3" fontId="45" fillId="0" borderId="83" xfId="8" applyNumberFormat="1" applyBorder="1">
      <alignment vertical="center"/>
    </xf>
    <xf numFmtId="3" fontId="45" fillId="0" borderId="82" xfId="8" applyNumberFormat="1" applyBorder="1">
      <alignment vertical="center"/>
    </xf>
    <xf numFmtId="178" fontId="0" fillId="3" borderId="69" xfId="3" applyNumberFormat="1" applyFont="1" applyFill="1" applyBorder="1" applyAlignment="1">
      <alignment horizontal="centerContinuous" vertical="center"/>
    </xf>
    <xf numFmtId="0" fontId="3" fillId="0" borderId="1" xfId="3" applyFont="1" applyFill="1" applyBorder="1" applyAlignment="1">
      <alignment vertical="center"/>
    </xf>
    <xf numFmtId="0" fontId="3" fillId="0" borderId="2" xfId="3" applyFont="1" applyFill="1" applyBorder="1" applyAlignment="1">
      <alignment vertical="center"/>
    </xf>
    <xf numFmtId="0" fontId="3" fillId="0" borderId="2" xfId="3" applyFont="1" applyFill="1" applyBorder="1" applyAlignment="1">
      <alignment horizontal="centerContinuous" vertical="center"/>
    </xf>
    <xf numFmtId="178" fontId="3" fillId="0" borderId="2" xfId="3" applyNumberFormat="1" applyFont="1" applyFill="1" applyBorder="1" applyAlignment="1">
      <alignment vertical="center"/>
    </xf>
    <xf numFmtId="178" fontId="3" fillId="0" borderId="22" xfId="3" applyNumberFormat="1" applyFont="1" applyFill="1" applyBorder="1" applyAlignment="1">
      <alignment vertical="center"/>
    </xf>
    <xf numFmtId="178" fontId="3" fillId="0" borderId="0" xfId="3" applyNumberFormat="1" applyFont="1" applyFill="1" applyBorder="1" applyAlignment="1">
      <alignment vertical="center"/>
    </xf>
    <xf numFmtId="180" fontId="3" fillId="0" borderId="0" xfId="3" applyNumberFormat="1" applyFont="1" applyFill="1" applyBorder="1" applyAlignment="1">
      <alignment vertical="center" shrinkToFit="1"/>
    </xf>
    <xf numFmtId="178" fontId="3" fillId="0" borderId="0" xfId="3" applyNumberFormat="1" applyFont="1" applyFill="1" applyBorder="1" applyAlignment="1">
      <alignment vertical="center" shrinkToFit="1"/>
    </xf>
    <xf numFmtId="178" fontId="3" fillId="0" borderId="7" xfId="3" applyNumberFormat="1" applyFont="1" applyFill="1" applyBorder="1" applyAlignment="1">
      <alignment horizontal="center" vertical="center" shrinkToFit="1"/>
    </xf>
    <xf numFmtId="180" fontId="3" fillId="0" borderId="8" xfId="3" applyNumberFormat="1" applyFont="1" applyFill="1" applyBorder="1" applyAlignment="1">
      <alignment vertical="center" shrinkToFit="1"/>
    </xf>
    <xf numFmtId="178" fontId="3" fillId="0" borderId="8" xfId="3" applyNumberFormat="1" applyFont="1" applyFill="1" applyBorder="1" applyAlignment="1">
      <alignment vertical="center" shrinkToFit="1"/>
    </xf>
    <xf numFmtId="178" fontId="3" fillId="0" borderId="1" xfId="3" applyNumberFormat="1" applyFont="1" applyFill="1" applyBorder="1" applyAlignment="1">
      <alignment vertical="center"/>
    </xf>
    <xf numFmtId="178" fontId="3" fillId="0" borderId="22" xfId="3" applyNumberFormat="1" applyFont="1" applyFill="1" applyBorder="1" applyAlignment="1">
      <alignment vertical="center" shrinkToFit="1"/>
    </xf>
    <xf numFmtId="178" fontId="3" fillId="0" borderId="7" xfId="3" applyNumberFormat="1" applyFont="1" applyFill="1" applyBorder="1" applyAlignment="1">
      <alignment vertical="center" shrinkToFit="1"/>
    </xf>
    <xf numFmtId="180" fontId="0" fillId="0" borderId="1" xfId="3" applyNumberFormat="1" applyFont="1" applyFill="1" applyBorder="1" applyAlignment="1">
      <alignment vertical="center"/>
    </xf>
    <xf numFmtId="180" fontId="0" fillId="0" borderId="22" xfId="3" applyNumberFormat="1" applyFont="1" applyFill="1" applyBorder="1" applyAlignment="1">
      <alignment vertical="center"/>
    </xf>
    <xf numFmtId="188" fontId="14" fillId="0" borderId="51" xfId="0" applyNumberFormat="1" applyFont="1" applyFill="1" applyBorder="1" applyAlignment="1">
      <alignment horizontal="center" vertical="center" shrinkToFit="1"/>
    </xf>
    <xf numFmtId="180" fontId="0" fillId="11" borderId="82" xfId="5" applyNumberFormat="1" applyFont="1" applyFill="1" applyBorder="1" applyAlignment="1" applyProtection="1">
      <alignment horizontal="center" vertical="center"/>
      <protection locked="0"/>
    </xf>
    <xf numFmtId="178" fontId="0" fillId="3" borderId="65" xfId="3" applyNumberFormat="1" applyFont="1" applyFill="1" applyBorder="1" applyAlignment="1">
      <alignment horizontal="centerContinuous" vertical="center"/>
    </xf>
    <xf numFmtId="188" fontId="14" fillId="0" borderId="2" xfId="0" applyNumberFormat="1" applyFont="1" applyFill="1" applyBorder="1" applyAlignment="1">
      <alignment horizontal="center" vertical="center" shrinkToFit="1"/>
    </xf>
    <xf numFmtId="180" fontId="14" fillId="0" borderId="19" xfId="0" applyFont="1" applyFill="1" applyBorder="1">
      <alignment vertical="center"/>
    </xf>
    <xf numFmtId="40" fontId="14" fillId="0" borderId="8" xfId="0" applyNumberFormat="1" applyFont="1" applyFill="1" applyBorder="1" applyAlignment="1">
      <alignment horizontal="center" vertical="center" shrinkToFit="1"/>
    </xf>
    <xf numFmtId="178" fontId="0" fillId="0" borderId="67" xfId="3" applyNumberFormat="1" applyFont="1" applyFill="1" applyBorder="1" applyAlignment="1">
      <alignment horizontal="center" vertical="center" shrinkToFit="1"/>
    </xf>
    <xf numFmtId="178" fontId="0" fillId="3" borderId="13" xfId="3" applyNumberFormat="1" applyFont="1" applyFill="1" applyBorder="1" applyAlignment="1">
      <alignment horizontal="centerContinuous" vertical="center"/>
    </xf>
    <xf numFmtId="38" fontId="3" fillId="0" borderId="114" xfId="2" applyFont="1" applyFill="1" applyBorder="1" applyAlignment="1">
      <alignment horizontal="center" vertical="center" shrinkToFit="1"/>
    </xf>
    <xf numFmtId="178" fontId="0" fillId="0" borderId="114" xfId="3" applyNumberFormat="1" applyFont="1" applyFill="1" applyBorder="1" applyAlignment="1">
      <alignment horizontal="center" vertical="center" shrinkToFit="1"/>
    </xf>
    <xf numFmtId="178" fontId="0" fillId="0" borderId="65" xfId="3" applyNumberFormat="1" applyFont="1" applyFill="1" applyBorder="1" applyAlignment="1">
      <alignment horizontal="center" vertical="center" shrinkToFit="1"/>
    </xf>
    <xf numFmtId="178" fontId="0" fillId="0" borderId="128" xfId="3" applyNumberFormat="1" applyFont="1" applyFill="1" applyBorder="1" applyAlignment="1">
      <alignment horizontal="center" vertical="center" shrinkToFit="1"/>
    </xf>
    <xf numFmtId="181" fontId="0" fillId="0" borderId="32" xfId="3" applyNumberFormat="1" applyFont="1" applyFill="1" applyBorder="1" applyAlignment="1">
      <alignment horizontal="center" vertical="center" shrinkToFit="1"/>
    </xf>
    <xf numFmtId="210" fontId="14" fillId="0" borderId="65" xfId="0" applyNumberFormat="1" applyFont="1" applyBorder="1" applyAlignment="1">
      <alignment horizontal="center" vertical="center" shrinkToFit="1"/>
    </xf>
    <xf numFmtId="210" fontId="14" fillId="0" borderId="64" xfId="0" applyNumberFormat="1" applyFont="1" applyBorder="1" applyAlignment="1">
      <alignment horizontal="center" vertical="center" shrinkToFit="1"/>
    </xf>
    <xf numFmtId="210" fontId="14" fillId="0" borderId="51" xfId="0" applyNumberFormat="1" applyFont="1" applyFill="1" applyBorder="1" applyAlignment="1">
      <alignment horizontal="center" vertical="center" shrinkToFit="1"/>
    </xf>
    <xf numFmtId="210" fontId="14" fillId="6" borderId="82" xfId="0" applyNumberFormat="1" applyFont="1" applyFill="1" applyBorder="1" applyAlignment="1">
      <alignment horizontal="center" vertical="center" shrinkToFit="1"/>
    </xf>
    <xf numFmtId="178" fontId="0" fillId="0" borderId="22" xfId="3" applyNumberFormat="1" applyFont="1" applyFill="1" applyBorder="1" applyAlignment="1">
      <alignment vertical="center"/>
    </xf>
    <xf numFmtId="0" fontId="0" fillId="0" borderId="22" xfId="3" applyFont="1" applyBorder="1" applyAlignment="1">
      <alignment vertical="center"/>
    </xf>
    <xf numFmtId="0" fontId="0" fillId="3" borderId="36" xfId="5" applyFont="1" applyFill="1" applyBorder="1" applyAlignment="1" applyProtection="1">
      <alignment horizontal="center" vertical="center" shrinkToFit="1"/>
      <protection locked="0"/>
    </xf>
    <xf numFmtId="178" fontId="0" fillId="3" borderId="30" xfId="3" applyNumberFormat="1" applyFont="1" applyFill="1" applyBorder="1" applyAlignment="1">
      <alignment horizontal="centerContinuous" vertical="center"/>
    </xf>
    <xf numFmtId="178" fontId="0" fillId="0" borderId="32" xfId="3" applyNumberFormat="1" applyFont="1" applyFill="1" applyBorder="1" applyAlignment="1">
      <alignment horizontal="center" vertical="center" shrinkToFit="1"/>
    </xf>
    <xf numFmtId="0" fontId="3" fillId="0" borderId="0" xfId="3" applyFont="1" applyFill="1" applyBorder="1" applyAlignment="1">
      <alignment vertical="center"/>
    </xf>
    <xf numFmtId="178" fontId="0" fillId="0" borderId="0" xfId="3" applyNumberFormat="1" applyFont="1" applyFill="1" applyBorder="1" applyAlignment="1">
      <alignment vertical="center" shrinkToFit="1"/>
    </xf>
    <xf numFmtId="178" fontId="0" fillId="0" borderId="8" xfId="3" applyNumberFormat="1" applyFont="1" applyFill="1" applyBorder="1" applyAlignment="1">
      <alignment vertical="center" shrinkToFit="1"/>
    </xf>
    <xf numFmtId="0" fontId="3" fillId="0" borderId="8" xfId="3" applyFont="1" applyFill="1" applyBorder="1" applyAlignment="1">
      <alignment vertical="center"/>
    </xf>
    <xf numFmtId="181" fontId="3" fillId="0" borderId="2" xfId="3" applyNumberFormat="1" applyFont="1" applyFill="1" applyBorder="1" applyAlignment="1">
      <alignment vertical="center" shrinkToFit="1"/>
    </xf>
    <xf numFmtId="181" fontId="3" fillId="0" borderId="0" xfId="3" applyNumberFormat="1" applyFont="1" applyFill="1" applyBorder="1" applyAlignment="1">
      <alignment vertical="center" shrinkToFit="1"/>
    </xf>
    <xf numFmtId="181" fontId="3" fillId="0" borderId="8" xfId="3" applyNumberFormat="1" applyFont="1" applyFill="1" applyBorder="1" applyAlignment="1">
      <alignment vertical="center" shrinkToFit="1"/>
    </xf>
    <xf numFmtId="180" fontId="14" fillId="0" borderId="0" xfId="0" applyFont="1" applyBorder="1">
      <alignment vertical="center"/>
    </xf>
    <xf numFmtId="0" fontId="3" fillId="0" borderId="19" xfId="3" applyFont="1" applyFill="1" applyBorder="1" applyAlignment="1">
      <alignment vertical="center"/>
    </xf>
    <xf numFmtId="0" fontId="3" fillId="0" borderId="29" xfId="3" applyFont="1" applyFill="1" applyBorder="1" applyAlignment="1">
      <alignment vertical="center"/>
    </xf>
    <xf numFmtId="180" fontId="3" fillId="0" borderId="22" xfId="3" applyNumberFormat="1" applyFont="1" applyFill="1" applyBorder="1" applyAlignment="1">
      <alignment vertical="center"/>
    </xf>
    <xf numFmtId="180" fontId="3" fillId="0" borderId="0" xfId="3" applyNumberFormat="1" applyFont="1" applyFill="1" applyBorder="1" applyAlignment="1">
      <alignment vertical="center"/>
    </xf>
    <xf numFmtId="180" fontId="3" fillId="0" borderId="7" xfId="3" applyNumberFormat="1" applyFont="1" applyFill="1" applyBorder="1" applyAlignment="1">
      <alignment vertical="center"/>
    </xf>
    <xf numFmtId="178" fontId="3" fillId="0" borderId="8" xfId="3" applyNumberFormat="1" applyFont="1" applyFill="1" applyBorder="1" applyAlignment="1">
      <alignment vertical="center"/>
    </xf>
    <xf numFmtId="180" fontId="3" fillId="0" borderId="8" xfId="3" applyNumberFormat="1" applyFont="1" applyFill="1" applyBorder="1" applyAlignment="1">
      <alignment vertical="center"/>
    </xf>
    <xf numFmtId="0" fontId="3" fillId="0" borderId="25" xfId="3" applyFont="1" applyFill="1" applyBorder="1" applyAlignment="1">
      <alignment vertical="center"/>
    </xf>
    <xf numFmtId="179" fontId="3" fillId="0" borderId="0" xfId="3" applyNumberFormat="1" applyFont="1" applyFill="1" applyBorder="1" applyAlignment="1">
      <alignment vertical="center" shrinkToFit="1"/>
    </xf>
    <xf numFmtId="180" fontId="0" fillId="0" borderId="0" xfId="3" applyNumberFormat="1" applyFont="1" applyFill="1" applyBorder="1" applyAlignment="1">
      <alignment vertical="center"/>
    </xf>
    <xf numFmtId="0" fontId="0" fillId="0" borderId="0" xfId="3" applyFont="1" applyFill="1" applyBorder="1" applyAlignment="1">
      <alignment vertical="center"/>
    </xf>
    <xf numFmtId="180" fontId="0" fillId="3" borderId="3" xfId="0" applyFont="1" applyFill="1" applyBorder="1" applyAlignment="1">
      <alignment horizontal="centerContinuous" vertical="center"/>
    </xf>
    <xf numFmtId="180" fontId="0" fillId="3" borderId="36" xfId="5" applyNumberFormat="1" applyFont="1" applyFill="1" applyBorder="1" applyAlignment="1" applyProtection="1">
      <alignment horizontal="center" vertical="center" shrinkToFit="1"/>
      <protection locked="0"/>
    </xf>
    <xf numFmtId="0" fontId="0" fillId="0" borderId="67" xfId="3" applyFont="1" applyFill="1" applyBorder="1" applyAlignment="1">
      <alignment horizontal="center" vertical="center"/>
    </xf>
    <xf numFmtId="40" fontId="14" fillId="0" borderId="65" xfId="0" applyNumberFormat="1" applyFont="1" applyBorder="1" applyAlignment="1">
      <alignment horizontal="center" vertical="center" shrinkToFit="1"/>
    </xf>
    <xf numFmtId="40" fontId="14" fillId="0" borderId="51" xfId="0" applyNumberFormat="1" applyFont="1" applyBorder="1" applyAlignment="1">
      <alignment horizontal="center" vertical="center" shrinkToFit="1"/>
    </xf>
    <xf numFmtId="40" fontId="14" fillId="0" borderId="1" xfId="0" applyNumberFormat="1" applyFont="1" applyBorder="1" applyAlignment="1">
      <alignment horizontal="center" vertical="center" shrinkToFit="1"/>
    </xf>
    <xf numFmtId="40" fontId="14" fillId="12" borderId="82" xfId="0" applyNumberFormat="1" applyFont="1" applyFill="1" applyBorder="1" applyAlignment="1">
      <alignment horizontal="center" vertical="center" shrinkToFit="1"/>
    </xf>
    <xf numFmtId="178" fontId="3" fillId="11" borderId="65" xfId="3" applyNumberFormat="1" applyFont="1" applyFill="1" applyBorder="1" applyAlignment="1">
      <alignment horizontal="centerContinuous" vertical="center"/>
    </xf>
    <xf numFmtId="178" fontId="3" fillId="11" borderId="64" xfId="3" applyNumberFormat="1" applyFont="1" applyFill="1" applyBorder="1" applyAlignment="1">
      <alignment horizontal="centerContinuous" vertical="center"/>
    </xf>
    <xf numFmtId="180" fontId="0" fillId="0" borderId="64" xfId="0" applyFill="1" applyBorder="1" applyAlignment="1">
      <alignment horizontal="center" vertical="center"/>
    </xf>
    <xf numFmtId="180" fontId="0" fillId="0" borderId="67" xfId="0" applyFill="1" applyBorder="1" applyAlignment="1">
      <alignment horizontal="center" vertical="center"/>
    </xf>
    <xf numFmtId="207" fontId="14" fillId="6" borderId="82" xfId="0" applyNumberFormat="1" applyFont="1" applyFill="1" applyBorder="1" applyAlignment="1">
      <alignment horizontal="center" vertical="center" shrinkToFit="1"/>
    </xf>
    <xf numFmtId="180" fontId="0" fillId="3" borderId="20" xfId="0" applyFont="1" applyFill="1" applyBorder="1" applyAlignment="1">
      <alignment horizontal="centerContinuous" vertical="center"/>
    </xf>
    <xf numFmtId="179" fontId="3" fillId="0" borderId="0" xfId="3" applyNumberFormat="1" applyFont="1" applyFill="1" applyBorder="1" applyAlignment="1">
      <alignment vertical="center"/>
    </xf>
    <xf numFmtId="178" fontId="0" fillId="0" borderId="68" xfId="3" applyNumberFormat="1" applyFont="1" applyFill="1" applyBorder="1" applyAlignment="1">
      <alignment horizontal="center" vertical="center" shrinkToFit="1"/>
    </xf>
    <xf numFmtId="178" fontId="0" fillId="0" borderId="70" xfId="3" applyNumberFormat="1" applyFont="1" applyFill="1" applyBorder="1" applyAlignment="1">
      <alignment horizontal="center" vertical="center" shrinkToFit="1"/>
    </xf>
    <xf numFmtId="178" fontId="0" fillId="3" borderId="71" xfId="3" applyNumberFormat="1" applyFont="1" applyFill="1" applyBorder="1" applyAlignment="1">
      <alignment horizontal="centerContinuous" vertical="center"/>
    </xf>
    <xf numFmtId="180" fontId="3" fillId="0" borderId="64" xfId="3" applyNumberFormat="1" applyFont="1" applyFill="1" applyBorder="1" applyAlignment="1">
      <alignment horizontal="center" vertical="center" shrinkToFit="1"/>
    </xf>
    <xf numFmtId="180" fontId="3" fillId="0" borderId="112" xfId="3" applyNumberFormat="1" applyFont="1" applyFill="1" applyBorder="1" applyAlignment="1">
      <alignment horizontal="center" vertical="center" shrinkToFit="1"/>
    </xf>
    <xf numFmtId="180" fontId="0" fillId="0" borderId="82" xfId="5" applyNumberFormat="1" applyFont="1" applyFill="1" applyBorder="1" applyAlignment="1" applyProtection="1">
      <alignment horizontal="center" vertical="center"/>
      <protection locked="0"/>
    </xf>
    <xf numFmtId="181" fontId="3" fillId="0" borderId="0" xfId="3" applyNumberFormat="1" applyFont="1" applyFill="1" applyBorder="1" applyAlignment="1">
      <alignment vertical="center"/>
    </xf>
    <xf numFmtId="181" fontId="3" fillId="0" borderId="8" xfId="3" applyNumberFormat="1" applyFont="1" applyFill="1" applyBorder="1" applyAlignment="1">
      <alignment vertical="center"/>
    </xf>
    <xf numFmtId="40" fontId="14" fillId="0" borderId="25" xfId="0" applyNumberFormat="1" applyFont="1" applyFill="1" applyBorder="1" applyAlignment="1">
      <alignment horizontal="center" vertical="center" shrinkToFit="1"/>
    </xf>
    <xf numFmtId="191" fontId="14" fillId="0" borderId="2" xfId="0" applyNumberFormat="1" applyFont="1" applyFill="1" applyBorder="1" applyAlignment="1">
      <alignment horizontal="center" vertical="center" shrinkToFit="1"/>
    </xf>
    <xf numFmtId="40" fontId="14" fillId="0" borderId="7" xfId="0" applyNumberFormat="1" applyFont="1" applyFill="1" applyBorder="1" applyAlignment="1">
      <alignment horizontal="center" vertical="center" shrinkToFit="1"/>
    </xf>
    <xf numFmtId="191" fontId="14" fillId="0" borderId="1" xfId="0" applyNumberFormat="1" applyFont="1" applyFill="1" applyBorder="1" applyAlignment="1">
      <alignment horizontal="center" vertical="center" shrinkToFit="1"/>
    </xf>
    <xf numFmtId="0" fontId="0" fillId="0" borderId="0" xfId="3" applyFont="1" applyBorder="1" applyAlignment="1">
      <alignment vertical="center"/>
    </xf>
    <xf numFmtId="180" fontId="14" fillId="0" borderId="29" xfId="0" applyFont="1" applyFill="1" applyBorder="1">
      <alignment vertical="center"/>
    </xf>
    <xf numFmtId="180" fontId="14" fillId="0" borderId="0" xfId="0" applyFont="1" applyFill="1" applyBorder="1">
      <alignment vertical="center"/>
    </xf>
    <xf numFmtId="178" fontId="0" fillId="3" borderId="17" xfId="3" applyNumberFormat="1" applyFont="1" applyFill="1" applyBorder="1" applyAlignment="1">
      <alignment horizontal="centerContinuous" vertical="center"/>
    </xf>
    <xf numFmtId="178" fontId="0" fillId="3" borderId="35" xfId="3" applyNumberFormat="1" applyFont="1" applyFill="1" applyBorder="1" applyAlignment="1">
      <alignment horizontal="centerContinuous" vertical="center"/>
    </xf>
    <xf numFmtId="189" fontId="14" fillId="0" borderId="31" xfId="0" applyNumberFormat="1" applyFont="1" applyBorder="1" applyAlignment="1">
      <alignment horizontal="center" vertical="center" shrinkToFit="1"/>
    </xf>
    <xf numFmtId="189" fontId="14" fillId="0" borderId="22" xfId="0" applyNumberFormat="1" applyFont="1" applyFill="1" applyBorder="1" applyAlignment="1">
      <alignment horizontal="center" vertical="center" shrinkToFit="1"/>
    </xf>
    <xf numFmtId="0" fontId="3" fillId="3" borderId="1" xfId="7" applyFont="1" applyFill="1" applyBorder="1" applyAlignment="1">
      <alignment horizontal="center" vertical="center" shrinkToFit="1"/>
    </xf>
    <xf numFmtId="0" fontId="3" fillId="3" borderId="173" xfId="7" applyFont="1" applyFill="1" applyBorder="1" applyAlignment="1">
      <alignment horizontal="center" vertical="center" shrinkToFit="1"/>
    </xf>
    <xf numFmtId="180" fontId="14" fillId="0" borderId="7" xfId="0" applyFont="1" applyFill="1" applyBorder="1" applyAlignment="1">
      <alignment horizontal="center" vertical="center"/>
    </xf>
    <xf numFmtId="180" fontId="9" fillId="3" borderId="1" xfId="0" applyFont="1" applyFill="1" applyBorder="1" applyAlignment="1">
      <alignment horizontal="center" vertical="center" wrapText="1"/>
    </xf>
    <xf numFmtId="180" fontId="9" fillId="3" borderId="19" xfId="0" applyFont="1" applyFill="1" applyBorder="1" applyAlignment="1">
      <alignment horizontal="center" vertical="center" wrapText="1"/>
    </xf>
    <xf numFmtId="180" fontId="0" fillId="3" borderId="20" xfId="0" applyFill="1" applyBorder="1" applyAlignment="1">
      <alignment horizontal="center" vertical="center"/>
    </xf>
    <xf numFmtId="0" fontId="26" fillId="0" borderId="81" xfId="4" applyFont="1" applyFill="1" applyBorder="1" applyAlignment="1">
      <alignment vertical="center"/>
    </xf>
    <xf numFmtId="0" fontId="26" fillId="11" borderId="80" xfId="4" applyFont="1" applyFill="1" applyBorder="1" applyAlignment="1">
      <alignment vertical="center"/>
    </xf>
    <xf numFmtId="0" fontId="26" fillId="11" borderId="80" xfId="4" applyFont="1" applyFill="1" applyBorder="1" applyAlignment="1">
      <alignment horizontal="center" vertical="center"/>
    </xf>
    <xf numFmtId="180" fontId="26" fillId="11" borderId="80" xfId="0" applyFont="1" applyFill="1" applyBorder="1" applyAlignment="1">
      <alignment vertical="center"/>
    </xf>
    <xf numFmtId="40" fontId="26" fillId="11" borderId="80" xfId="2" applyNumberFormat="1" applyFont="1" applyFill="1" applyBorder="1" applyAlignment="1">
      <alignment vertical="center"/>
    </xf>
    <xf numFmtId="40" fontId="26" fillId="11" borderId="80" xfId="0" applyNumberFormat="1" applyFont="1" applyFill="1" applyBorder="1" applyAlignment="1">
      <alignment vertical="center"/>
    </xf>
    <xf numFmtId="40" fontId="26" fillId="11" borderId="26" xfId="0" applyNumberFormat="1" applyFont="1" applyFill="1" applyBorder="1" applyAlignment="1">
      <alignment vertical="center"/>
    </xf>
    <xf numFmtId="180" fontId="26" fillId="11" borderId="98" xfId="0" applyFont="1" applyFill="1" applyBorder="1" applyAlignment="1">
      <alignment vertical="center"/>
    </xf>
    <xf numFmtId="180" fontId="26" fillId="11" borderId="28" xfId="0" applyFont="1" applyFill="1" applyBorder="1" applyAlignment="1">
      <alignment vertical="center"/>
    </xf>
    <xf numFmtId="180" fontId="26" fillId="11" borderId="26" xfId="0" applyFont="1" applyFill="1" applyBorder="1" applyAlignment="1">
      <alignment vertical="center"/>
    </xf>
    <xf numFmtId="180" fontId="26" fillId="11" borderId="26" xfId="0" quotePrefix="1" applyFont="1" applyFill="1" applyBorder="1" applyAlignment="1">
      <alignment horizontal="left" vertical="center"/>
    </xf>
    <xf numFmtId="180" fontId="26" fillId="11" borderId="28" xfId="0" quotePrefix="1" applyFont="1" applyFill="1" applyBorder="1" applyAlignment="1">
      <alignment horizontal="left" vertical="center"/>
    </xf>
    <xf numFmtId="180" fontId="26" fillId="11" borderId="39" xfId="0" applyFont="1" applyFill="1" applyBorder="1" applyAlignment="1">
      <alignment vertical="center"/>
    </xf>
    <xf numFmtId="183" fontId="14" fillId="0" borderId="8" xfId="0" applyNumberFormat="1" applyFont="1" applyBorder="1" applyAlignment="1">
      <alignment vertical="center"/>
    </xf>
    <xf numFmtId="180" fontId="14" fillId="0" borderId="8" xfId="0" applyFont="1" applyBorder="1" applyAlignment="1">
      <alignment horizontal="center" vertical="center" shrinkToFit="1"/>
    </xf>
    <xf numFmtId="188" fontId="14" fillId="0" borderId="8" xfId="0" applyNumberFormat="1" applyFont="1" applyFill="1" applyBorder="1" applyAlignment="1">
      <alignment vertical="center"/>
    </xf>
    <xf numFmtId="40" fontId="14" fillId="4" borderId="70" xfId="0" applyNumberFormat="1" applyFont="1" applyFill="1" applyBorder="1">
      <alignment vertical="center"/>
    </xf>
    <xf numFmtId="178" fontId="0" fillId="0" borderId="108" xfId="3" applyNumberFormat="1" applyFont="1" applyFill="1" applyBorder="1" applyAlignment="1">
      <alignment horizontal="center" vertical="center" shrinkToFit="1"/>
    </xf>
    <xf numFmtId="211" fontId="14" fillId="0" borderId="51" xfId="0" applyNumberFormat="1" applyFont="1" applyBorder="1" applyAlignment="1">
      <alignment horizontal="center" vertical="center" shrinkToFit="1"/>
    </xf>
    <xf numFmtId="212" fontId="14" fillId="0" borderId="65" xfId="0" applyNumberFormat="1" applyFont="1" applyBorder="1" applyAlignment="1">
      <alignment horizontal="center" vertical="center" shrinkToFit="1"/>
    </xf>
    <xf numFmtId="213" fontId="14" fillId="9" borderId="82" xfId="0" applyNumberFormat="1" applyFont="1" applyFill="1" applyBorder="1" applyAlignment="1">
      <alignment horizontal="center" vertical="center"/>
    </xf>
    <xf numFmtId="213" fontId="14" fillId="0" borderId="1" xfId="0" applyNumberFormat="1" applyFont="1" applyFill="1" applyBorder="1" applyAlignment="1">
      <alignment horizontal="center" vertical="center"/>
    </xf>
    <xf numFmtId="180" fontId="14" fillId="0" borderId="2" xfId="0" applyFont="1" applyFill="1" applyBorder="1">
      <alignment vertical="center"/>
    </xf>
    <xf numFmtId="203" fontId="14" fillId="0" borderId="51" xfId="0" applyNumberFormat="1" applyFont="1" applyBorder="1" applyAlignment="1">
      <alignment horizontal="center" vertical="center" shrinkToFit="1"/>
    </xf>
    <xf numFmtId="199" fontId="14" fillId="0" borderId="51" xfId="0" applyNumberFormat="1" applyFont="1" applyFill="1" applyBorder="1" applyAlignment="1">
      <alignment horizontal="center" vertical="center" shrinkToFit="1"/>
    </xf>
    <xf numFmtId="188" fontId="14" fillId="0" borderId="119" xfId="0" applyNumberFormat="1" applyFont="1" applyFill="1" applyBorder="1" applyAlignment="1">
      <alignment horizontal="center" vertical="center" shrinkToFit="1"/>
    </xf>
    <xf numFmtId="40" fontId="14" fillId="0" borderId="62" xfId="0" applyNumberFormat="1" applyFont="1" applyFill="1" applyBorder="1" applyAlignment="1">
      <alignment horizontal="center" vertical="center" shrinkToFit="1"/>
    </xf>
    <xf numFmtId="178" fontId="0" fillId="0" borderId="107" xfId="3" applyNumberFormat="1" applyFont="1" applyFill="1" applyBorder="1" applyAlignment="1">
      <alignment horizontal="center" vertical="center" shrinkToFit="1"/>
    </xf>
    <xf numFmtId="180" fontId="0" fillId="0" borderId="128" xfId="3" applyNumberFormat="1" applyFont="1" applyFill="1" applyBorder="1" applyAlignment="1">
      <alignment horizontal="center" vertical="center" shrinkToFit="1"/>
    </xf>
    <xf numFmtId="180" fontId="3" fillId="0" borderId="0" xfId="0" applyFont="1" applyFill="1" applyBorder="1" applyAlignment="1">
      <alignment horizontal="center" vertical="center"/>
    </xf>
    <xf numFmtId="185" fontId="0" fillId="0" borderId="0" xfId="0" applyNumberFormat="1" applyFill="1" applyBorder="1" applyAlignment="1">
      <alignment horizontal="center" vertical="center"/>
    </xf>
    <xf numFmtId="188" fontId="0" fillId="0" borderId="0" xfId="0" applyNumberFormat="1" applyFill="1" applyBorder="1" applyAlignment="1">
      <alignment horizontal="center" vertical="center"/>
    </xf>
    <xf numFmtId="180" fontId="24" fillId="3" borderId="36" xfId="0" applyFont="1" applyFill="1" applyBorder="1" applyAlignment="1">
      <alignment horizontal="center" vertical="center"/>
    </xf>
    <xf numFmtId="180" fontId="0" fillId="11" borderId="20" xfId="0" applyFill="1" applyBorder="1">
      <alignment vertical="center"/>
    </xf>
    <xf numFmtId="180" fontId="0" fillId="11" borderId="36" xfId="0" applyFill="1" applyBorder="1">
      <alignment vertical="center"/>
    </xf>
    <xf numFmtId="180" fontId="0" fillId="11" borderId="87" xfId="0" applyFill="1" applyBorder="1">
      <alignment vertical="center"/>
    </xf>
    <xf numFmtId="180" fontId="0" fillId="11" borderId="53" xfId="0" applyFill="1" applyBorder="1">
      <alignment vertical="center"/>
    </xf>
    <xf numFmtId="180" fontId="0" fillId="11" borderId="3" xfId="0" applyFill="1" applyBorder="1">
      <alignment vertical="center"/>
    </xf>
    <xf numFmtId="180" fontId="14" fillId="0" borderId="0" xfId="0" applyFont="1" applyBorder="1">
      <alignment vertical="center"/>
    </xf>
    <xf numFmtId="180" fontId="14" fillId="0" borderId="29" xfId="0" applyFont="1" applyBorder="1">
      <alignment vertical="center"/>
    </xf>
    <xf numFmtId="180" fontId="14" fillId="0" borderId="25" xfId="0" applyFont="1" applyBorder="1">
      <alignment vertical="center"/>
    </xf>
    <xf numFmtId="180" fontId="14" fillId="0" borderId="0" xfId="0" applyFont="1" applyBorder="1">
      <alignment vertical="center"/>
    </xf>
    <xf numFmtId="180" fontId="14" fillId="0" borderId="22" xfId="0" applyFont="1" applyFill="1" applyBorder="1">
      <alignment vertical="center"/>
    </xf>
    <xf numFmtId="180" fontId="0" fillId="0" borderId="20" xfId="0" applyFont="1" applyBorder="1" applyAlignment="1">
      <alignment vertical="center" wrapText="1"/>
    </xf>
    <xf numFmtId="180" fontId="12" fillId="0" borderId="20" xfId="0" applyFont="1" applyBorder="1">
      <alignment vertical="center"/>
    </xf>
    <xf numFmtId="189" fontId="14" fillId="0" borderId="51" xfId="0" applyNumberFormat="1" applyFont="1" applyFill="1" applyBorder="1" applyAlignment="1">
      <alignment horizontal="center" vertical="center" shrinkToFit="1"/>
    </xf>
    <xf numFmtId="201" fontId="14" fillId="0" borderId="31" xfId="0" applyNumberFormat="1" applyFont="1" applyBorder="1" applyAlignment="1">
      <alignment horizontal="center" vertical="center" shrinkToFit="1"/>
    </xf>
    <xf numFmtId="201" fontId="14" fillId="0" borderId="22" xfId="0" applyNumberFormat="1" applyFont="1" applyFill="1" applyBorder="1" applyAlignment="1">
      <alignment horizontal="center" vertical="center" shrinkToFit="1"/>
    </xf>
    <xf numFmtId="0" fontId="0" fillId="0" borderId="22" xfId="3" applyFont="1" applyFill="1" applyBorder="1" applyAlignment="1">
      <alignment vertical="center"/>
    </xf>
    <xf numFmtId="180" fontId="0" fillId="0" borderId="114" xfId="3" applyNumberFormat="1" applyFont="1" applyFill="1" applyBorder="1" applyAlignment="1">
      <alignment horizontal="center" vertical="center" shrinkToFit="1"/>
    </xf>
    <xf numFmtId="0" fontId="14" fillId="0" borderId="31" xfId="0" applyNumberFormat="1" applyFont="1" applyBorder="1" applyAlignment="1">
      <alignment horizontal="center" vertical="center" shrinkToFit="1"/>
    </xf>
    <xf numFmtId="0" fontId="14" fillId="0" borderId="1" xfId="0" applyNumberFormat="1" applyFont="1" applyFill="1" applyBorder="1" applyAlignment="1">
      <alignment horizontal="center" vertical="center" shrinkToFit="1"/>
    </xf>
    <xf numFmtId="189" fontId="14" fillId="9" borderId="82" xfId="0" applyNumberFormat="1" applyFont="1" applyFill="1" applyBorder="1" applyAlignment="1">
      <alignment horizontal="center" vertical="center" shrinkToFit="1"/>
    </xf>
    <xf numFmtId="194" fontId="14" fillId="0" borderId="31" xfId="0" applyNumberFormat="1" applyFont="1" applyBorder="1" applyAlignment="1">
      <alignment horizontal="center" vertical="center" shrinkToFit="1"/>
    </xf>
    <xf numFmtId="195" fontId="14" fillId="0" borderId="31" xfId="0" applyNumberFormat="1" applyFont="1" applyBorder="1" applyAlignment="1">
      <alignment horizontal="center" vertical="center" shrinkToFit="1"/>
    </xf>
    <xf numFmtId="194" fontId="14" fillId="0" borderId="22" xfId="0" applyNumberFormat="1" applyFont="1" applyFill="1" applyBorder="1" applyAlignment="1">
      <alignment horizontal="center" vertical="center" shrinkToFit="1"/>
    </xf>
    <xf numFmtId="193" fontId="14" fillId="0" borderId="51" xfId="0" applyNumberFormat="1" applyFont="1" applyBorder="1" applyAlignment="1">
      <alignment horizontal="center" vertical="center" shrinkToFit="1"/>
    </xf>
    <xf numFmtId="195" fontId="14" fillId="0" borderId="51" xfId="0" applyNumberFormat="1" applyFont="1" applyBorder="1" applyAlignment="1">
      <alignment horizontal="center" vertical="center" shrinkToFit="1"/>
    </xf>
    <xf numFmtId="194" fontId="14" fillId="9" borderId="82" xfId="0" applyNumberFormat="1" applyFont="1" applyFill="1" applyBorder="1" applyAlignment="1">
      <alignment horizontal="center" vertical="center" shrinkToFit="1"/>
    </xf>
    <xf numFmtId="193" fontId="14" fillId="9" borderId="82" xfId="0" applyNumberFormat="1" applyFont="1" applyFill="1" applyBorder="1" applyAlignment="1">
      <alignment horizontal="center" vertical="center" shrinkToFit="1"/>
    </xf>
    <xf numFmtId="193" fontId="14" fillId="0" borderId="119" xfId="0" applyNumberFormat="1" applyFont="1" applyFill="1" applyBorder="1" applyAlignment="1">
      <alignment horizontal="center" vertical="center" shrinkToFit="1"/>
    </xf>
    <xf numFmtId="193" fontId="14" fillId="0" borderId="2" xfId="0" applyNumberFormat="1" applyFont="1" applyFill="1" applyBorder="1" applyAlignment="1">
      <alignment horizontal="center" vertical="center" shrinkToFit="1"/>
    </xf>
    <xf numFmtId="40" fontId="14" fillId="0" borderId="0" xfId="0" applyNumberFormat="1" applyFont="1" applyFill="1" applyBorder="1" applyAlignment="1">
      <alignment horizontal="center" vertical="center" shrinkToFit="1"/>
    </xf>
    <xf numFmtId="194" fontId="14" fillId="0" borderId="0" xfId="0" applyNumberFormat="1" applyFont="1" applyFill="1" applyBorder="1" applyAlignment="1">
      <alignment horizontal="center" vertical="center" shrinkToFit="1"/>
    </xf>
    <xf numFmtId="194" fontId="14" fillId="0" borderId="51" xfId="0" applyNumberFormat="1" applyFont="1" applyBorder="1" applyAlignment="1">
      <alignment horizontal="center" vertical="center" shrinkToFit="1"/>
    </xf>
    <xf numFmtId="193" fontId="14" fillId="0" borderId="31" xfId="0" applyNumberFormat="1" applyFont="1" applyBorder="1" applyAlignment="1">
      <alignment horizontal="center" vertical="center" shrinkToFit="1"/>
    </xf>
    <xf numFmtId="40" fontId="14" fillId="0" borderId="130" xfId="0" applyNumberFormat="1" applyFont="1" applyBorder="1" applyAlignment="1">
      <alignment horizontal="center" vertical="center" shrinkToFit="1"/>
    </xf>
    <xf numFmtId="194" fontId="14" fillId="0" borderId="61" xfId="0" applyNumberFormat="1" applyFont="1" applyBorder="1" applyAlignment="1">
      <alignment horizontal="center" vertical="center" shrinkToFit="1"/>
    </xf>
    <xf numFmtId="193" fontId="14" fillId="0" borderId="1" xfId="0" applyNumberFormat="1" applyFont="1" applyFill="1" applyBorder="1" applyAlignment="1">
      <alignment horizontal="center" vertical="center" shrinkToFit="1"/>
    </xf>
    <xf numFmtId="195" fontId="14" fillId="0" borderId="1" xfId="0" applyNumberFormat="1" applyFont="1" applyFill="1" applyBorder="1" applyAlignment="1">
      <alignment horizontal="center" vertical="center" shrinkToFit="1"/>
    </xf>
    <xf numFmtId="195" fontId="14" fillId="9" borderId="82" xfId="0" applyNumberFormat="1" applyFont="1" applyFill="1" applyBorder="1" applyAlignment="1">
      <alignment horizontal="center" vertical="center" shrinkToFit="1"/>
    </xf>
    <xf numFmtId="40" fontId="14" fillId="0" borderId="22" xfId="0" applyNumberFormat="1" applyFont="1" applyFill="1" applyBorder="1" applyAlignment="1">
      <alignment horizontal="center" vertical="center" shrinkToFit="1"/>
    </xf>
    <xf numFmtId="195" fontId="14" fillId="0" borderId="22" xfId="0" applyNumberFormat="1" applyFont="1" applyFill="1" applyBorder="1" applyAlignment="1">
      <alignment horizontal="center" vertical="center" shrinkToFit="1"/>
    </xf>
    <xf numFmtId="180" fontId="14" fillId="0" borderId="29" xfId="0" applyFont="1" applyFill="1" applyBorder="1" applyAlignment="1">
      <alignment horizontal="center" vertical="center" shrinkToFit="1"/>
    </xf>
    <xf numFmtId="187" fontId="14" fillId="0" borderId="29" xfId="0" applyNumberFormat="1" applyFont="1" applyFill="1" applyBorder="1" applyAlignment="1">
      <alignment horizontal="center" vertical="center" shrinkToFit="1"/>
    </xf>
    <xf numFmtId="40" fontId="14" fillId="0" borderId="29" xfId="0" applyNumberFormat="1" applyFont="1" applyFill="1" applyBorder="1" applyAlignment="1">
      <alignment horizontal="center" vertical="center" shrinkToFit="1"/>
    </xf>
    <xf numFmtId="180" fontId="9" fillId="3" borderId="1" xfId="0" applyFont="1" applyFill="1" applyBorder="1" applyAlignment="1">
      <alignment horizontal="center" vertical="center" wrapText="1"/>
    </xf>
    <xf numFmtId="180" fontId="9" fillId="3" borderId="19" xfId="0" applyFont="1" applyFill="1" applyBorder="1" applyAlignment="1">
      <alignment horizontal="center" vertical="center" wrapText="1"/>
    </xf>
    <xf numFmtId="180" fontId="14" fillId="0" borderId="0" xfId="0" applyFont="1" applyBorder="1">
      <alignment vertical="center"/>
    </xf>
    <xf numFmtId="180" fontId="0" fillId="3" borderId="20" xfId="0" applyFill="1" applyBorder="1" applyAlignment="1">
      <alignment horizontal="center" vertical="center"/>
    </xf>
    <xf numFmtId="180" fontId="0" fillId="11" borderId="20" xfId="0" applyFill="1" applyBorder="1" applyAlignment="1">
      <alignment vertical="center" wrapText="1"/>
    </xf>
    <xf numFmtId="180" fontId="34" fillId="11" borderId="20" xfId="0" applyFont="1" applyFill="1" applyBorder="1" applyAlignment="1">
      <alignment vertical="center" wrapText="1"/>
    </xf>
    <xf numFmtId="200" fontId="0" fillId="0" borderId="20" xfId="2" applyNumberFormat="1" applyFont="1" applyBorder="1">
      <alignment vertical="center"/>
    </xf>
    <xf numFmtId="188" fontId="0" fillId="0" borderId="20" xfId="2" applyNumberFormat="1" applyFont="1" applyBorder="1">
      <alignment vertical="center"/>
    </xf>
    <xf numFmtId="214" fontId="0" fillId="0" borderId="20" xfId="2" applyNumberFormat="1" applyFont="1" applyBorder="1">
      <alignment vertical="center"/>
    </xf>
    <xf numFmtId="178" fontId="3" fillId="0" borderId="19" xfId="3" applyNumberFormat="1" applyFont="1" applyFill="1" applyBorder="1" applyAlignment="1">
      <alignment vertical="center"/>
    </xf>
    <xf numFmtId="178" fontId="3" fillId="0" borderId="29" xfId="3" applyNumberFormat="1" applyFont="1" applyFill="1" applyBorder="1" applyAlignment="1">
      <alignment vertical="center"/>
    </xf>
    <xf numFmtId="0" fontId="3" fillId="0" borderId="22" xfId="3" applyFont="1" applyFill="1" applyBorder="1" applyAlignment="1">
      <alignment vertical="center"/>
    </xf>
    <xf numFmtId="0" fontId="3" fillId="0" borderId="7" xfId="3" applyFont="1" applyFill="1" applyBorder="1" applyAlignment="1">
      <alignment vertical="center"/>
    </xf>
    <xf numFmtId="178" fontId="3" fillId="0" borderId="25" xfId="3" applyNumberFormat="1" applyFont="1" applyFill="1" applyBorder="1" applyAlignment="1">
      <alignment vertical="center"/>
    </xf>
    <xf numFmtId="180" fontId="0" fillId="0" borderId="174" xfId="0" applyFill="1" applyBorder="1" applyAlignment="1">
      <alignment horizontal="center" vertical="center"/>
    </xf>
    <xf numFmtId="180" fontId="0" fillId="0" borderId="174" xfId="0" applyFill="1" applyBorder="1" applyAlignment="1">
      <alignment vertical="center"/>
    </xf>
    <xf numFmtId="40" fontId="48" fillId="0" borderId="82" xfId="0" applyNumberFormat="1" applyFont="1" applyFill="1" applyBorder="1" applyAlignment="1">
      <alignment vertical="center"/>
    </xf>
    <xf numFmtId="180" fontId="4" fillId="5" borderId="20" xfId="1" applyNumberFormat="1" applyFill="1" applyBorder="1" applyAlignment="1" applyProtection="1">
      <alignment horizontal="center" vertical="center"/>
    </xf>
    <xf numFmtId="178" fontId="0" fillId="0" borderId="61" xfId="3" applyNumberFormat="1" applyFont="1" applyFill="1" applyBorder="1" applyAlignment="1">
      <alignment horizontal="center" vertical="center" shrinkToFit="1"/>
    </xf>
    <xf numFmtId="180" fontId="14" fillId="0" borderId="2" xfId="0" applyFont="1" applyBorder="1" applyAlignment="1">
      <alignment horizontal="center" vertical="center" shrinkToFit="1"/>
    </xf>
    <xf numFmtId="188" fontId="14" fillId="0" borderId="0" xfId="0" applyNumberFormat="1" applyFont="1" applyBorder="1" applyAlignment="1">
      <alignment horizontal="center" vertical="center" shrinkToFit="1"/>
    </xf>
    <xf numFmtId="180" fontId="0" fillId="3" borderId="5" xfId="0" applyFont="1" applyFill="1" applyBorder="1" applyAlignment="1">
      <alignment horizontal="center" vertical="center"/>
    </xf>
    <xf numFmtId="40" fontId="14" fillId="0" borderId="8" xfId="0" applyNumberFormat="1" applyFont="1" applyFill="1" applyBorder="1">
      <alignment vertical="center"/>
    </xf>
    <xf numFmtId="180" fontId="14" fillId="0" borderId="2" xfId="0" applyFont="1" applyFill="1" applyBorder="1" applyAlignment="1">
      <alignment vertical="center"/>
    </xf>
    <xf numFmtId="180" fontId="14" fillId="0" borderId="0" xfId="0" applyFont="1" applyFill="1" applyBorder="1" applyAlignment="1">
      <alignment vertical="center"/>
    </xf>
    <xf numFmtId="180" fontId="14" fillId="0" borderId="8" xfId="0" applyFont="1" applyFill="1" applyBorder="1" applyAlignment="1">
      <alignment vertical="center"/>
    </xf>
    <xf numFmtId="40" fontId="14" fillId="0" borderId="2" xfId="0" applyNumberFormat="1" applyFont="1" applyFill="1" applyBorder="1" applyAlignment="1">
      <alignment vertical="center"/>
    </xf>
    <xf numFmtId="40" fontId="14" fillId="0" borderId="8" xfId="0" applyNumberFormat="1" applyFont="1" applyFill="1" applyBorder="1" applyAlignment="1">
      <alignment vertical="center"/>
    </xf>
    <xf numFmtId="40" fontId="14" fillId="0" borderId="0" xfId="0" applyNumberFormat="1" applyFont="1" applyFill="1" applyBorder="1">
      <alignment vertical="center"/>
    </xf>
    <xf numFmtId="40" fontId="14" fillId="0" borderId="0" xfId="0" applyNumberFormat="1" applyFont="1" applyFill="1" applyBorder="1" applyAlignment="1">
      <alignment vertical="center"/>
    </xf>
    <xf numFmtId="40" fontId="14" fillId="0" borderId="2" xfId="0" applyNumberFormat="1" applyFont="1" applyFill="1" applyBorder="1" applyAlignment="1">
      <alignment horizontal="center" vertical="center" shrinkToFit="1"/>
    </xf>
    <xf numFmtId="180" fontId="14" fillId="0" borderId="25" xfId="0" applyFont="1" applyBorder="1">
      <alignment vertical="center"/>
    </xf>
    <xf numFmtId="180" fontId="14" fillId="0" borderId="19" xfId="0" applyFont="1" applyBorder="1">
      <alignment vertical="center"/>
    </xf>
    <xf numFmtId="180" fontId="14" fillId="0" borderId="174" xfId="0" applyFont="1" applyBorder="1">
      <alignment vertical="center"/>
    </xf>
    <xf numFmtId="180" fontId="14" fillId="0" borderId="1" xfId="0" applyFont="1" applyFill="1" applyBorder="1">
      <alignment vertical="center"/>
    </xf>
    <xf numFmtId="180" fontId="14" fillId="0" borderId="22" xfId="0" applyFont="1" applyFill="1" applyBorder="1">
      <alignment vertical="center"/>
    </xf>
    <xf numFmtId="180" fontId="14" fillId="0" borderId="7" xfId="0" applyFont="1" applyFill="1" applyBorder="1">
      <alignment vertical="center"/>
    </xf>
    <xf numFmtId="215" fontId="14" fillId="0" borderId="68" xfId="0" applyNumberFormat="1" applyFont="1" applyBorder="1" applyAlignment="1">
      <alignment horizontal="center" vertical="center" shrinkToFit="1"/>
    </xf>
    <xf numFmtId="215" fontId="14" fillId="0" borderId="67" xfId="0" applyNumberFormat="1" applyFont="1" applyBorder="1" applyAlignment="1">
      <alignment horizontal="center" vertical="center" shrinkToFit="1"/>
    </xf>
    <xf numFmtId="215" fontId="14" fillId="0" borderId="33" xfId="0" applyNumberFormat="1" applyFont="1" applyBorder="1" applyAlignment="1">
      <alignment horizontal="center" vertical="center" shrinkToFit="1"/>
    </xf>
    <xf numFmtId="215" fontId="14" fillId="0" borderId="52" xfId="0" applyNumberFormat="1" applyFont="1" applyFill="1" applyBorder="1" applyAlignment="1">
      <alignment horizontal="center" vertical="center" shrinkToFit="1"/>
    </xf>
    <xf numFmtId="215" fontId="14" fillId="0" borderId="111" xfId="0" applyNumberFormat="1" applyFont="1" applyFill="1" applyBorder="1" applyAlignment="1">
      <alignment horizontal="center" vertical="center"/>
    </xf>
    <xf numFmtId="216" fontId="14" fillId="0" borderId="65" xfId="0" applyNumberFormat="1" applyFont="1" applyBorder="1" applyAlignment="1">
      <alignment horizontal="center" vertical="center" shrinkToFit="1"/>
    </xf>
    <xf numFmtId="216" fontId="14" fillId="0" borderId="64" xfId="0" applyNumberFormat="1" applyFont="1" applyBorder="1" applyAlignment="1">
      <alignment horizontal="center" vertical="center" shrinkToFit="1"/>
    </xf>
    <xf numFmtId="216" fontId="14" fillId="0" borderId="51" xfId="0" applyNumberFormat="1" applyFont="1" applyBorder="1" applyAlignment="1">
      <alignment horizontal="center" vertical="center" shrinkToFit="1"/>
    </xf>
    <xf numFmtId="216" fontId="3" fillId="0" borderId="68" xfId="3" applyNumberFormat="1" applyFont="1" applyFill="1" applyBorder="1" applyAlignment="1">
      <alignment horizontal="center" vertical="center"/>
    </xf>
    <xf numFmtId="216" fontId="3" fillId="0" borderId="67" xfId="3" applyNumberFormat="1" applyFont="1" applyFill="1" applyBorder="1" applyAlignment="1">
      <alignment horizontal="center" vertical="center"/>
    </xf>
    <xf numFmtId="180" fontId="3" fillId="0" borderId="2" xfId="0" applyFont="1" applyFill="1" applyBorder="1" applyAlignment="1">
      <alignment horizontal="center" vertical="center"/>
    </xf>
    <xf numFmtId="180" fontId="14" fillId="0" borderId="8" xfId="0" applyFont="1" applyFill="1" applyBorder="1">
      <alignment vertical="center"/>
    </xf>
    <xf numFmtId="180" fontId="3" fillId="0" borderId="8" xfId="0" applyFont="1" applyFill="1" applyBorder="1" applyAlignment="1">
      <alignment horizontal="center" vertical="center"/>
    </xf>
    <xf numFmtId="40" fontId="14" fillId="0" borderId="2" xfId="0" applyNumberFormat="1" applyFont="1" applyFill="1" applyBorder="1">
      <alignment vertical="center"/>
    </xf>
    <xf numFmtId="180" fontId="0" fillId="0" borderId="0" xfId="0" applyFont="1" applyFill="1" applyBorder="1" applyAlignment="1">
      <alignment horizontal="center" vertical="center"/>
    </xf>
    <xf numFmtId="40" fontId="14" fillId="0" borderId="83" xfId="2" applyNumberFormat="1" applyFont="1" applyBorder="1" applyAlignment="1">
      <alignment horizontal="center" vertical="center"/>
    </xf>
    <xf numFmtId="40" fontId="0" fillId="0" borderId="20" xfId="0" applyNumberFormat="1" applyFont="1" applyFill="1" applyBorder="1" applyAlignment="1">
      <alignment horizontal="center" vertical="center" shrinkToFit="1"/>
    </xf>
    <xf numFmtId="216" fontId="0" fillId="0" borderId="109" xfId="2" applyNumberFormat="1" applyFont="1" applyFill="1" applyBorder="1" applyAlignment="1">
      <alignment horizontal="center" vertical="center" shrinkToFit="1"/>
    </xf>
    <xf numFmtId="216" fontId="0" fillId="0" borderId="110" xfId="2" applyNumberFormat="1" applyFont="1" applyFill="1" applyBorder="1" applyAlignment="1">
      <alignment horizontal="center" vertical="center" shrinkToFit="1"/>
    </xf>
    <xf numFmtId="216" fontId="0" fillId="0" borderId="111" xfId="2" applyNumberFormat="1" applyFont="1" applyFill="1" applyBorder="1" applyAlignment="1">
      <alignment horizontal="center" vertical="center"/>
    </xf>
    <xf numFmtId="40" fontId="0" fillId="0" borderId="20" xfId="0" applyNumberFormat="1" applyFont="1" applyFill="1" applyBorder="1" applyAlignment="1">
      <alignment horizontal="center" vertical="center"/>
    </xf>
    <xf numFmtId="38" fontId="14" fillId="9" borderId="20" xfId="2" applyFont="1" applyFill="1" applyBorder="1" applyAlignment="1">
      <alignment horizontal="center" vertical="center"/>
    </xf>
    <xf numFmtId="38" fontId="14" fillId="0" borderId="109" xfId="2" applyFont="1" applyFill="1" applyBorder="1" applyAlignment="1">
      <alignment horizontal="center" vertical="center" shrinkToFit="1"/>
    </xf>
    <xf numFmtId="38" fontId="14" fillId="0" borderId="110" xfId="2" applyFont="1" applyFill="1" applyBorder="1" applyAlignment="1">
      <alignment horizontal="center" vertical="center" shrinkToFit="1"/>
    </xf>
    <xf numFmtId="38" fontId="14" fillId="0" borderId="111" xfId="2" applyFont="1" applyFill="1" applyBorder="1" applyAlignment="1">
      <alignment horizontal="center" vertical="center"/>
    </xf>
    <xf numFmtId="40" fontId="14" fillId="9" borderId="20" xfId="2" applyNumberFormat="1" applyFont="1" applyFill="1" applyBorder="1" applyAlignment="1">
      <alignment horizontal="center" vertical="center"/>
    </xf>
    <xf numFmtId="40" fontId="14" fillId="0" borderId="109" xfId="2" applyNumberFormat="1" applyFont="1" applyFill="1" applyBorder="1" applyAlignment="1">
      <alignment horizontal="center" vertical="center" shrinkToFit="1"/>
    </xf>
    <xf numFmtId="40" fontId="14" fillId="0" borderId="110" xfId="2" applyNumberFormat="1" applyFont="1" applyFill="1" applyBorder="1" applyAlignment="1">
      <alignment horizontal="center" vertical="center" shrinkToFit="1"/>
    </xf>
    <xf numFmtId="40" fontId="14" fillId="0" borderId="111" xfId="2" applyNumberFormat="1" applyFont="1" applyFill="1" applyBorder="1" applyAlignment="1">
      <alignment horizontal="center" vertical="center"/>
    </xf>
    <xf numFmtId="217" fontId="14" fillId="6" borderId="82" xfId="0" applyNumberFormat="1" applyFont="1" applyFill="1" applyBorder="1" applyAlignment="1">
      <alignment horizontal="center" vertical="center" shrinkToFit="1"/>
    </xf>
    <xf numFmtId="218" fontId="14" fillId="0" borderId="20" xfId="2" applyNumberFormat="1" applyFont="1" applyFill="1" applyBorder="1" applyAlignment="1">
      <alignment horizontal="center" vertical="center" shrinkToFit="1"/>
    </xf>
    <xf numFmtId="219" fontId="14" fillId="0" borderId="20" xfId="0" applyNumberFormat="1" applyFont="1" applyBorder="1">
      <alignment vertical="center"/>
    </xf>
    <xf numFmtId="219" fontId="14" fillId="0" borderId="5" xfId="0" applyNumberFormat="1" applyFont="1" applyFill="1" applyBorder="1">
      <alignment vertical="center"/>
    </xf>
    <xf numFmtId="219" fontId="14" fillId="0" borderId="80" xfId="0" applyNumberFormat="1" applyFont="1" applyBorder="1" applyAlignment="1">
      <alignment horizontal="center" vertical="center" shrinkToFit="1"/>
    </xf>
    <xf numFmtId="219" fontId="14" fillId="0" borderId="68" xfId="0" applyNumberFormat="1" applyFont="1" applyBorder="1" applyAlignment="1">
      <alignment horizontal="center" vertical="center" shrinkToFit="1"/>
    </xf>
    <xf numFmtId="219" fontId="14" fillId="0" borderId="67" xfId="0" applyNumberFormat="1" applyFont="1" applyBorder="1" applyAlignment="1">
      <alignment horizontal="center" vertical="center" shrinkToFit="1"/>
    </xf>
    <xf numFmtId="219" fontId="14" fillId="0" borderId="33" xfId="0" applyNumberFormat="1" applyFont="1" applyBorder="1" applyAlignment="1">
      <alignment horizontal="center" vertical="center" shrinkToFit="1"/>
    </xf>
    <xf numFmtId="219" fontId="14" fillId="0" borderId="52" xfId="0" applyNumberFormat="1" applyFont="1" applyFill="1" applyBorder="1" applyAlignment="1">
      <alignment horizontal="center" vertical="center" shrinkToFit="1"/>
    </xf>
    <xf numFmtId="219" fontId="14" fillId="0" borderId="32" xfId="0" applyNumberFormat="1" applyFont="1" applyBorder="1" applyAlignment="1">
      <alignment horizontal="center" vertical="center" shrinkToFit="1"/>
    </xf>
    <xf numFmtId="219" fontId="14" fillId="0" borderId="20" xfId="0" applyNumberFormat="1" applyFont="1" applyBorder="1" applyAlignment="1">
      <alignment horizontal="center" vertical="center" shrinkToFit="1"/>
    </xf>
    <xf numFmtId="215" fontId="14" fillId="0" borderId="80" xfId="0" applyNumberFormat="1" applyFont="1" applyBorder="1" applyAlignment="1">
      <alignment horizontal="center" vertical="center" shrinkToFit="1"/>
    </xf>
    <xf numFmtId="180" fontId="0" fillId="0" borderId="8" xfId="0" applyBorder="1">
      <alignment vertical="center"/>
    </xf>
    <xf numFmtId="180" fontId="0" fillId="3" borderId="25" xfId="0" applyFill="1" applyBorder="1" applyAlignment="1">
      <alignment vertical="center"/>
    </xf>
    <xf numFmtId="180" fontId="14" fillId="0" borderId="0" xfId="0" applyFont="1" applyBorder="1">
      <alignment vertical="center"/>
    </xf>
    <xf numFmtId="40" fontId="14" fillId="0" borderId="8" xfId="0" applyNumberFormat="1" applyFont="1" applyBorder="1" applyAlignment="1">
      <alignment horizontal="center" vertical="center" shrinkToFit="1"/>
    </xf>
    <xf numFmtId="40" fontId="3" fillId="3" borderId="3" xfId="0" applyNumberFormat="1" applyFont="1" applyFill="1" applyBorder="1" applyAlignment="1">
      <alignment vertical="center"/>
    </xf>
    <xf numFmtId="40" fontId="0" fillId="3" borderId="4" xfId="0" applyNumberFormat="1" applyFill="1" applyBorder="1" applyAlignment="1">
      <alignment vertical="center"/>
    </xf>
    <xf numFmtId="40" fontId="3" fillId="3" borderId="4" xfId="0" applyNumberFormat="1" applyFont="1" applyFill="1" applyBorder="1" applyAlignment="1">
      <alignment vertical="center"/>
    </xf>
    <xf numFmtId="40" fontId="0" fillId="3" borderId="5" xfId="0" applyNumberFormat="1" applyFill="1" applyBorder="1" applyAlignment="1">
      <alignment vertical="center"/>
    </xf>
    <xf numFmtId="40" fontId="0" fillId="3" borderId="7" xfId="0" applyNumberFormat="1" applyFont="1" applyFill="1" applyBorder="1" applyAlignment="1">
      <alignment vertical="center"/>
    </xf>
    <xf numFmtId="40" fontId="0" fillId="3" borderId="8" xfId="0" applyNumberFormat="1" applyFill="1" applyBorder="1" applyAlignment="1">
      <alignment vertical="center"/>
    </xf>
    <xf numFmtId="40" fontId="14" fillId="0" borderId="2" xfId="0" applyNumberFormat="1" applyFont="1" applyBorder="1" applyAlignment="1">
      <alignment horizontal="center" vertical="center" shrinkToFit="1"/>
    </xf>
    <xf numFmtId="40" fontId="14" fillId="9" borderId="82" xfId="0" applyNumberFormat="1" applyFont="1" applyFill="1" applyBorder="1" applyAlignment="1">
      <alignment horizontal="center" vertical="center" shrinkToFit="1"/>
    </xf>
    <xf numFmtId="40" fontId="14" fillId="9" borderId="83" xfId="0" applyNumberFormat="1" applyFont="1" applyFill="1" applyBorder="1" applyAlignment="1">
      <alignment horizontal="center" vertical="center" shrinkToFit="1"/>
    </xf>
    <xf numFmtId="180" fontId="0" fillId="0" borderId="8" xfId="0" applyFill="1" applyBorder="1" applyAlignment="1">
      <alignment vertical="center"/>
    </xf>
    <xf numFmtId="180" fontId="3" fillId="0" borderId="0" xfId="5" applyNumberFormat="1" applyFont="1" applyFill="1" applyBorder="1" applyAlignment="1" applyProtection="1">
      <alignment vertical="center" shrinkToFit="1"/>
      <protection locked="0"/>
    </xf>
    <xf numFmtId="180" fontId="3" fillId="0" borderId="8" xfId="5" applyNumberFormat="1" applyFont="1" applyFill="1" applyBorder="1" applyAlignment="1" applyProtection="1">
      <alignment vertical="center" shrinkToFit="1"/>
      <protection locked="0"/>
    </xf>
    <xf numFmtId="180" fontId="14" fillId="0" borderId="16" xfId="0" applyFont="1" applyBorder="1">
      <alignment vertical="center"/>
    </xf>
    <xf numFmtId="180" fontId="14" fillId="0" borderId="17" xfId="0" applyFont="1" applyBorder="1" applyAlignment="1">
      <alignment vertical="center"/>
    </xf>
    <xf numFmtId="180" fontId="14" fillId="0" borderId="0" xfId="0" applyFont="1" applyBorder="1">
      <alignment vertical="center"/>
    </xf>
    <xf numFmtId="180" fontId="14" fillId="0" borderId="2" xfId="0" applyFont="1" applyBorder="1">
      <alignment vertical="center"/>
    </xf>
    <xf numFmtId="40" fontId="14" fillId="0" borderId="16" xfId="0" applyNumberFormat="1" applyFont="1" applyBorder="1" applyAlignment="1">
      <alignment horizontal="center" vertical="center" shrinkToFit="1"/>
    </xf>
    <xf numFmtId="40" fontId="14" fillId="0" borderId="7" xfId="0" applyNumberFormat="1" applyFont="1" applyBorder="1" applyAlignment="1">
      <alignment horizontal="center" vertical="center" shrinkToFit="1"/>
    </xf>
    <xf numFmtId="180" fontId="14" fillId="6" borderId="83" xfId="0" applyFont="1" applyFill="1" applyBorder="1" applyAlignment="1">
      <alignment horizontal="center" vertical="center" shrinkToFit="1"/>
    </xf>
    <xf numFmtId="40" fontId="14" fillId="0" borderId="83" xfId="0" applyNumberFormat="1" applyFont="1" applyBorder="1">
      <alignment vertical="center"/>
    </xf>
    <xf numFmtId="180" fontId="14" fillId="0" borderId="83" xfId="0" applyFont="1" applyBorder="1">
      <alignment vertical="center"/>
    </xf>
    <xf numFmtId="180" fontId="14" fillId="9" borderId="17" xfId="0" applyFont="1" applyFill="1" applyBorder="1">
      <alignment vertical="center"/>
    </xf>
    <xf numFmtId="40" fontId="14" fillId="0" borderId="23" xfId="0" applyNumberFormat="1" applyFont="1" applyBorder="1" applyAlignment="1">
      <alignment vertical="center" wrapText="1"/>
    </xf>
    <xf numFmtId="180" fontId="10" fillId="0" borderId="0" xfId="0" applyFont="1" applyFill="1" applyBorder="1" applyAlignment="1">
      <alignment vertical="center"/>
    </xf>
    <xf numFmtId="0" fontId="0" fillId="0" borderId="22" xfId="0" applyNumberFormat="1" applyBorder="1" applyAlignment="1">
      <alignment vertical="center"/>
    </xf>
    <xf numFmtId="0" fontId="0" fillId="0" borderId="0" xfId="0" applyNumberFormat="1" applyBorder="1" applyAlignment="1">
      <alignment vertical="center"/>
    </xf>
    <xf numFmtId="40" fontId="0" fillId="0" borderId="22" xfId="0" applyNumberFormat="1" applyBorder="1" applyAlignment="1">
      <alignment vertical="center"/>
    </xf>
    <xf numFmtId="40" fontId="0" fillId="0" borderId="174" xfId="0" applyNumberFormat="1" applyBorder="1" applyAlignment="1">
      <alignment vertical="center"/>
    </xf>
    <xf numFmtId="38" fontId="0" fillId="0" borderId="15" xfId="2" applyFont="1" applyFill="1" applyBorder="1" applyAlignment="1">
      <alignment horizontal="centerContinuous" vertical="center" shrinkToFit="1"/>
    </xf>
    <xf numFmtId="38" fontId="0" fillId="0" borderId="23" xfId="2" applyFont="1" applyFill="1" applyBorder="1" applyAlignment="1">
      <alignment horizontal="centerContinuous" vertical="center" shrinkToFit="1"/>
    </xf>
    <xf numFmtId="221" fontId="0" fillId="0" borderId="14" xfId="0" applyNumberFormat="1" applyBorder="1" applyAlignment="1">
      <alignment horizontal="centerContinuous" vertical="center"/>
    </xf>
    <xf numFmtId="221" fontId="0" fillId="0" borderId="17" xfId="0" applyNumberFormat="1" applyBorder="1" applyAlignment="1">
      <alignment horizontal="centerContinuous" vertical="center"/>
    </xf>
    <xf numFmtId="40" fontId="14" fillId="0" borderId="70" xfId="8" applyNumberFormat="1" applyFont="1" applyFill="1" applyBorder="1" applyAlignment="1">
      <alignment horizontal="center" vertical="center" shrinkToFit="1"/>
    </xf>
    <xf numFmtId="40" fontId="14" fillId="0" borderId="69" xfId="8" applyNumberFormat="1" applyFont="1" applyFill="1" applyBorder="1" applyAlignment="1">
      <alignment horizontal="center" vertical="center" shrinkToFit="1"/>
    </xf>
    <xf numFmtId="40" fontId="14" fillId="0" borderId="71" xfId="8" applyNumberFormat="1" applyFont="1" applyFill="1" applyBorder="1" applyAlignment="1">
      <alignment horizontal="center" vertical="center" shrinkToFit="1"/>
    </xf>
    <xf numFmtId="0" fontId="14" fillId="0" borderId="0" xfId="8" applyFont="1" applyBorder="1" applyAlignment="1">
      <alignment horizontal="left" vertical="center"/>
    </xf>
    <xf numFmtId="180" fontId="48" fillId="0" borderId="82" xfId="0" applyFont="1" applyFill="1" applyBorder="1" applyAlignment="1" applyProtection="1">
      <alignment vertical="center"/>
    </xf>
    <xf numFmtId="40" fontId="26" fillId="0" borderId="81" xfId="0" applyNumberFormat="1" applyFont="1" applyFill="1" applyBorder="1" applyAlignment="1">
      <alignment vertical="center"/>
    </xf>
    <xf numFmtId="40" fontId="26" fillId="9" borderId="80" xfId="2" applyNumberFormat="1" applyFont="1" applyFill="1" applyBorder="1" applyAlignment="1">
      <alignment vertical="center"/>
    </xf>
    <xf numFmtId="40" fontId="26" fillId="9" borderId="81" xfId="2" applyNumberFormat="1" applyFont="1" applyFill="1" applyBorder="1" applyAlignment="1">
      <alignment vertical="center"/>
    </xf>
    <xf numFmtId="40" fontId="26" fillId="9" borderId="83" xfId="2" applyNumberFormat="1" applyFont="1" applyFill="1" applyBorder="1" applyAlignment="1">
      <alignment vertical="center"/>
    </xf>
    <xf numFmtId="40" fontId="26" fillId="0" borderId="83" xfId="0" applyNumberFormat="1" applyFont="1" applyFill="1" applyBorder="1" applyAlignment="1">
      <alignment vertical="center"/>
    </xf>
    <xf numFmtId="40" fontId="26" fillId="0" borderId="80" xfId="2" applyNumberFormat="1" applyFont="1" applyFill="1" applyBorder="1" applyAlignment="1">
      <alignment horizontal="center" vertical="center"/>
    </xf>
    <xf numFmtId="0" fontId="0" fillId="11" borderId="0" xfId="4" applyNumberFormat="1" applyFont="1" applyFill="1" applyAlignment="1">
      <alignment vertical="center"/>
    </xf>
    <xf numFmtId="0" fontId="3" fillId="11" borderId="0" xfId="4" applyNumberFormat="1" applyFont="1" applyFill="1" applyAlignment="1">
      <alignment vertical="center"/>
    </xf>
    <xf numFmtId="0" fontId="3" fillId="11" borderId="0" xfId="0" applyNumberFormat="1" applyFont="1" applyFill="1" applyAlignment="1">
      <alignment vertical="center"/>
    </xf>
    <xf numFmtId="180" fontId="0" fillId="0" borderId="0" xfId="0">
      <alignment vertical="center"/>
    </xf>
    <xf numFmtId="180" fontId="0" fillId="0" borderId="7" xfId="0" applyBorder="1" applyAlignment="1">
      <alignment vertical="center"/>
    </xf>
    <xf numFmtId="180" fontId="0" fillId="0" borderId="25" xfId="0" applyBorder="1" applyAlignment="1">
      <alignment vertical="center"/>
    </xf>
    <xf numFmtId="180" fontId="0" fillId="0" borderId="174" xfId="0" applyBorder="1">
      <alignment vertical="center"/>
    </xf>
    <xf numFmtId="180" fontId="0" fillId="0" borderId="0" xfId="0" applyAlignment="1">
      <alignment vertical="center"/>
    </xf>
    <xf numFmtId="180" fontId="0" fillId="0" borderId="0" xfId="0" applyBorder="1" applyAlignment="1">
      <alignment horizontal="right" vertical="center"/>
    </xf>
    <xf numFmtId="40" fontId="0" fillId="0" borderId="0" xfId="9" applyNumberFormat="1" applyFont="1">
      <alignment vertical="center"/>
    </xf>
    <xf numFmtId="180" fontId="0" fillId="0" borderId="19" xfId="0" applyFill="1" applyBorder="1" applyAlignment="1">
      <alignment vertical="center"/>
    </xf>
    <xf numFmtId="180" fontId="0" fillId="0" borderId="2" xfId="0" applyFill="1" applyBorder="1" applyAlignment="1">
      <alignment vertical="center"/>
    </xf>
    <xf numFmtId="180" fontId="0" fillId="0" borderId="174" xfId="0" applyBorder="1" applyAlignment="1">
      <alignment vertical="center"/>
    </xf>
    <xf numFmtId="40" fontId="14" fillId="0" borderId="2" xfId="0" applyNumberFormat="1" applyFont="1" applyFill="1" applyBorder="1" applyAlignment="1">
      <alignment horizontal="center" vertical="center"/>
    </xf>
    <xf numFmtId="40" fontId="0" fillId="0" borderId="2" xfId="0" applyNumberFormat="1" applyFill="1" applyBorder="1" applyAlignment="1">
      <alignment horizontal="center" vertical="center"/>
    </xf>
    <xf numFmtId="184" fontId="0" fillId="0" borderId="2" xfId="0" applyNumberFormat="1" applyFill="1" applyBorder="1" applyAlignment="1">
      <alignment horizontal="centerContinuous" vertical="center"/>
    </xf>
    <xf numFmtId="180" fontId="34" fillId="0" borderId="0" xfId="0" applyFont="1" applyFill="1" applyBorder="1" applyAlignment="1">
      <alignment horizontal="left" vertical="top" wrapText="1"/>
    </xf>
    <xf numFmtId="188" fontId="34" fillId="0" borderId="0" xfId="0" applyNumberFormat="1" applyFont="1" applyFill="1" applyBorder="1" applyAlignment="1">
      <alignment horizontal="left" vertical="top" wrapText="1"/>
    </xf>
    <xf numFmtId="206" fontId="34" fillId="0" borderId="0" xfId="0" applyNumberFormat="1" applyFont="1" applyFill="1" applyBorder="1" applyAlignment="1">
      <alignment horizontal="left" vertical="top" wrapText="1"/>
    </xf>
    <xf numFmtId="40" fontId="34" fillId="0" borderId="0" xfId="0" applyNumberFormat="1" applyFont="1" applyFill="1" applyBorder="1" applyAlignment="1">
      <alignment horizontal="left" vertical="top" wrapText="1"/>
    </xf>
    <xf numFmtId="180" fontId="34" fillId="0" borderId="0" xfId="0" applyFont="1" applyFill="1" applyBorder="1" applyAlignment="1">
      <alignment horizontal="left" vertical="top"/>
    </xf>
    <xf numFmtId="40" fontId="34" fillId="0" borderId="0" xfId="0" applyNumberFormat="1" applyFont="1" applyFill="1" applyBorder="1" applyAlignment="1">
      <alignment horizontal="left" vertical="top"/>
    </xf>
    <xf numFmtId="180" fontId="34" fillId="0" borderId="8" xfId="0" applyFont="1" applyFill="1" applyBorder="1" applyAlignment="1">
      <alignment horizontal="left" vertical="top"/>
    </xf>
    <xf numFmtId="188" fontId="34" fillId="0" borderId="8" xfId="0" applyNumberFormat="1" applyFont="1" applyFill="1" applyBorder="1" applyAlignment="1">
      <alignment horizontal="left" vertical="top"/>
    </xf>
    <xf numFmtId="206" fontId="34" fillId="0" borderId="8" xfId="0" applyNumberFormat="1" applyFont="1" applyFill="1" applyBorder="1" applyAlignment="1">
      <alignment horizontal="left" vertical="top"/>
    </xf>
    <xf numFmtId="40" fontId="34" fillId="0" borderId="8" xfId="0" applyNumberFormat="1" applyFont="1" applyFill="1" applyBorder="1" applyAlignment="1">
      <alignment horizontal="left" vertical="top"/>
    </xf>
    <xf numFmtId="206" fontId="34" fillId="0" borderId="0" xfId="0" applyNumberFormat="1" applyFont="1" applyFill="1" applyBorder="1" applyAlignment="1">
      <alignment horizontal="center" vertical="top"/>
    </xf>
    <xf numFmtId="180" fontId="34" fillId="0" borderId="0" xfId="0" applyFont="1" applyFill="1" applyBorder="1" applyAlignment="1">
      <alignment vertical="top"/>
    </xf>
    <xf numFmtId="38" fontId="34" fillId="0" borderId="0" xfId="2" applyFont="1" applyFill="1" applyBorder="1" applyAlignment="1">
      <alignment horizontal="center" vertical="top"/>
    </xf>
    <xf numFmtId="180" fontId="34" fillId="0" borderId="0" xfId="0" applyFont="1" applyFill="1" applyBorder="1" applyAlignment="1">
      <alignment horizontal="center" vertical="top"/>
    </xf>
    <xf numFmtId="188" fontId="34" fillId="0" borderId="0" xfId="0" applyNumberFormat="1" applyFont="1" applyFill="1" applyBorder="1" applyAlignment="1">
      <alignment horizontal="center" vertical="top"/>
    </xf>
    <xf numFmtId="40" fontId="34" fillId="0" borderId="0" xfId="0" applyNumberFormat="1" applyFont="1" applyFill="1" applyBorder="1" applyAlignment="1">
      <alignment horizontal="center" vertical="top"/>
    </xf>
    <xf numFmtId="40" fontId="34" fillId="0" borderId="0" xfId="0" applyNumberFormat="1" applyFont="1" applyFill="1" applyBorder="1" applyAlignment="1">
      <alignment vertical="top" shrinkToFit="1"/>
    </xf>
    <xf numFmtId="180" fontId="49" fillId="0" borderId="0" xfId="0" applyFont="1">
      <alignment vertical="center"/>
    </xf>
    <xf numFmtId="180" fontId="14" fillId="0" borderId="0" xfId="0" applyFont="1" applyFill="1" applyBorder="1" applyAlignment="1">
      <alignment vertical="center"/>
    </xf>
    <xf numFmtId="40" fontId="0" fillId="0" borderId="51" xfId="0" applyNumberFormat="1" applyFill="1" applyBorder="1" applyAlignment="1">
      <alignment horizontal="center" vertical="center"/>
    </xf>
    <xf numFmtId="40" fontId="0" fillId="0" borderId="52" xfId="0" applyNumberFormat="1" applyFill="1" applyBorder="1" applyAlignment="1">
      <alignment horizontal="center" vertical="center"/>
    </xf>
    <xf numFmtId="40" fontId="14" fillId="0" borderId="0" xfId="0" applyNumberFormat="1" applyFont="1" applyFill="1" applyBorder="1" applyAlignment="1">
      <alignment vertical="center"/>
    </xf>
    <xf numFmtId="40" fontId="0" fillId="0" borderId="35" xfId="0" applyNumberFormat="1" applyFill="1" applyBorder="1" applyAlignment="1">
      <alignment horizontal="center" vertical="center"/>
    </xf>
    <xf numFmtId="40" fontId="0" fillId="0" borderId="23" xfId="0" applyNumberFormat="1" applyFill="1" applyBorder="1" applyAlignment="1">
      <alignment horizontal="center" vertical="center"/>
    </xf>
    <xf numFmtId="180" fontId="0" fillId="0" borderId="0" xfId="0">
      <alignment vertical="center"/>
    </xf>
    <xf numFmtId="40" fontId="14" fillId="4" borderId="49" xfId="0" applyNumberFormat="1" applyFont="1" applyFill="1" applyBorder="1">
      <alignment vertical="center"/>
    </xf>
    <xf numFmtId="40" fontId="14" fillId="4" borderId="48" xfId="0" applyNumberFormat="1" applyFont="1" applyFill="1" applyBorder="1">
      <alignment vertical="center"/>
    </xf>
    <xf numFmtId="180" fontId="14" fillId="0" borderId="0" xfId="0" applyFont="1" applyBorder="1" applyAlignment="1">
      <alignment vertical="center"/>
    </xf>
    <xf numFmtId="180" fontId="14" fillId="0" borderId="3" xfId="0" applyFont="1" applyBorder="1" applyAlignment="1">
      <alignment vertical="center"/>
    </xf>
    <xf numFmtId="180" fontId="14" fillId="0" borderId="4" xfId="0" applyFont="1" applyBorder="1" applyAlignment="1">
      <alignment vertical="center"/>
    </xf>
    <xf numFmtId="180" fontId="14" fillId="0" borderId="5" xfId="0" applyFont="1" applyBorder="1" applyAlignment="1">
      <alignment vertical="center"/>
    </xf>
    <xf numFmtId="179" fontId="0" fillId="0" borderId="0" xfId="0" applyNumberFormat="1" applyBorder="1">
      <alignment vertical="center"/>
    </xf>
    <xf numFmtId="38" fontId="0" fillId="0" borderId="14" xfId="2" applyFont="1" applyFill="1" applyBorder="1" applyAlignment="1">
      <alignment horizontal="center" vertical="center"/>
    </xf>
    <xf numFmtId="38" fontId="0" fillId="0" borderId="65" xfId="2" applyFont="1" applyFill="1" applyBorder="1" applyAlignment="1">
      <alignment horizontal="center" vertical="center"/>
    </xf>
    <xf numFmtId="38" fontId="0" fillId="0" borderId="26" xfId="2" applyFont="1" applyFill="1" applyBorder="1" applyAlignment="1">
      <alignment horizontal="center" vertical="center"/>
    </xf>
    <xf numFmtId="38" fontId="0" fillId="0" borderId="17" xfId="2" applyFont="1" applyFill="1" applyBorder="1" applyAlignment="1">
      <alignment horizontal="center" vertical="center"/>
    </xf>
    <xf numFmtId="38" fontId="0" fillId="0" borderId="68" xfId="2" applyFont="1" applyFill="1" applyBorder="1" applyAlignment="1">
      <alignment horizontal="center" vertical="center"/>
    </xf>
    <xf numFmtId="38" fontId="0" fillId="0" borderId="70" xfId="2" applyFont="1" applyFill="1" applyBorder="1" applyAlignment="1">
      <alignment horizontal="center" vertical="center"/>
    </xf>
    <xf numFmtId="186" fontId="3" fillId="0" borderId="3" xfId="0" applyNumberFormat="1" applyFont="1" applyFill="1" applyBorder="1" applyAlignment="1">
      <alignment horizontal="centerContinuous" vertical="center"/>
    </xf>
    <xf numFmtId="185" fontId="0" fillId="0" borderId="5" xfId="0" applyNumberFormat="1" applyFill="1" applyBorder="1" applyAlignment="1">
      <alignment horizontal="centerContinuous" vertical="center"/>
    </xf>
    <xf numFmtId="40" fontId="3" fillId="0" borderId="179" xfId="0" applyNumberFormat="1" applyFont="1" applyFill="1" applyBorder="1" applyAlignment="1">
      <alignment horizontal="centerContinuous" vertical="center"/>
    </xf>
    <xf numFmtId="40" fontId="3" fillId="9" borderId="179" xfId="0" applyNumberFormat="1" applyFont="1" applyFill="1" applyBorder="1" applyAlignment="1">
      <alignment horizontal="centerContinuous" vertical="center"/>
    </xf>
    <xf numFmtId="191" fontId="3" fillId="9" borderId="3" xfId="0" applyNumberFormat="1" applyFont="1" applyFill="1" applyBorder="1" applyAlignment="1">
      <alignment horizontal="centerContinuous" vertical="center"/>
    </xf>
    <xf numFmtId="40" fontId="3" fillId="0" borderId="6" xfId="2" applyNumberFormat="1" applyFont="1" applyFill="1" applyBorder="1" applyAlignment="1">
      <alignment horizontal="centerContinuous" vertical="center"/>
    </xf>
    <xf numFmtId="40" fontId="0" fillId="0" borderId="6" xfId="2" applyNumberFormat="1" applyFont="1" applyFill="1" applyBorder="1" applyAlignment="1">
      <alignment horizontal="centerContinuous" vertical="center"/>
    </xf>
    <xf numFmtId="180" fontId="14" fillId="0" borderId="1" xfId="0" applyFont="1" applyBorder="1" applyAlignment="1">
      <alignment horizontal="center" vertical="center" shrinkToFit="1"/>
    </xf>
    <xf numFmtId="216" fontId="0" fillId="9" borderId="20" xfId="0" applyNumberFormat="1" applyFont="1" applyFill="1" applyBorder="1" applyAlignment="1">
      <alignment horizontal="center" vertical="center"/>
    </xf>
    <xf numFmtId="191" fontId="14" fillId="9" borderId="82" xfId="0" applyNumberFormat="1" applyFont="1" applyFill="1" applyBorder="1" applyAlignment="1">
      <alignment horizontal="center" vertical="center" shrinkToFit="1"/>
    </xf>
    <xf numFmtId="180" fontId="14" fillId="0" borderId="0" xfId="8" applyNumberFormat="1" applyFont="1" applyBorder="1" applyAlignment="1">
      <alignment horizontal="left" vertical="center"/>
    </xf>
    <xf numFmtId="38" fontId="14" fillId="0" borderId="27" xfId="2" applyFont="1" applyFill="1" applyBorder="1" applyAlignment="1">
      <alignment vertical="center" shrinkToFit="1"/>
    </xf>
    <xf numFmtId="180" fontId="14" fillId="0" borderId="48" xfId="0" applyFont="1" applyFill="1" applyBorder="1" applyAlignment="1">
      <alignment vertical="center"/>
    </xf>
    <xf numFmtId="38" fontId="14" fillId="0" borderId="27" xfId="2" applyFont="1" applyBorder="1" applyAlignment="1">
      <alignment vertical="center"/>
    </xf>
    <xf numFmtId="180" fontId="0" fillId="0" borderId="0" xfId="0">
      <alignment vertical="center"/>
    </xf>
    <xf numFmtId="197" fontId="14" fillId="0" borderId="20" xfId="0" applyNumberFormat="1" applyFont="1" applyFill="1" applyBorder="1">
      <alignment vertical="center"/>
    </xf>
    <xf numFmtId="217" fontId="14" fillId="0" borderId="82" xfId="0" applyNumberFormat="1" applyFont="1" applyBorder="1" applyAlignment="1">
      <alignment horizontal="center" vertical="center" shrinkToFit="1"/>
    </xf>
    <xf numFmtId="224" fontId="3" fillId="0" borderId="67" xfId="3" applyNumberFormat="1" applyFont="1" applyFill="1" applyBorder="1" applyAlignment="1">
      <alignment horizontal="center" vertical="center" shrinkToFit="1"/>
    </xf>
    <xf numFmtId="225" fontId="14" fillId="0" borderId="5" xfId="0" applyNumberFormat="1" applyFont="1" applyFill="1" applyBorder="1">
      <alignment vertical="center"/>
    </xf>
    <xf numFmtId="225" fontId="14" fillId="0" borderId="80" xfId="0" applyNumberFormat="1" applyFont="1" applyBorder="1" applyAlignment="1">
      <alignment horizontal="center" vertical="center" shrinkToFit="1"/>
    </xf>
    <xf numFmtId="225" fontId="14" fillId="0" borderId="68" xfId="0" applyNumberFormat="1" applyFont="1" applyBorder="1" applyAlignment="1">
      <alignment horizontal="center" vertical="center" shrinkToFit="1"/>
    </xf>
    <xf numFmtId="225" fontId="14" fillId="0" borderId="67" xfId="0" applyNumberFormat="1" applyFont="1" applyBorder="1" applyAlignment="1">
      <alignment horizontal="center" vertical="center" shrinkToFit="1"/>
    </xf>
    <xf numFmtId="225" fontId="14" fillId="0" borderId="33" xfId="0" applyNumberFormat="1" applyFont="1" applyBorder="1" applyAlignment="1">
      <alignment horizontal="center" vertical="center" shrinkToFit="1"/>
    </xf>
    <xf numFmtId="225" fontId="14" fillId="0" borderId="52" xfId="0" applyNumberFormat="1" applyFont="1" applyBorder="1" applyAlignment="1">
      <alignment horizontal="center" vertical="center" shrinkToFit="1"/>
    </xf>
    <xf numFmtId="180" fontId="0" fillId="0" borderId="0" xfId="0">
      <alignment vertical="center"/>
    </xf>
    <xf numFmtId="0" fontId="34" fillId="0" borderId="0" xfId="4" applyNumberFormat="1" applyFont="1" applyFill="1" applyAlignment="1">
      <alignment vertical="top" wrapText="1"/>
    </xf>
    <xf numFmtId="0" fontId="26" fillId="0" borderId="0" xfId="4" applyFont="1" applyAlignment="1">
      <alignment vertical="center"/>
    </xf>
    <xf numFmtId="0" fontId="26" fillId="0" borderId="0" xfId="4" applyFont="1" applyAlignment="1">
      <alignment vertical="center" wrapText="1"/>
    </xf>
    <xf numFmtId="0" fontId="26" fillId="0" borderId="80" xfId="4" applyFont="1" applyFill="1" applyBorder="1" applyAlignment="1">
      <alignment vertical="center" shrinkToFit="1"/>
    </xf>
    <xf numFmtId="0" fontId="14" fillId="0" borderId="192" xfId="7" applyFont="1" applyFill="1" applyBorder="1" applyAlignment="1">
      <alignment vertical="center" shrinkToFit="1"/>
    </xf>
    <xf numFmtId="0" fontId="14" fillId="0" borderId="193" xfId="7" applyFont="1" applyFill="1" applyBorder="1" applyAlignment="1">
      <alignment vertical="center" shrinkToFit="1"/>
    </xf>
    <xf numFmtId="0" fontId="14" fillId="0" borderId="194" xfId="7" applyFont="1" applyFill="1" applyBorder="1" applyAlignment="1">
      <alignment vertical="center" shrinkToFit="1"/>
    </xf>
    <xf numFmtId="0" fontId="14" fillId="0" borderId="195" xfId="7" applyFont="1" applyFill="1" applyBorder="1" applyAlignment="1">
      <alignment vertical="center" shrinkToFit="1"/>
    </xf>
    <xf numFmtId="0" fontId="3" fillId="3" borderId="191" xfId="7" applyFont="1" applyFill="1" applyBorder="1" applyAlignment="1">
      <alignment horizontal="center" vertical="center"/>
    </xf>
    <xf numFmtId="40" fontId="14" fillId="6" borderId="192" xfId="0" applyNumberFormat="1" applyFont="1" applyFill="1" applyBorder="1" applyAlignment="1">
      <alignment vertical="center" shrinkToFit="1"/>
    </xf>
    <xf numFmtId="40" fontId="14" fillId="6" borderId="193" xfId="0" applyNumberFormat="1" applyFont="1" applyFill="1" applyBorder="1" applyAlignment="1">
      <alignment vertical="center" shrinkToFit="1"/>
    </xf>
    <xf numFmtId="40" fontId="14" fillId="6" borderId="194" xfId="0" applyNumberFormat="1" applyFont="1" applyFill="1" applyBorder="1" applyAlignment="1">
      <alignment vertical="center" shrinkToFit="1"/>
    </xf>
    <xf numFmtId="40" fontId="3" fillId="3" borderId="197" xfId="0" applyNumberFormat="1" applyFont="1" applyFill="1" applyBorder="1" applyAlignment="1">
      <alignment horizontal="center" vertical="center"/>
    </xf>
    <xf numFmtId="40" fontId="3" fillId="0" borderId="93" xfId="0" applyNumberFormat="1" applyFont="1" applyFill="1" applyBorder="1">
      <alignment vertical="center"/>
    </xf>
    <xf numFmtId="180" fontId="14" fillId="0" borderId="13" xfId="0" applyFont="1" applyBorder="1" applyAlignment="1">
      <alignment vertical="center"/>
    </xf>
    <xf numFmtId="180" fontId="14" fillId="0" borderId="15" xfId="0" applyFont="1" applyBorder="1" applyAlignment="1">
      <alignment vertical="center"/>
    </xf>
    <xf numFmtId="180" fontId="14" fillId="0" borderId="14" xfId="0" applyFont="1" applyBorder="1" applyAlignment="1">
      <alignment vertical="center"/>
    </xf>
    <xf numFmtId="38" fontId="14" fillId="0" borderId="27" xfId="2" applyFont="1" applyFill="1" applyBorder="1" applyAlignment="1">
      <alignment vertical="center" shrinkToFit="1"/>
    </xf>
    <xf numFmtId="38" fontId="14" fillId="0" borderId="28" xfId="2" applyFont="1" applyFill="1" applyBorder="1" applyAlignment="1">
      <alignment vertical="center" shrinkToFit="1"/>
    </xf>
    <xf numFmtId="180" fontId="14" fillId="0" borderId="48" xfId="0" applyFont="1" applyFill="1" applyBorder="1" applyAlignment="1">
      <alignment vertical="center"/>
    </xf>
    <xf numFmtId="180" fontId="14" fillId="0" borderId="26" xfId="0" applyFont="1" applyFill="1" applyBorder="1" applyAlignment="1">
      <alignment vertical="center"/>
    </xf>
    <xf numFmtId="180" fontId="14" fillId="0" borderId="27" xfId="0" applyFont="1" applyFill="1" applyBorder="1" applyAlignment="1">
      <alignment vertical="center"/>
    </xf>
    <xf numFmtId="180" fontId="14" fillId="0" borderId="28" xfId="0" applyFont="1" applyFill="1" applyBorder="1" applyAlignment="1">
      <alignment vertical="center"/>
    </xf>
    <xf numFmtId="180" fontId="14" fillId="0" borderId="26" xfId="0" applyFont="1" applyBorder="1" applyAlignment="1">
      <alignment vertical="center"/>
    </xf>
    <xf numFmtId="180" fontId="14" fillId="0" borderId="27" xfId="0" applyFont="1" applyBorder="1" applyAlignment="1">
      <alignment vertical="center"/>
    </xf>
    <xf numFmtId="180" fontId="14" fillId="0" borderId="28" xfId="0" applyFont="1" applyBorder="1" applyAlignment="1">
      <alignment vertical="center"/>
    </xf>
    <xf numFmtId="180" fontId="0" fillId="0" borderId="0" xfId="0">
      <alignment vertical="center"/>
    </xf>
    <xf numFmtId="38" fontId="43" fillId="0" borderId="27" xfId="2" applyFont="1" applyBorder="1" applyAlignment="1">
      <alignment vertical="center"/>
    </xf>
    <xf numFmtId="38" fontId="14" fillId="0" borderId="27" xfId="2" applyFont="1" applyBorder="1" applyAlignment="1">
      <alignment vertical="center"/>
    </xf>
    <xf numFmtId="180" fontId="0" fillId="0" borderId="0" xfId="0">
      <alignment vertical="center"/>
    </xf>
    <xf numFmtId="40" fontId="14" fillId="0" borderId="0" xfId="0" applyNumberFormat="1" applyFont="1" applyFill="1" applyBorder="1">
      <alignment vertical="center"/>
    </xf>
    <xf numFmtId="180" fontId="5" fillId="0" borderId="181" xfId="0" applyFont="1" applyBorder="1" applyAlignment="1">
      <alignment horizontal="center" vertical="center"/>
    </xf>
    <xf numFmtId="180" fontId="5" fillId="0" borderId="190" xfId="0" applyFont="1" applyBorder="1">
      <alignment vertical="center"/>
    </xf>
    <xf numFmtId="180" fontId="3" fillId="0" borderId="182" xfId="3" applyNumberFormat="1" applyFont="1" applyFill="1" applyBorder="1" applyAlignment="1">
      <alignment vertical="center"/>
    </xf>
    <xf numFmtId="180" fontId="3" fillId="0" borderId="198" xfId="3" applyNumberFormat="1" applyFont="1" applyFill="1" applyBorder="1" applyAlignment="1">
      <alignment vertical="center"/>
    </xf>
    <xf numFmtId="0" fontId="3" fillId="0" borderId="198" xfId="3" applyFont="1" applyFill="1" applyBorder="1" applyAlignment="1">
      <alignment vertical="center"/>
    </xf>
    <xf numFmtId="178" fontId="3" fillId="0" borderId="184" xfId="3" applyNumberFormat="1" applyFont="1" applyFill="1" applyBorder="1" applyAlignment="1">
      <alignment horizontal="center" vertical="center" shrinkToFit="1"/>
    </xf>
    <xf numFmtId="178" fontId="3" fillId="0" borderId="199" xfId="3" applyNumberFormat="1" applyFont="1" applyFill="1" applyBorder="1" applyAlignment="1">
      <alignment horizontal="center" vertical="center" shrinkToFit="1"/>
    </xf>
    <xf numFmtId="180" fontId="0" fillId="3" borderId="189" xfId="0" applyFill="1" applyBorder="1" applyAlignment="1">
      <alignment horizontal="centerContinuous" vertical="center"/>
    </xf>
    <xf numFmtId="180" fontId="0" fillId="3" borderId="188" xfId="0" applyFill="1" applyBorder="1" applyAlignment="1">
      <alignment horizontal="centerContinuous" vertical="center"/>
    </xf>
    <xf numFmtId="180" fontId="0" fillId="3" borderId="190" xfId="0" applyFill="1" applyBorder="1" applyAlignment="1">
      <alignment horizontal="centerContinuous" vertical="center"/>
    </xf>
    <xf numFmtId="40" fontId="0" fillId="3" borderId="188" xfId="0" applyNumberFormat="1" applyFont="1" applyFill="1" applyBorder="1" applyAlignment="1">
      <alignment vertical="center"/>
    </xf>
    <xf numFmtId="40" fontId="0" fillId="3" borderId="189" xfId="0" applyNumberFormat="1" applyFill="1" applyBorder="1" applyAlignment="1">
      <alignment vertical="center"/>
    </xf>
    <xf numFmtId="180" fontId="0" fillId="3" borderId="190" xfId="0" applyFill="1" applyBorder="1" applyAlignment="1">
      <alignment vertical="center"/>
    </xf>
    <xf numFmtId="40" fontId="0" fillId="3" borderId="198" xfId="0" applyNumberFormat="1" applyFill="1" applyBorder="1" applyAlignment="1">
      <alignment horizontal="centerContinuous" vertical="center"/>
    </xf>
    <xf numFmtId="40" fontId="0" fillId="3" borderId="183" xfId="0" applyNumberFormat="1" applyFill="1" applyBorder="1" applyAlignment="1">
      <alignment horizontal="centerContinuous" vertical="center"/>
    </xf>
    <xf numFmtId="40" fontId="3" fillId="3" borderId="188" xfId="0" applyNumberFormat="1" applyFont="1" applyFill="1" applyBorder="1" applyAlignment="1">
      <alignment horizontal="centerContinuous" vertical="center"/>
    </xf>
    <xf numFmtId="40" fontId="0" fillId="3" borderId="189" xfId="0" applyNumberFormat="1" applyFill="1" applyBorder="1" applyAlignment="1">
      <alignment horizontal="centerContinuous" vertical="center"/>
    </xf>
    <xf numFmtId="40" fontId="0" fillId="3" borderId="190" xfId="0" applyNumberFormat="1" applyFill="1" applyBorder="1" applyAlignment="1">
      <alignment horizontal="centerContinuous" vertical="center"/>
    </xf>
    <xf numFmtId="180" fontId="0" fillId="3" borderId="181" xfId="0" applyFill="1" applyBorder="1" applyAlignment="1">
      <alignment horizontal="centerContinuous" vertical="center"/>
    </xf>
    <xf numFmtId="180" fontId="3" fillId="3" borderId="198" xfId="0" applyFont="1" applyFill="1" applyBorder="1" applyAlignment="1">
      <alignment horizontal="centerContinuous" vertical="center" shrinkToFit="1"/>
    </xf>
    <xf numFmtId="180" fontId="3" fillId="3" borderId="200" xfId="0" applyFont="1" applyFill="1" applyBorder="1" applyAlignment="1">
      <alignment horizontal="centerContinuous" vertical="center" shrinkToFit="1"/>
    </xf>
    <xf numFmtId="180" fontId="3" fillId="3" borderId="183" xfId="0" applyFont="1" applyFill="1" applyBorder="1" applyAlignment="1">
      <alignment horizontal="centerContinuous" vertical="center" shrinkToFit="1"/>
    </xf>
    <xf numFmtId="0" fontId="14" fillId="0" borderId="182" xfId="0" applyNumberFormat="1" applyFont="1" applyFill="1" applyBorder="1" applyAlignment="1">
      <alignment vertical="center"/>
    </xf>
    <xf numFmtId="0" fontId="14" fillId="0" borderId="198" xfId="0" applyNumberFormat="1" applyFont="1" applyFill="1" applyBorder="1" applyAlignment="1">
      <alignment vertical="center"/>
    </xf>
    <xf numFmtId="0" fontId="14" fillId="0" borderId="183" xfId="0" applyNumberFormat="1" applyFont="1" applyFill="1" applyBorder="1" applyAlignment="1">
      <alignment vertical="center"/>
    </xf>
    <xf numFmtId="0" fontId="14" fillId="0" borderId="184" xfId="0" applyNumberFormat="1" applyFont="1" applyFill="1" applyBorder="1" applyAlignment="1">
      <alignment vertical="center"/>
    </xf>
    <xf numFmtId="0" fontId="14" fillId="0" borderId="199" xfId="0" applyNumberFormat="1" applyFont="1" applyFill="1" applyBorder="1" applyAlignment="1">
      <alignment vertical="center"/>
    </xf>
    <xf numFmtId="0" fontId="14" fillId="0" borderId="185" xfId="0" applyNumberFormat="1" applyFont="1" applyFill="1" applyBorder="1" applyAlignment="1">
      <alignment vertical="center"/>
    </xf>
    <xf numFmtId="40" fontId="3" fillId="0" borderId="198" xfId="0" applyNumberFormat="1" applyFont="1" applyFill="1" applyBorder="1" applyAlignment="1">
      <alignment horizontal="centerContinuous" vertical="center" shrinkToFit="1"/>
    </xf>
    <xf numFmtId="40" fontId="0" fillId="0" borderId="198" xfId="0" applyNumberFormat="1" applyFill="1" applyBorder="1" applyAlignment="1">
      <alignment horizontal="centerContinuous" vertical="center" shrinkToFit="1"/>
    </xf>
    <xf numFmtId="180" fontId="0" fillId="0" borderId="198" xfId="0" applyFill="1" applyBorder="1" applyAlignment="1">
      <alignment horizontal="centerContinuous" vertical="center" shrinkToFit="1"/>
    </xf>
    <xf numFmtId="40" fontId="0" fillId="0" borderId="183" xfId="0" applyNumberFormat="1" applyFill="1" applyBorder="1" applyAlignment="1">
      <alignment horizontal="centerContinuous" vertical="center" shrinkToFit="1"/>
    </xf>
    <xf numFmtId="180" fontId="0" fillId="0" borderId="199" xfId="0" applyBorder="1">
      <alignment vertical="center"/>
    </xf>
    <xf numFmtId="180" fontId="0" fillId="0" borderId="185" xfId="0" applyBorder="1">
      <alignment vertical="center"/>
    </xf>
    <xf numFmtId="180" fontId="0" fillId="3" borderId="182" xfId="0" applyFont="1" applyFill="1" applyBorder="1" applyAlignment="1">
      <alignment horizontal="centerContinuous" vertical="center" shrinkToFit="1"/>
    </xf>
    <xf numFmtId="40" fontId="0" fillId="3" borderId="182" xfId="0" applyNumberFormat="1" applyFont="1" applyFill="1" applyBorder="1" applyAlignment="1">
      <alignment horizontal="centerContinuous" vertical="center"/>
    </xf>
    <xf numFmtId="40" fontId="0" fillId="3" borderId="188" xfId="0" applyNumberFormat="1" applyFont="1" applyFill="1" applyBorder="1" applyAlignment="1">
      <alignment horizontal="centerContinuous" vertical="center"/>
    </xf>
    <xf numFmtId="40" fontId="3" fillId="0" borderId="0" xfId="0" applyNumberFormat="1" applyFont="1" applyFill="1" applyBorder="1" applyAlignment="1">
      <alignment horizontal="centerContinuous" vertical="center" shrinkToFit="1"/>
    </xf>
    <xf numFmtId="180" fontId="0" fillId="0" borderId="0" xfId="0" applyFill="1" applyBorder="1" applyAlignment="1">
      <alignment horizontal="centerContinuous" vertical="center" shrinkToFit="1"/>
    </xf>
    <xf numFmtId="180" fontId="0" fillId="0" borderId="0" xfId="0" applyFill="1" applyBorder="1" applyAlignment="1">
      <alignment horizontal="centerContinuous" vertical="center"/>
    </xf>
    <xf numFmtId="40" fontId="34" fillId="0" borderId="0" xfId="0" applyNumberFormat="1" applyFont="1" applyFill="1" applyBorder="1" applyAlignment="1">
      <alignment horizontal="centerContinuous" vertical="center"/>
    </xf>
    <xf numFmtId="180" fontId="14" fillId="0" borderId="26" xfId="0" applyFont="1" applyBorder="1" applyAlignment="1">
      <alignment vertical="center"/>
    </xf>
    <xf numFmtId="180" fontId="14" fillId="0" borderId="27" xfId="0" applyFont="1" applyBorder="1" applyAlignment="1">
      <alignment vertical="center"/>
    </xf>
    <xf numFmtId="180" fontId="14" fillId="0" borderId="28" xfId="0" applyFont="1" applyBorder="1" applyAlignment="1">
      <alignment vertical="center"/>
    </xf>
    <xf numFmtId="180" fontId="14" fillId="0" borderId="14" xfId="0" applyFont="1" applyBorder="1" applyAlignment="1">
      <alignment vertical="center"/>
    </xf>
    <xf numFmtId="180" fontId="14" fillId="0" borderId="13" xfId="0" applyFont="1" applyBorder="1" applyAlignment="1">
      <alignment vertical="center"/>
    </xf>
    <xf numFmtId="180" fontId="14" fillId="0" borderId="15" xfId="0" applyFont="1" applyBorder="1" applyAlignment="1">
      <alignment vertical="center"/>
    </xf>
    <xf numFmtId="180" fontId="14" fillId="0" borderId="17" xfId="0" applyFont="1" applyBorder="1" applyAlignment="1">
      <alignment vertical="center"/>
    </xf>
    <xf numFmtId="180" fontId="14" fillId="0" borderId="16" xfId="0" applyFont="1" applyBorder="1" applyAlignment="1">
      <alignment vertical="center"/>
    </xf>
    <xf numFmtId="180" fontId="14" fillId="0" borderId="23" xfId="0" applyFont="1" applyBorder="1" applyAlignment="1">
      <alignment vertical="center"/>
    </xf>
    <xf numFmtId="180" fontId="0" fillId="0" borderId="0" xfId="0">
      <alignment vertical="center"/>
    </xf>
    <xf numFmtId="180" fontId="24" fillId="3" borderId="181" xfId="0" applyFont="1" applyFill="1" applyBorder="1" applyAlignment="1">
      <alignment horizontal="center" vertical="center"/>
    </xf>
    <xf numFmtId="180" fontId="0" fillId="3" borderId="181" xfId="0" applyFill="1" applyBorder="1">
      <alignment vertical="center"/>
    </xf>
    <xf numFmtId="0" fontId="5" fillId="0" borderId="181" xfId="11" applyBorder="1">
      <alignment vertical="center"/>
    </xf>
    <xf numFmtId="180" fontId="14" fillId="0" borderId="22" xfId="0" applyFont="1" applyFill="1" applyBorder="1" applyAlignment="1">
      <alignment horizontal="centerContinuous" vertical="center"/>
    </xf>
    <xf numFmtId="180" fontId="14" fillId="0" borderId="155" xfId="0" applyFont="1" applyFill="1" applyBorder="1" applyAlignment="1">
      <alignment horizontal="centerContinuous" vertical="center"/>
    </xf>
    <xf numFmtId="180" fontId="14" fillId="0" borderId="0" xfId="0" applyFont="1" applyFill="1" applyBorder="1" applyAlignment="1">
      <alignment horizontal="centerContinuous" vertical="center"/>
    </xf>
    <xf numFmtId="180" fontId="14" fillId="0" borderId="174" xfId="0" applyFont="1" applyFill="1" applyBorder="1" applyAlignment="1">
      <alignment horizontal="centerContinuous" vertical="center"/>
    </xf>
    <xf numFmtId="180" fontId="14" fillId="0" borderId="182" xfId="0" applyFont="1" applyFill="1" applyBorder="1" applyAlignment="1">
      <alignment horizontal="centerContinuous" vertical="center"/>
    </xf>
    <xf numFmtId="180" fontId="14" fillId="0" borderId="202" xfId="0" applyFont="1" applyFill="1" applyBorder="1" applyAlignment="1">
      <alignment horizontal="centerContinuous" vertical="center"/>
    </xf>
    <xf numFmtId="180" fontId="14" fillId="0" borderId="198" xfId="0" applyFont="1" applyFill="1" applyBorder="1" applyAlignment="1">
      <alignment horizontal="centerContinuous" vertical="center"/>
    </xf>
    <xf numFmtId="180" fontId="14" fillId="0" borderId="183" xfId="0" applyFont="1" applyFill="1" applyBorder="1" applyAlignment="1">
      <alignment horizontal="centerContinuous" vertical="center"/>
    </xf>
    <xf numFmtId="180" fontId="14" fillId="0" borderId="184" xfId="0" applyFont="1" applyFill="1" applyBorder="1" applyAlignment="1">
      <alignment horizontal="centerContinuous" vertical="center"/>
    </xf>
    <xf numFmtId="180" fontId="14" fillId="0" borderId="203" xfId="0" applyFont="1" applyFill="1" applyBorder="1" applyAlignment="1">
      <alignment horizontal="centerContinuous" vertical="center"/>
    </xf>
    <xf numFmtId="180" fontId="14" fillId="0" borderId="199" xfId="0" applyFont="1" applyFill="1" applyBorder="1" applyAlignment="1">
      <alignment horizontal="centerContinuous" vertical="center"/>
    </xf>
    <xf numFmtId="180" fontId="14" fillId="0" borderId="185" xfId="0" applyFont="1" applyFill="1" applyBorder="1" applyAlignment="1">
      <alignment horizontal="centerContinuous" vertical="center"/>
    </xf>
    <xf numFmtId="38" fontId="5" fillId="0" borderId="181" xfId="9" applyFont="1" applyBorder="1">
      <alignment vertical="center"/>
    </xf>
    <xf numFmtId="180" fontId="5" fillId="0" borderId="190" xfId="0" applyFont="1" applyBorder="1" applyAlignment="1">
      <alignment horizontal="center" vertical="center"/>
    </xf>
    <xf numFmtId="180" fontId="12" fillId="0" borderId="181" xfId="0" applyFont="1" applyBorder="1">
      <alignment vertical="center"/>
    </xf>
    <xf numFmtId="180" fontId="0" fillId="0" borderId="181" xfId="0" applyFont="1" applyBorder="1" applyAlignment="1">
      <alignment vertical="center" wrapText="1"/>
    </xf>
    <xf numFmtId="180" fontId="5" fillId="0" borderId="188" xfId="0" applyFont="1" applyBorder="1" applyAlignment="1">
      <alignment vertical="center"/>
    </xf>
    <xf numFmtId="180" fontId="0" fillId="0" borderId="0" xfId="0">
      <alignment vertical="center"/>
    </xf>
    <xf numFmtId="40" fontId="0" fillId="0" borderId="51" xfId="0" applyNumberFormat="1" applyFill="1" applyBorder="1" applyAlignment="1">
      <alignment horizontal="center" vertical="center"/>
    </xf>
    <xf numFmtId="40" fontId="0" fillId="0" borderId="52" xfId="0" applyNumberFormat="1" applyFill="1" applyBorder="1" applyAlignment="1">
      <alignment horizontal="center" vertical="center"/>
    </xf>
    <xf numFmtId="40" fontId="0" fillId="0" borderId="30" xfId="0" applyNumberFormat="1" applyFill="1" applyBorder="1" applyAlignment="1">
      <alignment horizontal="center" vertical="center"/>
    </xf>
    <xf numFmtId="40" fontId="0" fillId="0" borderId="116" xfId="0" applyNumberFormat="1" applyFill="1" applyBorder="1" applyAlignment="1">
      <alignment horizontal="center" vertical="center"/>
    </xf>
    <xf numFmtId="40" fontId="0" fillId="0" borderId="118" xfId="0" applyNumberFormat="1" applyFill="1" applyBorder="1" applyAlignment="1">
      <alignment horizontal="center" vertical="center"/>
    </xf>
    <xf numFmtId="180" fontId="0" fillId="0" borderId="0" xfId="0">
      <alignment vertical="center"/>
    </xf>
    <xf numFmtId="198" fontId="3" fillId="0" borderId="4" xfId="0" applyNumberFormat="1" applyFont="1" applyFill="1" applyBorder="1" applyAlignment="1">
      <alignment horizontal="left" vertical="center"/>
    </xf>
    <xf numFmtId="0" fontId="3" fillId="0" borderId="3" xfId="0" applyNumberFormat="1" applyFont="1" applyBorder="1" applyAlignment="1">
      <alignment horizontal="right" vertical="center"/>
    </xf>
    <xf numFmtId="0" fontId="14" fillId="0" borderId="182" xfId="5" applyFont="1" applyFill="1" applyBorder="1">
      <alignment vertical="center"/>
    </xf>
    <xf numFmtId="0" fontId="14" fillId="0" borderId="198" xfId="5" applyFont="1" applyFill="1" applyBorder="1">
      <alignment vertical="center"/>
    </xf>
    <xf numFmtId="0" fontId="14" fillId="0" borderId="183" xfId="5" applyFont="1" applyFill="1" applyBorder="1">
      <alignment vertical="center"/>
    </xf>
    <xf numFmtId="0" fontId="3" fillId="0" borderId="184" xfId="0" applyNumberFormat="1" applyFont="1" applyBorder="1" applyAlignment="1">
      <alignment horizontal="right" vertical="center"/>
    </xf>
    <xf numFmtId="198" fontId="3" fillId="0" borderId="199" xfId="0" applyNumberFormat="1" applyFont="1" applyFill="1" applyBorder="1" applyAlignment="1">
      <alignment horizontal="left" vertical="center"/>
    </xf>
    <xf numFmtId="198" fontId="0" fillId="0" borderId="4" xfId="0" applyNumberFormat="1" applyFont="1" applyFill="1" applyBorder="1" applyAlignment="1">
      <alignment horizontal="left" vertical="center"/>
    </xf>
    <xf numFmtId="180" fontId="12" fillId="3" borderId="204" xfId="0" applyFont="1" applyFill="1" applyBorder="1" applyAlignment="1">
      <alignment horizontal="center" vertical="center"/>
    </xf>
    <xf numFmtId="180" fontId="12" fillId="3" borderId="112" xfId="0" applyFont="1" applyFill="1" applyBorder="1" applyAlignment="1">
      <alignment horizontal="center" vertical="center"/>
    </xf>
    <xf numFmtId="180" fontId="12" fillId="3" borderId="178" xfId="0" applyFont="1" applyFill="1" applyBorder="1" applyAlignment="1">
      <alignment horizontal="center" vertical="center"/>
    </xf>
    <xf numFmtId="180" fontId="0" fillId="0" borderId="0" xfId="0">
      <alignment vertical="center"/>
    </xf>
    <xf numFmtId="180" fontId="14" fillId="0" borderId="27" xfId="0" applyFont="1" applyBorder="1">
      <alignment vertical="center"/>
    </xf>
    <xf numFmtId="180" fontId="14" fillId="0" borderId="16" xfId="0" applyFont="1" applyBorder="1">
      <alignment vertical="center"/>
    </xf>
    <xf numFmtId="180" fontId="14" fillId="0" borderId="13" xfId="0" applyFont="1" applyBorder="1">
      <alignment vertical="center"/>
    </xf>
    <xf numFmtId="40" fontId="14" fillId="4" borderId="16" xfId="0" applyNumberFormat="1" applyFont="1" applyFill="1" applyBorder="1">
      <alignment vertical="center"/>
    </xf>
    <xf numFmtId="40" fontId="14" fillId="0" borderId="0" xfId="0" applyNumberFormat="1" applyFont="1" applyFill="1" applyBorder="1">
      <alignment vertical="center"/>
    </xf>
    <xf numFmtId="180" fontId="14" fillId="6" borderId="26" xfId="0" applyFont="1" applyFill="1" applyBorder="1">
      <alignment vertical="center"/>
    </xf>
    <xf numFmtId="180" fontId="14" fillId="6" borderId="17" xfId="0" applyFont="1" applyFill="1" applyBorder="1">
      <alignment vertical="center"/>
    </xf>
    <xf numFmtId="180" fontId="14" fillId="6" borderId="14" xfId="0" applyFont="1" applyFill="1" applyBorder="1">
      <alignment vertical="center"/>
    </xf>
    <xf numFmtId="40" fontId="14" fillId="4" borderId="27" xfId="0" applyNumberFormat="1" applyFont="1" applyFill="1" applyBorder="1">
      <alignment vertical="center"/>
    </xf>
    <xf numFmtId="0" fontId="13" fillId="3" borderId="181" xfId="7" applyFont="1" applyFill="1" applyBorder="1" applyAlignment="1">
      <alignment horizontal="center" vertical="center"/>
    </xf>
    <xf numFmtId="40" fontId="14" fillId="0" borderId="189" xfId="0" applyNumberFormat="1" applyFont="1" applyBorder="1">
      <alignment vertical="center"/>
    </xf>
    <xf numFmtId="40" fontId="14" fillId="4" borderId="13" xfId="0" applyNumberFormat="1" applyFont="1" applyFill="1" applyBorder="1">
      <alignment vertical="center"/>
    </xf>
    <xf numFmtId="180" fontId="14" fillId="0" borderId="13" xfId="0" applyFont="1" applyBorder="1" applyAlignment="1">
      <alignment horizontal="center" vertical="center"/>
    </xf>
    <xf numFmtId="40" fontId="14" fillId="0" borderId="15" xfId="0" applyNumberFormat="1" applyFont="1" applyFill="1" applyBorder="1">
      <alignment vertical="center"/>
    </xf>
    <xf numFmtId="180" fontId="14" fillId="6" borderId="82" xfId="0" applyFont="1" applyFill="1" applyBorder="1">
      <alignment vertical="center"/>
    </xf>
    <xf numFmtId="180" fontId="14" fillId="6" borderId="80" xfId="0" applyFont="1" applyFill="1" applyBorder="1">
      <alignment vertical="center"/>
    </xf>
    <xf numFmtId="0" fontId="13" fillId="3" borderId="82" xfId="7" applyFont="1" applyFill="1" applyBorder="1" applyAlignment="1">
      <alignment horizontal="center" vertical="center"/>
    </xf>
    <xf numFmtId="0" fontId="13" fillId="3" borderId="83" xfId="7" applyFont="1" applyFill="1" applyBorder="1" applyAlignment="1">
      <alignment horizontal="center" vertical="center"/>
    </xf>
    <xf numFmtId="0" fontId="0" fillId="3" borderId="14" xfId="7" applyFont="1" applyFill="1" applyBorder="1" applyAlignment="1">
      <alignment horizontal="center" vertical="center"/>
    </xf>
    <xf numFmtId="0" fontId="0" fillId="3" borderId="17" xfId="7" applyFont="1" applyFill="1" applyBorder="1" applyAlignment="1">
      <alignment horizontal="center" vertical="center"/>
    </xf>
    <xf numFmtId="0" fontId="3" fillId="3" borderId="7" xfId="7" applyFont="1" applyFill="1" applyBorder="1" applyAlignment="1">
      <alignment horizontal="centerContinuous" vertical="center"/>
    </xf>
    <xf numFmtId="0" fontId="0" fillId="3" borderId="184" xfId="7" applyFont="1" applyFill="1" applyBorder="1" applyAlignment="1">
      <alignment horizontal="centerContinuous" vertical="center"/>
    </xf>
    <xf numFmtId="0" fontId="3" fillId="3" borderId="86" xfId="7" applyFont="1" applyFill="1" applyBorder="1" applyAlignment="1">
      <alignment horizontal="centerContinuous" vertical="center"/>
    </xf>
    <xf numFmtId="40" fontId="14" fillId="6" borderId="65" xfId="0" applyNumberFormat="1" applyFont="1" applyFill="1" applyBorder="1" applyAlignment="1">
      <alignment vertical="center" shrinkToFit="1"/>
    </xf>
    <xf numFmtId="40" fontId="14" fillId="6" borderId="206" xfId="0" applyNumberFormat="1" applyFont="1" applyFill="1" applyBorder="1" applyAlignment="1">
      <alignment vertical="center" shrinkToFit="1"/>
    </xf>
    <xf numFmtId="40" fontId="14" fillId="6" borderId="107" xfId="0" applyNumberFormat="1" applyFont="1" applyFill="1" applyBorder="1" applyAlignment="1">
      <alignment vertical="center" shrinkToFit="1"/>
    </xf>
    <xf numFmtId="40" fontId="14" fillId="6" borderId="207" xfId="0" applyNumberFormat="1" applyFont="1" applyFill="1" applyBorder="1" applyAlignment="1">
      <alignment vertical="center" shrinkToFit="1"/>
    </xf>
    <xf numFmtId="40" fontId="14" fillId="6" borderId="68" xfId="0" applyNumberFormat="1" applyFont="1" applyFill="1" applyBorder="1" applyAlignment="1">
      <alignment vertical="center" shrinkToFit="1"/>
    </xf>
    <xf numFmtId="40" fontId="14" fillId="6" borderId="208" xfId="0" applyNumberFormat="1" applyFont="1" applyFill="1" applyBorder="1" applyAlignment="1">
      <alignment vertical="center" shrinkToFit="1"/>
    </xf>
    <xf numFmtId="40" fontId="14" fillId="6" borderId="70" xfId="0" applyNumberFormat="1" applyFont="1" applyFill="1" applyBorder="1" applyAlignment="1">
      <alignment vertical="center" shrinkToFit="1"/>
    </xf>
    <xf numFmtId="40" fontId="14" fillId="6" borderId="209" xfId="0" applyNumberFormat="1" applyFont="1" applyFill="1" applyBorder="1" applyAlignment="1">
      <alignment vertical="center" shrinkToFit="1"/>
    </xf>
    <xf numFmtId="40" fontId="14" fillId="6" borderId="51" xfId="0" applyNumberFormat="1" applyFont="1" applyFill="1" applyBorder="1" applyAlignment="1">
      <alignment vertical="center" shrinkToFit="1"/>
    </xf>
    <xf numFmtId="40" fontId="14" fillId="6" borderId="108" xfId="0" applyNumberFormat="1" applyFont="1" applyFill="1" applyBorder="1" applyAlignment="1">
      <alignment vertical="center" shrinkToFit="1"/>
    </xf>
    <xf numFmtId="40" fontId="14" fillId="6" borderId="52" xfId="0" applyNumberFormat="1" applyFont="1" applyFill="1" applyBorder="1" applyAlignment="1">
      <alignment vertical="center" shrinkToFit="1"/>
    </xf>
    <xf numFmtId="40" fontId="14" fillId="6" borderId="71" xfId="0" applyNumberFormat="1" applyFont="1" applyFill="1" applyBorder="1" applyAlignment="1">
      <alignment vertical="center" shrinkToFit="1"/>
    </xf>
    <xf numFmtId="180" fontId="0" fillId="0" borderId="0" xfId="0">
      <alignment vertical="center"/>
    </xf>
    <xf numFmtId="0" fontId="45" fillId="0" borderId="0" xfId="8" applyAlignment="1">
      <alignment vertical="center" shrinkToFit="1"/>
    </xf>
    <xf numFmtId="0" fontId="45" fillId="0" borderId="20" xfId="8" applyBorder="1" applyAlignment="1">
      <alignment vertical="center" shrinkToFit="1"/>
    </xf>
    <xf numFmtId="0" fontId="45" fillId="0" borderId="82" xfId="8" applyBorder="1" applyAlignment="1">
      <alignment vertical="center" shrinkToFit="1"/>
    </xf>
    <xf numFmtId="0" fontId="45" fillId="0" borderId="80" xfId="8" applyBorder="1" applyAlignment="1">
      <alignment vertical="center" shrinkToFit="1"/>
    </xf>
    <xf numFmtId="0" fontId="45" fillId="0" borderId="83" xfId="8" applyBorder="1" applyAlignment="1">
      <alignment vertical="center" shrinkToFit="1"/>
    </xf>
    <xf numFmtId="0" fontId="51" fillId="0" borderId="20" xfId="8" applyFont="1" applyBorder="1" applyAlignment="1">
      <alignment vertical="center" wrapText="1" shrinkToFit="1"/>
    </xf>
    <xf numFmtId="180" fontId="0" fillId="0" borderId="182" xfId="0" applyBorder="1">
      <alignment vertical="center"/>
    </xf>
    <xf numFmtId="180" fontId="0" fillId="0" borderId="198" xfId="0" applyBorder="1">
      <alignment vertical="center"/>
    </xf>
    <xf numFmtId="180" fontId="0" fillId="0" borderId="183" xfId="0" applyBorder="1">
      <alignment vertical="center"/>
    </xf>
    <xf numFmtId="180" fontId="0" fillId="3" borderId="14" xfId="3" applyNumberFormat="1" applyFont="1" applyFill="1" applyBorder="1" applyAlignment="1">
      <alignment horizontal="centerContinuous" vertical="center"/>
    </xf>
    <xf numFmtId="180" fontId="0" fillId="3" borderId="30" xfId="3" applyNumberFormat="1" applyFont="1" applyFill="1" applyBorder="1" applyAlignment="1">
      <alignment horizontal="centerContinuous" vertical="center"/>
    </xf>
    <xf numFmtId="180" fontId="0" fillId="3" borderId="65" xfId="3" applyNumberFormat="1" applyFont="1" applyFill="1" applyBorder="1" applyAlignment="1">
      <alignment horizontal="centerContinuous" vertical="center"/>
    </xf>
    <xf numFmtId="180" fontId="0" fillId="0" borderId="0" xfId="0">
      <alignment vertical="center"/>
    </xf>
    <xf numFmtId="180" fontId="52" fillId="0" borderId="0" xfId="0" applyFont="1" applyBorder="1">
      <alignment vertical="center"/>
    </xf>
    <xf numFmtId="180" fontId="0" fillId="0" borderId="0" xfId="0">
      <alignment vertical="center"/>
    </xf>
    <xf numFmtId="38" fontId="14" fillId="0" borderId="27" xfId="2" applyFont="1" applyFill="1" applyBorder="1" applyAlignment="1">
      <alignment vertical="center" shrinkToFit="1"/>
    </xf>
    <xf numFmtId="180" fontId="14" fillId="0" borderId="48" xfId="0" applyFont="1" applyFill="1" applyBorder="1" applyAlignment="1">
      <alignment vertical="center"/>
    </xf>
    <xf numFmtId="38" fontId="14" fillId="0" borderId="28" xfId="2" applyFont="1" applyFill="1" applyBorder="1" applyAlignment="1">
      <alignment vertical="center" shrinkToFit="1"/>
    </xf>
    <xf numFmtId="180" fontId="0" fillId="0" borderId="0" xfId="0">
      <alignment vertical="center"/>
    </xf>
    <xf numFmtId="180" fontId="47" fillId="0" borderId="27" xfId="0" applyFont="1" applyBorder="1" applyAlignment="1">
      <alignment vertical="center"/>
    </xf>
    <xf numFmtId="180" fontId="47" fillId="0" borderId="28" xfId="0" applyFont="1" applyBorder="1" applyAlignment="1">
      <alignment vertical="center"/>
    </xf>
    <xf numFmtId="180" fontId="47" fillId="0" borderId="16" xfId="0" applyFont="1" applyBorder="1" applyAlignment="1">
      <alignment vertical="center"/>
    </xf>
    <xf numFmtId="180" fontId="47" fillId="0" borderId="23" xfId="0" applyFont="1" applyBorder="1" applyAlignment="1">
      <alignment vertical="center"/>
    </xf>
    <xf numFmtId="180" fontId="0" fillId="0" borderId="0" xfId="0">
      <alignment vertical="center"/>
    </xf>
    <xf numFmtId="180" fontId="9" fillId="3" borderId="87" xfId="0" applyFont="1" applyFill="1" applyBorder="1" applyAlignment="1">
      <alignment vertical="center" textRotation="255"/>
    </xf>
    <xf numFmtId="180" fontId="49" fillId="0" borderId="82" xfId="5" applyNumberFormat="1" applyFont="1" applyFill="1" applyBorder="1" applyAlignment="1" applyProtection="1">
      <alignment horizontal="center" vertical="center"/>
      <protection locked="0"/>
    </xf>
    <xf numFmtId="180" fontId="49" fillId="0" borderId="80" xfId="5" applyNumberFormat="1" applyFont="1" applyFill="1" applyBorder="1" applyAlignment="1" applyProtection="1">
      <alignment horizontal="center" vertical="center"/>
      <protection locked="0"/>
    </xf>
    <xf numFmtId="40" fontId="3" fillId="0" borderId="0" xfId="0" applyNumberFormat="1" applyFont="1" applyFill="1" applyBorder="1" applyAlignment="1">
      <alignment horizontal="center" vertical="center" shrinkToFit="1"/>
    </xf>
    <xf numFmtId="178" fontId="0" fillId="0" borderId="22" xfId="3" applyNumberFormat="1" applyFont="1" applyFill="1" applyBorder="1" applyAlignment="1">
      <alignment horizontal="center" vertical="center" shrinkToFit="1"/>
    </xf>
    <xf numFmtId="40" fontId="3" fillId="0" borderId="199" xfId="0" applyNumberFormat="1" applyFont="1" applyFill="1" applyBorder="1" applyAlignment="1">
      <alignment horizontal="center" vertical="center" shrinkToFit="1"/>
    </xf>
    <xf numFmtId="0" fontId="3" fillId="0" borderId="22" xfId="3" applyFont="1" applyFill="1" applyBorder="1" applyAlignment="1">
      <alignment horizontal="centerContinuous" vertical="center"/>
    </xf>
    <xf numFmtId="0" fontId="3" fillId="0" borderId="0" xfId="3" applyFont="1" applyFill="1" applyBorder="1" applyAlignment="1">
      <alignment horizontal="centerContinuous" vertical="center"/>
    </xf>
    <xf numFmtId="40" fontId="14" fillId="0" borderId="199" xfId="0" applyNumberFormat="1" applyFont="1" applyBorder="1" applyAlignment="1">
      <alignment horizontal="center" vertical="center" shrinkToFit="1"/>
    </xf>
    <xf numFmtId="180" fontId="14" fillId="0" borderId="198" xfId="0" applyFont="1" applyFill="1" applyBorder="1" applyAlignment="1">
      <alignment horizontal="center" vertical="center" shrinkToFit="1"/>
    </xf>
    <xf numFmtId="40" fontId="14" fillId="0" borderId="199" xfId="0" applyNumberFormat="1" applyFont="1" applyFill="1" applyBorder="1" applyAlignment="1">
      <alignment horizontal="center" vertical="center" shrinkToFit="1"/>
    </xf>
    <xf numFmtId="178" fontId="3" fillId="0" borderId="174" xfId="3" applyNumberFormat="1" applyFont="1" applyFill="1" applyBorder="1" applyAlignment="1">
      <alignment horizontal="center" vertical="center" shrinkToFit="1"/>
    </xf>
    <xf numFmtId="181" fontId="3" fillId="0" borderId="184" xfId="3" applyNumberFormat="1" applyFont="1" applyFill="1" applyBorder="1" applyAlignment="1">
      <alignment horizontal="center" vertical="center" shrinkToFit="1"/>
    </xf>
    <xf numFmtId="181" fontId="3" fillId="0" borderId="199" xfId="3" applyNumberFormat="1" applyFont="1" applyFill="1" applyBorder="1" applyAlignment="1">
      <alignment horizontal="center" vertical="center" shrinkToFit="1"/>
    </xf>
    <xf numFmtId="178" fontId="3" fillId="0" borderId="185" xfId="3" applyNumberFormat="1" applyFont="1" applyFill="1" applyBorder="1" applyAlignment="1">
      <alignment horizontal="center" vertical="center" shrinkToFit="1"/>
    </xf>
    <xf numFmtId="178" fontId="3" fillId="0" borderId="182" xfId="3" applyNumberFormat="1" applyFont="1" applyFill="1" applyBorder="1" applyAlignment="1">
      <alignment horizontal="centerContinuous" vertical="center"/>
    </xf>
    <xf numFmtId="178" fontId="3" fillId="0" borderId="198" xfId="3" applyNumberFormat="1" applyFont="1" applyFill="1" applyBorder="1" applyAlignment="1">
      <alignment horizontal="centerContinuous" vertical="center"/>
    </xf>
    <xf numFmtId="178" fontId="3" fillId="0" borderId="183" xfId="3" applyNumberFormat="1" applyFont="1" applyFill="1" applyBorder="1" applyAlignment="1">
      <alignment horizontal="centerContinuous" vertical="center"/>
    </xf>
    <xf numFmtId="178" fontId="3" fillId="0" borderId="174" xfId="3" applyNumberFormat="1" applyFont="1" applyFill="1" applyBorder="1" applyAlignment="1">
      <alignment horizontal="centerContinuous" vertical="center"/>
    </xf>
    <xf numFmtId="178" fontId="3" fillId="0" borderId="34" xfId="3" applyNumberFormat="1" applyFont="1" applyFill="1" applyBorder="1" applyAlignment="1">
      <alignment horizontal="center" vertical="center" shrinkToFit="1"/>
    </xf>
    <xf numFmtId="181" fontId="3" fillId="0" borderId="198" xfId="3" applyNumberFormat="1" applyFont="1" applyFill="1" applyBorder="1" applyAlignment="1">
      <alignment horizontal="center" vertical="center" shrinkToFit="1"/>
    </xf>
    <xf numFmtId="178" fontId="0" fillId="0" borderId="182" xfId="3" applyNumberFormat="1" applyFont="1" applyFill="1" applyBorder="1" applyAlignment="1">
      <alignment horizontal="centerContinuous" vertical="center"/>
    </xf>
    <xf numFmtId="178" fontId="0" fillId="0" borderId="198" xfId="3" applyNumberFormat="1" applyFont="1" applyFill="1" applyBorder="1" applyAlignment="1">
      <alignment horizontal="centerContinuous" vertical="center"/>
    </xf>
    <xf numFmtId="177" fontId="14" fillId="4" borderId="27" xfId="0" applyNumberFormat="1" applyFont="1" applyFill="1" applyBorder="1">
      <alignment vertical="center"/>
    </xf>
    <xf numFmtId="180" fontId="14" fillId="0" borderId="183" xfId="0" applyFont="1" applyFill="1" applyBorder="1">
      <alignment vertical="center"/>
    </xf>
    <xf numFmtId="180" fontId="14" fillId="0" borderId="199" xfId="0" applyFont="1" applyFill="1" applyBorder="1">
      <alignment vertical="center"/>
    </xf>
    <xf numFmtId="180" fontId="14" fillId="0" borderId="185" xfId="0" applyFont="1" applyFill="1" applyBorder="1">
      <alignment vertical="center"/>
    </xf>
    <xf numFmtId="180" fontId="55" fillId="3" borderId="5" xfId="0" applyFont="1" applyFill="1" applyBorder="1" applyAlignment="1">
      <alignment horizontal="left" vertical="center"/>
    </xf>
    <xf numFmtId="178" fontId="3" fillId="0" borderId="120" xfId="3"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38" fontId="0" fillId="0" borderId="0" xfId="2" applyFont="1" applyFill="1" applyBorder="1" applyAlignment="1">
      <alignment horizontal="center" vertical="center" shrinkToFit="1"/>
    </xf>
    <xf numFmtId="38" fontId="3" fillId="0" borderId="0" xfId="2" applyFont="1" applyFill="1" applyBorder="1" applyAlignment="1">
      <alignment horizontal="center" vertical="center" shrinkToFit="1"/>
    </xf>
    <xf numFmtId="177" fontId="3" fillId="0" borderId="199" xfId="0" applyNumberFormat="1" applyFont="1" applyFill="1" applyBorder="1" applyAlignment="1">
      <alignment horizontal="center" vertical="center" shrinkToFit="1"/>
    </xf>
    <xf numFmtId="180" fontId="3" fillId="0" borderId="199" xfId="3" applyNumberFormat="1" applyFont="1" applyFill="1" applyBorder="1" applyAlignment="1">
      <alignment horizontal="center" vertical="center" shrinkToFit="1"/>
    </xf>
    <xf numFmtId="38" fontId="0" fillId="0" borderId="199" xfId="2" applyFont="1" applyFill="1" applyBorder="1" applyAlignment="1">
      <alignment horizontal="center" vertical="center" shrinkToFit="1"/>
    </xf>
    <xf numFmtId="178" fontId="3" fillId="0" borderId="210" xfId="3" applyNumberFormat="1" applyFont="1" applyFill="1" applyBorder="1" applyAlignment="1">
      <alignment horizontal="centerContinuous" vertical="center"/>
    </xf>
    <xf numFmtId="0" fontId="3" fillId="0" borderId="210" xfId="3" applyFont="1" applyFill="1" applyBorder="1" applyAlignment="1">
      <alignment horizontal="centerContinuous" vertical="center"/>
    </xf>
    <xf numFmtId="178" fontId="0" fillId="0" borderId="0" xfId="3" applyNumberFormat="1" applyFont="1" applyFill="1" applyBorder="1" applyAlignment="1">
      <alignment horizontal="centerContinuous" vertical="center"/>
    </xf>
    <xf numFmtId="178" fontId="3" fillId="0" borderId="210" xfId="3" applyNumberFormat="1" applyFont="1" applyFill="1" applyBorder="1" applyAlignment="1">
      <alignment vertical="center"/>
    </xf>
    <xf numFmtId="178" fontId="3" fillId="0" borderId="183" xfId="3" applyNumberFormat="1" applyFont="1" applyFill="1" applyBorder="1" applyAlignment="1">
      <alignment vertical="center"/>
    </xf>
    <xf numFmtId="178" fontId="3" fillId="0" borderId="174" xfId="3" applyNumberFormat="1" applyFont="1" applyFill="1" applyBorder="1" applyAlignment="1">
      <alignment vertical="center"/>
    </xf>
    <xf numFmtId="177" fontId="3" fillId="0" borderId="22" xfId="0" applyNumberFormat="1" applyFont="1" applyFill="1" applyBorder="1" applyAlignment="1">
      <alignment horizontal="center" vertical="center" shrinkToFit="1"/>
    </xf>
    <xf numFmtId="177" fontId="3" fillId="0" borderId="184" xfId="0" applyNumberFormat="1" applyFont="1" applyFill="1" applyBorder="1" applyAlignment="1">
      <alignment horizontal="center" vertical="center" shrinkToFit="1"/>
    </xf>
    <xf numFmtId="178" fontId="49" fillId="0" borderId="22" xfId="3" applyNumberFormat="1" applyFont="1" applyFill="1" applyBorder="1" applyAlignment="1">
      <alignment horizontal="center" vertical="center" shrinkToFit="1"/>
    </xf>
    <xf numFmtId="178" fontId="49" fillId="0" borderId="0" xfId="3" applyNumberFormat="1" applyFont="1" applyFill="1" applyBorder="1" applyAlignment="1">
      <alignment horizontal="center" vertical="center" shrinkToFit="1"/>
    </xf>
    <xf numFmtId="178" fontId="0" fillId="0" borderId="0" xfId="3" applyNumberFormat="1" applyFont="1" applyFill="1" applyBorder="1" applyAlignment="1">
      <alignment horizontal="center" vertical="center" shrinkToFit="1"/>
    </xf>
    <xf numFmtId="178" fontId="0" fillId="0" borderId="1" xfId="3" applyNumberFormat="1" applyFont="1" applyFill="1" applyBorder="1" applyAlignment="1">
      <alignment horizontal="centerContinuous" vertical="center"/>
    </xf>
    <xf numFmtId="178" fontId="49" fillId="0" borderId="174" xfId="3" applyNumberFormat="1" applyFont="1" applyFill="1" applyBorder="1" applyAlignment="1">
      <alignment horizontal="center" vertical="center" shrinkToFit="1"/>
    </xf>
    <xf numFmtId="0" fontId="49" fillId="3" borderId="36" xfId="5" applyFont="1" applyFill="1" applyBorder="1" applyAlignment="1" applyProtection="1">
      <alignment horizontal="center" vertical="center" shrinkToFit="1"/>
      <protection locked="0"/>
    </xf>
    <xf numFmtId="178" fontId="49" fillId="0" borderId="1" xfId="3" applyNumberFormat="1" applyFont="1" applyFill="1" applyBorder="1" applyAlignment="1">
      <alignment vertical="center"/>
    </xf>
    <xf numFmtId="178" fontId="49" fillId="0" borderId="210" xfId="3" applyNumberFormat="1" applyFont="1" applyFill="1" applyBorder="1" applyAlignment="1">
      <alignment vertical="center"/>
    </xf>
    <xf numFmtId="178" fontId="3" fillId="0" borderId="62" xfId="3" applyNumberFormat="1" applyFont="1" applyFill="1" applyBorder="1" applyAlignment="1">
      <alignment horizontal="center" vertical="center" shrinkToFit="1"/>
    </xf>
    <xf numFmtId="178" fontId="3" fillId="0" borderId="120" xfId="3" applyNumberFormat="1" applyFont="1" applyFill="1" applyBorder="1" applyAlignment="1">
      <alignment horizontal="centerContinuous" vertical="center"/>
    </xf>
    <xf numFmtId="180" fontId="3" fillId="0" borderId="199" xfId="3" applyNumberFormat="1" applyFont="1" applyFill="1" applyBorder="1" applyAlignment="1">
      <alignment vertical="center" shrinkToFit="1"/>
    </xf>
    <xf numFmtId="40" fontId="14" fillId="0" borderId="184" xfId="0" applyNumberFormat="1" applyFont="1" applyBorder="1" applyAlignment="1">
      <alignment horizontal="center" vertical="center" shrinkToFit="1"/>
    </xf>
    <xf numFmtId="180" fontId="49" fillId="0" borderId="83" xfId="5" applyNumberFormat="1" applyFont="1" applyFill="1" applyBorder="1" applyAlignment="1" applyProtection="1">
      <alignment horizontal="center" vertical="center"/>
      <protection locked="0"/>
    </xf>
    <xf numFmtId="180" fontId="3" fillId="0" borderId="185" xfId="0" applyFont="1" applyFill="1" applyBorder="1" applyAlignment="1">
      <alignment horizontal="center" vertical="center"/>
    </xf>
    <xf numFmtId="188" fontId="14" fillId="0" borderId="210" xfId="0" applyNumberFormat="1" applyFont="1" applyFill="1" applyBorder="1" applyAlignment="1">
      <alignment horizontal="center" vertical="center" shrinkToFit="1"/>
    </xf>
    <xf numFmtId="180" fontId="14" fillId="0" borderId="183" xfId="0" applyFont="1" applyFill="1" applyBorder="1" applyAlignment="1">
      <alignment horizontal="center" vertical="center"/>
    </xf>
    <xf numFmtId="180" fontId="0" fillId="0" borderId="22" xfId="3" applyNumberFormat="1" applyFont="1" applyFill="1" applyBorder="1" applyAlignment="1">
      <alignment horizontal="center" vertical="center" shrinkToFit="1"/>
    </xf>
    <xf numFmtId="180" fontId="3" fillId="0" borderId="184" xfId="3" applyNumberFormat="1" applyFont="1" applyFill="1" applyBorder="1" applyAlignment="1">
      <alignment horizontal="center" vertical="center" shrinkToFit="1"/>
    </xf>
    <xf numFmtId="178" fontId="49" fillId="0" borderId="67" xfId="3" applyNumberFormat="1" applyFont="1" applyFill="1" applyBorder="1" applyAlignment="1">
      <alignment horizontal="center" vertical="center" shrinkToFit="1"/>
    </xf>
    <xf numFmtId="178" fontId="49" fillId="0" borderId="52" xfId="3" applyNumberFormat="1" applyFont="1" applyFill="1" applyBorder="1" applyAlignment="1">
      <alignment horizontal="center" vertical="center" shrinkToFit="1"/>
    </xf>
    <xf numFmtId="180" fontId="14" fillId="11" borderId="181" xfId="0" applyFont="1" applyFill="1" applyBorder="1" applyAlignment="1">
      <alignment horizontal="center" vertical="center"/>
    </xf>
    <xf numFmtId="191" fontId="14" fillId="9" borderId="181" xfId="0" applyNumberFormat="1" applyFont="1" applyFill="1" applyBorder="1" applyAlignment="1">
      <alignment horizontal="center" vertical="center"/>
    </xf>
    <xf numFmtId="180" fontId="49" fillId="0" borderId="67" xfId="0" applyFont="1" applyFill="1" applyBorder="1" applyAlignment="1">
      <alignment horizontal="center" vertical="center" shrinkToFit="1"/>
    </xf>
    <xf numFmtId="180" fontId="49" fillId="0" borderId="33" xfId="0" applyFont="1" applyFill="1" applyBorder="1" applyAlignment="1">
      <alignment horizontal="center" vertical="center" shrinkToFit="1"/>
    </xf>
    <xf numFmtId="179" fontId="3" fillId="0" borderId="0" xfId="3" applyNumberFormat="1" applyFont="1" applyFill="1" applyBorder="1" applyAlignment="1">
      <alignment horizontal="center" vertical="center" shrinkToFit="1"/>
    </xf>
    <xf numFmtId="180" fontId="0" fillId="0" borderId="0" xfId="3" applyNumberFormat="1" applyFont="1" applyFill="1" applyBorder="1" applyAlignment="1">
      <alignment horizontal="center" vertical="center" shrinkToFit="1"/>
    </xf>
    <xf numFmtId="179" fontId="3" fillId="0" borderId="174" xfId="3" applyNumberFormat="1" applyFont="1" applyFill="1" applyBorder="1" applyAlignment="1">
      <alignment horizontal="center" vertical="center" shrinkToFit="1"/>
    </xf>
    <xf numFmtId="178" fontId="3" fillId="0" borderId="31" xfId="3" applyNumberFormat="1" applyFont="1" applyFill="1" applyBorder="1" applyAlignment="1">
      <alignment horizontal="center" vertical="center" shrinkToFit="1"/>
    </xf>
    <xf numFmtId="182" fontId="3" fillId="0" borderId="34" xfId="3" applyNumberFormat="1" applyFont="1" applyFill="1" applyBorder="1" applyAlignment="1">
      <alignment horizontal="center" vertical="center" shrinkToFit="1"/>
    </xf>
    <xf numFmtId="0" fontId="14" fillId="0" borderId="87" xfId="5" applyFont="1" applyFill="1" applyBorder="1" applyAlignment="1">
      <alignment horizontal="center" vertical="center" shrinkToFit="1"/>
    </xf>
    <xf numFmtId="40" fontId="14" fillId="0" borderId="187" xfId="0" applyNumberFormat="1" applyFont="1" applyFill="1" applyBorder="1" applyAlignment="1">
      <alignment horizontal="center" vertical="center" shrinkToFit="1"/>
    </xf>
    <xf numFmtId="180" fontId="57" fillId="0" borderId="28" xfId="0" applyFont="1" applyFill="1" applyBorder="1" applyAlignment="1">
      <alignment vertical="center"/>
    </xf>
    <xf numFmtId="180" fontId="0" fillId="0" borderId="0" xfId="0">
      <alignment vertical="center"/>
    </xf>
    <xf numFmtId="0" fontId="0" fillId="3" borderId="82" xfId="3" applyFont="1" applyFill="1" applyBorder="1" applyAlignment="1">
      <alignment horizontal="center" vertical="center"/>
    </xf>
    <xf numFmtId="0" fontId="0" fillId="3" borderId="80" xfId="3" applyFont="1" applyFill="1" applyBorder="1" applyAlignment="1">
      <alignment horizontal="center" vertical="center"/>
    </xf>
    <xf numFmtId="178" fontId="3" fillId="0" borderId="119" xfId="3" applyNumberFormat="1" applyFont="1" applyFill="1" applyBorder="1" applyAlignment="1">
      <alignment horizontal="centerContinuous" vertical="center"/>
    </xf>
    <xf numFmtId="178" fontId="3" fillId="0" borderId="49" xfId="3" applyNumberFormat="1" applyFont="1" applyFill="1" applyBorder="1" applyAlignment="1">
      <alignment horizontal="center" vertical="center" shrinkToFit="1"/>
    </xf>
    <xf numFmtId="178" fontId="3" fillId="0" borderId="50" xfId="3" applyNumberFormat="1" applyFont="1" applyFill="1" applyBorder="1" applyAlignment="1">
      <alignment horizontal="center" vertical="center" shrinkToFit="1"/>
    </xf>
    <xf numFmtId="180" fontId="48" fillId="3" borderId="85" xfId="0" applyFont="1" applyFill="1" applyBorder="1" applyAlignment="1">
      <alignment vertical="center"/>
    </xf>
    <xf numFmtId="0" fontId="48" fillId="0" borderId="0" xfId="4" applyFont="1" applyAlignment="1">
      <alignment horizontal="center" vertical="center"/>
    </xf>
    <xf numFmtId="180" fontId="48" fillId="0" borderId="0" xfId="0" applyFont="1" applyAlignment="1">
      <alignment vertical="center"/>
    </xf>
    <xf numFmtId="0" fontId="48" fillId="0" borderId="0" xfId="4" applyFont="1" applyAlignment="1">
      <alignment vertical="center"/>
    </xf>
    <xf numFmtId="40" fontId="48" fillId="0" borderId="0" xfId="4" applyNumberFormat="1" applyFont="1" applyAlignment="1">
      <alignment vertical="center"/>
    </xf>
    <xf numFmtId="180" fontId="48" fillId="0" borderId="0" xfId="0" applyFont="1" applyBorder="1" applyAlignment="1">
      <alignment vertical="center"/>
    </xf>
    <xf numFmtId="180" fontId="14" fillId="0" borderId="48" xfId="0" applyFont="1" applyFill="1" applyBorder="1" applyAlignment="1">
      <alignment vertical="center"/>
    </xf>
    <xf numFmtId="230" fontId="0" fillId="0" borderId="0" xfId="0" applyNumberFormat="1">
      <alignment vertical="center"/>
    </xf>
    <xf numFmtId="180" fontId="0" fillId="0" borderId="181" xfId="0" applyBorder="1" applyAlignment="1">
      <alignment horizontal="center" vertical="center"/>
    </xf>
    <xf numFmtId="180" fontId="0" fillId="0" borderId="181" xfId="0" applyBorder="1" applyAlignment="1">
      <alignment horizontal="center" vertical="center" wrapText="1"/>
    </xf>
    <xf numFmtId="180" fontId="0" fillId="0" borderId="0" xfId="0" applyAlignment="1">
      <alignment horizontal="left" vertical="center" wrapText="1"/>
    </xf>
    <xf numFmtId="40" fontId="14" fillId="0" borderId="88" xfId="0" applyNumberFormat="1" applyFont="1" applyBorder="1">
      <alignment vertical="center"/>
    </xf>
    <xf numFmtId="40" fontId="14" fillId="0" borderId="89" xfId="0" applyNumberFormat="1" applyFont="1" applyBorder="1">
      <alignment vertical="center"/>
    </xf>
    <xf numFmtId="40" fontId="14" fillId="0" borderId="90" xfId="0" applyNumberFormat="1" applyFont="1" applyBorder="1">
      <alignment vertical="center"/>
    </xf>
    <xf numFmtId="40" fontId="3" fillId="3" borderId="92" xfId="0" applyNumberFormat="1" applyFont="1" applyFill="1" applyBorder="1" applyAlignment="1">
      <alignment horizontal="center" vertical="center"/>
    </xf>
    <xf numFmtId="40" fontId="3" fillId="0" borderId="90" xfId="0" applyNumberFormat="1" applyFont="1" applyFill="1" applyBorder="1">
      <alignment vertical="center"/>
    </xf>
    <xf numFmtId="0" fontId="14" fillId="0" borderId="186" xfId="5" applyFont="1" applyFill="1" applyBorder="1" applyAlignment="1">
      <alignment horizontal="center" vertical="center" shrinkToFit="1"/>
    </xf>
    <xf numFmtId="180" fontId="0" fillId="0" borderId="0" xfId="0">
      <alignment vertical="center"/>
    </xf>
    <xf numFmtId="38" fontId="43" fillId="0" borderId="27" xfId="2" applyFont="1" applyFill="1" applyBorder="1" applyAlignment="1">
      <alignment vertical="center" shrinkToFit="1"/>
    </xf>
    <xf numFmtId="0" fontId="3" fillId="0" borderId="0" xfId="8" applyFont="1" applyFill="1" applyAlignment="1">
      <alignment vertical="center"/>
    </xf>
    <xf numFmtId="0" fontId="3" fillId="0" borderId="0" xfId="3" applyNumberFormat="1" applyFont="1" applyFill="1" applyBorder="1" applyAlignment="1">
      <alignment vertical="center"/>
    </xf>
    <xf numFmtId="178" fontId="3" fillId="0" borderId="199" xfId="3" applyNumberFormat="1" applyFont="1" applyFill="1" applyBorder="1" applyAlignment="1">
      <alignment vertical="center" shrinkToFit="1"/>
    </xf>
    <xf numFmtId="180" fontId="59" fillId="3" borderId="82" xfId="3" applyNumberFormat="1" applyFont="1" applyFill="1" applyBorder="1" applyAlignment="1">
      <alignment horizontal="center" vertical="center"/>
    </xf>
    <xf numFmtId="180" fontId="59" fillId="3" borderId="80" xfId="3" applyNumberFormat="1" applyFont="1" applyFill="1" applyBorder="1" applyAlignment="1">
      <alignment horizontal="center" vertical="center"/>
    </xf>
    <xf numFmtId="180" fontId="59" fillId="3" borderId="81" xfId="3" applyNumberFormat="1" applyFont="1" applyFill="1" applyBorder="1" applyAlignment="1">
      <alignment horizontal="center" vertical="center"/>
    </xf>
    <xf numFmtId="0" fontId="59" fillId="3" borderId="82" xfId="3" applyFont="1" applyFill="1" applyBorder="1" applyAlignment="1">
      <alignment horizontal="center" vertical="center"/>
    </xf>
    <xf numFmtId="0" fontId="59" fillId="3" borderId="80" xfId="3" applyFont="1" applyFill="1" applyBorder="1" applyAlignment="1">
      <alignment horizontal="center" vertical="center"/>
    </xf>
    <xf numFmtId="0" fontId="59" fillId="3" borderId="81" xfId="3" applyFont="1" applyFill="1" applyBorder="1" applyAlignment="1">
      <alignment horizontal="center" vertical="center"/>
    </xf>
    <xf numFmtId="224" fontId="59" fillId="0" borderId="64" xfId="3" applyNumberFormat="1" applyFont="1" applyFill="1" applyBorder="1" applyAlignment="1">
      <alignment horizontal="center" vertical="center" shrinkToFit="1"/>
    </xf>
    <xf numFmtId="224" fontId="59" fillId="0" borderId="67" xfId="3" applyNumberFormat="1" applyFont="1" applyFill="1" applyBorder="1" applyAlignment="1">
      <alignment horizontal="center" vertical="center" shrinkToFit="1"/>
    </xf>
    <xf numFmtId="177" fontId="59" fillId="0" borderId="128" xfId="0" applyNumberFormat="1" applyFont="1" applyFill="1" applyBorder="1" applyAlignment="1">
      <alignment horizontal="center" vertical="center" shrinkToFit="1"/>
    </xf>
    <xf numFmtId="0" fontId="59" fillId="3" borderId="83" xfId="3" applyFont="1" applyFill="1" applyBorder="1" applyAlignment="1">
      <alignment horizontal="center" vertical="center"/>
    </xf>
    <xf numFmtId="188" fontId="59" fillId="0" borderId="20" xfId="2" applyNumberFormat="1" applyFont="1" applyBorder="1">
      <alignment vertical="center"/>
    </xf>
    <xf numFmtId="0" fontId="0" fillId="14" borderId="3" xfId="3" applyFont="1" applyFill="1" applyBorder="1" applyAlignment="1">
      <alignment horizontal="centerContinuous" vertical="center"/>
    </xf>
    <xf numFmtId="0" fontId="3" fillId="14" borderId="4" xfId="3" applyFont="1" applyFill="1" applyBorder="1" applyAlignment="1">
      <alignment horizontal="centerContinuous" vertical="center"/>
    </xf>
    <xf numFmtId="0" fontId="3" fillId="14" borderId="5" xfId="3" applyFont="1" applyFill="1" applyBorder="1" applyAlignment="1">
      <alignment horizontal="centerContinuous" vertical="center"/>
    </xf>
    <xf numFmtId="180" fontId="59" fillId="14" borderId="80" xfId="5" applyNumberFormat="1" applyFont="1" applyFill="1" applyBorder="1" applyAlignment="1" applyProtection="1">
      <alignment horizontal="center" vertical="center"/>
      <protection locked="0"/>
    </xf>
    <xf numFmtId="180" fontId="3" fillId="14" borderId="32" xfId="3" applyNumberFormat="1" applyFont="1" applyFill="1" applyBorder="1" applyAlignment="1">
      <alignment horizontal="center" vertical="center" shrinkToFit="1"/>
    </xf>
    <xf numFmtId="178" fontId="3" fillId="14" borderId="67" xfId="3" applyNumberFormat="1" applyFont="1" applyFill="1" applyBorder="1" applyAlignment="1">
      <alignment horizontal="center" vertical="center" shrinkToFit="1"/>
    </xf>
    <xf numFmtId="180" fontId="3" fillId="14" borderId="67" xfId="3" applyNumberFormat="1" applyFont="1" applyFill="1" applyBorder="1" applyAlignment="1">
      <alignment horizontal="center" vertical="center" shrinkToFit="1"/>
    </xf>
    <xf numFmtId="178" fontId="3" fillId="14" borderId="52" xfId="3" applyNumberFormat="1" applyFont="1" applyFill="1" applyBorder="1" applyAlignment="1">
      <alignment horizontal="center" vertical="center" shrinkToFit="1"/>
    </xf>
    <xf numFmtId="178" fontId="3" fillId="14" borderId="68" xfId="3" applyNumberFormat="1" applyFont="1" applyFill="1" applyBorder="1" applyAlignment="1">
      <alignment horizontal="center" vertical="center" shrinkToFit="1"/>
    </xf>
    <xf numFmtId="180" fontId="59" fillId="14" borderId="83" xfId="5" applyNumberFormat="1" applyFont="1" applyFill="1" applyBorder="1" applyAlignment="1" applyProtection="1">
      <alignment horizontal="center" vertical="center"/>
      <protection locked="0"/>
    </xf>
    <xf numFmtId="180" fontId="3" fillId="14" borderId="129" xfId="3" applyNumberFormat="1" applyFont="1" applyFill="1" applyBorder="1" applyAlignment="1">
      <alignment horizontal="center" vertical="center" shrinkToFit="1"/>
    </xf>
    <xf numFmtId="178" fontId="3" fillId="14" borderId="117" xfId="3" applyNumberFormat="1" applyFont="1" applyFill="1" applyBorder="1" applyAlignment="1">
      <alignment horizontal="center" vertical="center" shrinkToFit="1"/>
    </xf>
    <xf numFmtId="180" fontId="3" fillId="14" borderId="117" xfId="3" applyNumberFormat="1" applyFont="1" applyFill="1" applyBorder="1" applyAlignment="1">
      <alignment horizontal="center" vertical="center" shrinkToFit="1"/>
    </xf>
    <xf numFmtId="178" fontId="3" fillId="14" borderId="118" xfId="3" applyNumberFormat="1" applyFont="1" applyFill="1" applyBorder="1" applyAlignment="1">
      <alignment horizontal="center" vertical="center" shrinkToFit="1"/>
    </xf>
    <xf numFmtId="178" fontId="3" fillId="14" borderId="116" xfId="3" applyNumberFormat="1" applyFont="1" applyFill="1" applyBorder="1" applyAlignment="1">
      <alignment horizontal="center" vertical="center" shrinkToFit="1"/>
    </xf>
    <xf numFmtId="178" fontId="3" fillId="14" borderId="32" xfId="3" applyNumberFormat="1" applyFont="1" applyFill="1" applyBorder="1" applyAlignment="1">
      <alignment horizontal="center" vertical="center" shrinkToFit="1"/>
    </xf>
    <xf numFmtId="180" fontId="3" fillId="14" borderId="32" xfId="0" applyFont="1" applyFill="1" applyBorder="1" applyAlignment="1">
      <alignment horizontal="center" vertical="center" shrinkToFit="1"/>
    </xf>
    <xf numFmtId="180" fontId="3" fillId="14" borderId="67" xfId="0" applyFont="1" applyFill="1" applyBorder="1" applyAlignment="1">
      <alignment horizontal="center" vertical="center" shrinkToFit="1"/>
    </xf>
    <xf numFmtId="180" fontId="3" fillId="14" borderId="33" xfId="0" applyFont="1" applyFill="1" applyBorder="1" applyAlignment="1">
      <alignment horizontal="center" vertical="center" shrinkToFit="1"/>
    </xf>
    <xf numFmtId="178" fontId="3" fillId="14" borderId="33" xfId="3" applyNumberFormat="1" applyFont="1" applyFill="1" applyBorder="1" applyAlignment="1">
      <alignment horizontal="center" vertical="center" shrinkToFit="1"/>
    </xf>
    <xf numFmtId="178" fontId="3" fillId="14" borderId="114" xfId="3" applyNumberFormat="1" applyFont="1" applyFill="1" applyBorder="1" applyAlignment="1">
      <alignment horizontal="center" vertical="center" shrinkToFit="1"/>
    </xf>
    <xf numFmtId="178" fontId="3" fillId="14" borderId="108" xfId="3" applyNumberFormat="1" applyFont="1" applyFill="1" applyBorder="1" applyAlignment="1">
      <alignment horizontal="center" vertical="center" shrinkToFit="1"/>
    </xf>
    <xf numFmtId="181" fontId="3" fillId="14" borderId="32" xfId="3" applyNumberFormat="1" applyFont="1" applyFill="1" applyBorder="1" applyAlignment="1">
      <alignment horizontal="center" vertical="center" shrinkToFit="1"/>
    </xf>
    <xf numFmtId="181" fontId="3" fillId="14" borderId="67" xfId="3" applyNumberFormat="1" applyFont="1" applyFill="1" applyBorder="1" applyAlignment="1">
      <alignment horizontal="center" vertical="center" shrinkToFit="1"/>
    </xf>
    <xf numFmtId="181" fontId="3" fillId="14" borderId="33" xfId="3" applyNumberFormat="1" applyFont="1" applyFill="1" applyBorder="1" applyAlignment="1">
      <alignment horizontal="center" vertical="center" shrinkToFit="1"/>
    </xf>
    <xf numFmtId="180" fontId="59" fillId="14" borderId="82" xfId="5" applyNumberFormat="1" applyFont="1" applyFill="1" applyBorder="1" applyAlignment="1" applyProtection="1">
      <alignment horizontal="center" vertical="center"/>
      <protection locked="0"/>
    </xf>
    <xf numFmtId="178" fontId="59" fillId="14" borderId="128" xfId="3" applyNumberFormat="1" applyFont="1" applyFill="1" applyBorder="1" applyAlignment="1">
      <alignment horizontal="center" vertical="center" shrinkToFit="1"/>
    </xf>
    <xf numFmtId="178" fontId="59" fillId="14" borderId="114" xfId="3" applyNumberFormat="1" applyFont="1" applyFill="1" applyBorder="1" applyAlignment="1">
      <alignment horizontal="center" vertical="center" shrinkToFit="1"/>
    </xf>
    <xf numFmtId="178" fontId="59" fillId="14" borderId="108" xfId="3" applyNumberFormat="1" applyFont="1" applyFill="1" applyBorder="1" applyAlignment="1">
      <alignment horizontal="center" vertical="center" shrinkToFit="1"/>
    </xf>
    <xf numFmtId="178" fontId="59" fillId="14" borderId="107" xfId="3" applyNumberFormat="1" applyFont="1" applyFill="1" applyBorder="1" applyAlignment="1">
      <alignment horizontal="center" vertical="center" shrinkToFit="1"/>
    </xf>
    <xf numFmtId="178" fontId="59" fillId="14" borderId="32" xfId="3" applyNumberFormat="1" applyFont="1" applyFill="1" applyBorder="1" applyAlignment="1">
      <alignment horizontal="center" vertical="center" shrinkToFit="1"/>
    </xf>
    <xf numFmtId="178" fontId="59" fillId="14" borderId="67" xfId="3" applyNumberFormat="1" applyFont="1" applyFill="1" applyBorder="1" applyAlignment="1">
      <alignment horizontal="center" vertical="center" shrinkToFit="1"/>
    </xf>
    <xf numFmtId="178" fontId="59" fillId="14" borderId="52" xfId="3" applyNumberFormat="1" applyFont="1" applyFill="1" applyBorder="1" applyAlignment="1">
      <alignment horizontal="center" vertical="center" shrinkToFit="1"/>
    </xf>
    <xf numFmtId="178" fontId="59" fillId="14" borderId="68" xfId="3" applyNumberFormat="1" applyFont="1" applyFill="1" applyBorder="1" applyAlignment="1">
      <alignment horizontal="center" vertical="center" shrinkToFit="1"/>
    </xf>
    <xf numFmtId="178" fontId="59" fillId="14" borderId="129" xfId="3" applyNumberFormat="1" applyFont="1" applyFill="1" applyBorder="1" applyAlignment="1">
      <alignment horizontal="center" vertical="center" shrinkToFit="1"/>
    </xf>
    <xf numFmtId="178" fontId="59" fillId="14" borderId="117" xfId="3" applyNumberFormat="1" applyFont="1" applyFill="1" applyBorder="1" applyAlignment="1">
      <alignment horizontal="center" vertical="center" shrinkToFit="1"/>
    </xf>
    <xf numFmtId="178" fontId="59" fillId="14" borderId="118" xfId="3" applyNumberFormat="1" applyFont="1" applyFill="1" applyBorder="1" applyAlignment="1">
      <alignment horizontal="center" vertical="center" shrinkToFit="1"/>
    </xf>
    <xf numFmtId="178" fontId="3" fillId="14" borderId="128" xfId="3" applyNumberFormat="1" applyFont="1" applyFill="1" applyBorder="1" applyAlignment="1">
      <alignment horizontal="center" vertical="center" shrinkToFit="1"/>
    </xf>
    <xf numFmtId="178" fontId="3" fillId="14" borderId="107" xfId="3" applyNumberFormat="1" applyFont="1" applyFill="1" applyBorder="1" applyAlignment="1">
      <alignment horizontal="center" vertical="center" shrinkToFit="1"/>
    </xf>
    <xf numFmtId="180" fontId="3" fillId="14" borderId="128" xfId="0" applyFont="1" applyFill="1" applyBorder="1" applyAlignment="1">
      <alignment horizontal="center" vertical="center" shrinkToFit="1"/>
    </xf>
    <xf numFmtId="180" fontId="3" fillId="14" borderId="114" xfId="0" applyFont="1" applyFill="1" applyBorder="1" applyAlignment="1">
      <alignment horizontal="center" vertical="center" shrinkToFit="1"/>
    </xf>
    <xf numFmtId="180" fontId="3" fillId="14" borderId="61" xfId="0" applyFont="1" applyFill="1" applyBorder="1" applyAlignment="1">
      <alignment horizontal="center" vertical="center" shrinkToFit="1"/>
    </xf>
    <xf numFmtId="180" fontId="59" fillId="14" borderId="81" xfId="5" applyNumberFormat="1" applyFont="1" applyFill="1" applyBorder="1" applyAlignment="1" applyProtection="1">
      <alignment horizontal="center" vertical="center"/>
      <protection locked="0"/>
    </xf>
    <xf numFmtId="178" fontId="3" fillId="14" borderId="129" xfId="3" applyNumberFormat="1" applyFont="1" applyFill="1" applyBorder="1" applyAlignment="1">
      <alignment horizontal="center" vertical="center" shrinkToFit="1"/>
    </xf>
    <xf numFmtId="178" fontId="3" fillId="14" borderId="70" xfId="3" applyNumberFormat="1" applyFont="1" applyFill="1" applyBorder="1" applyAlignment="1">
      <alignment horizontal="center" vertical="center" shrinkToFit="1"/>
    </xf>
    <xf numFmtId="180" fontId="3" fillId="14" borderId="34" xfId="0" applyFont="1" applyFill="1" applyBorder="1" applyAlignment="1">
      <alignment horizontal="center" vertical="center" shrinkToFit="1"/>
    </xf>
    <xf numFmtId="178" fontId="3" fillId="14" borderId="69" xfId="3" applyNumberFormat="1" applyFont="1" applyFill="1" applyBorder="1" applyAlignment="1">
      <alignment horizontal="center" vertical="center" shrinkToFit="1"/>
    </xf>
    <xf numFmtId="180" fontId="3" fillId="14" borderId="69" xfId="0" applyFont="1" applyFill="1" applyBorder="1" applyAlignment="1">
      <alignment horizontal="center" vertical="center" shrinkToFit="1"/>
    </xf>
    <xf numFmtId="180" fontId="3" fillId="14" borderId="35" xfId="0" applyFont="1" applyFill="1" applyBorder="1" applyAlignment="1">
      <alignment horizontal="center" vertical="center" shrinkToFit="1"/>
    </xf>
    <xf numFmtId="178" fontId="3" fillId="14" borderId="71" xfId="3" applyNumberFormat="1" applyFont="1" applyFill="1" applyBorder="1" applyAlignment="1">
      <alignment horizontal="center" vertical="center" shrinkToFit="1"/>
    </xf>
    <xf numFmtId="180" fontId="59" fillId="14" borderId="107" xfId="0" applyFont="1" applyFill="1" applyBorder="1" applyAlignment="1">
      <alignment horizontal="center" vertical="center" shrinkToFit="1"/>
    </xf>
    <xf numFmtId="180" fontId="59" fillId="14" borderId="128" xfId="0" applyFont="1" applyFill="1" applyBorder="1" applyAlignment="1">
      <alignment horizontal="center" vertical="center" shrinkToFit="1"/>
    </xf>
    <xf numFmtId="180" fontId="59" fillId="14" borderId="114" xfId="0" applyFont="1" applyFill="1" applyBorder="1" applyAlignment="1">
      <alignment horizontal="center" vertical="center" shrinkToFit="1"/>
    </xf>
    <xf numFmtId="180" fontId="59" fillId="14" borderId="61" xfId="0" applyFont="1" applyFill="1" applyBorder="1" applyAlignment="1">
      <alignment horizontal="center" vertical="center" shrinkToFit="1"/>
    </xf>
    <xf numFmtId="180" fontId="59" fillId="14" borderId="68" xfId="0" applyFont="1" applyFill="1" applyBorder="1" applyAlignment="1">
      <alignment horizontal="center" vertical="center" shrinkToFit="1"/>
    </xf>
    <xf numFmtId="180" fontId="59" fillId="14" borderId="32" xfId="0" applyFont="1" applyFill="1" applyBorder="1" applyAlignment="1">
      <alignment horizontal="center" vertical="center" shrinkToFit="1"/>
    </xf>
    <xf numFmtId="180" fontId="59" fillId="14" borderId="67" xfId="0" applyFont="1" applyFill="1" applyBorder="1" applyAlignment="1">
      <alignment horizontal="center" vertical="center" shrinkToFit="1"/>
    </xf>
    <xf numFmtId="180" fontId="59" fillId="14" borderId="33" xfId="0" applyFont="1" applyFill="1" applyBorder="1" applyAlignment="1">
      <alignment horizontal="center" vertical="center" shrinkToFit="1"/>
    </xf>
    <xf numFmtId="180" fontId="59" fillId="14" borderId="70" xfId="0" applyFont="1" applyFill="1" applyBorder="1" applyAlignment="1">
      <alignment horizontal="center" vertical="center" shrinkToFit="1"/>
    </xf>
    <xf numFmtId="180" fontId="59" fillId="14" borderId="34" xfId="0" applyFont="1" applyFill="1" applyBorder="1" applyAlignment="1">
      <alignment horizontal="center" vertical="center" shrinkToFit="1"/>
    </xf>
    <xf numFmtId="178" fontId="59" fillId="14" borderId="69" xfId="3" applyNumberFormat="1" applyFont="1" applyFill="1" applyBorder="1" applyAlignment="1">
      <alignment horizontal="center" vertical="center" shrinkToFit="1"/>
    </xf>
    <xf numFmtId="180" fontId="59" fillId="14" borderId="69" xfId="0" applyFont="1" applyFill="1" applyBorder="1" applyAlignment="1">
      <alignment horizontal="center" vertical="center" shrinkToFit="1"/>
    </xf>
    <xf numFmtId="180" fontId="59" fillId="14" borderId="35" xfId="0" applyFont="1" applyFill="1" applyBorder="1" applyAlignment="1">
      <alignment horizontal="center" vertical="center" shrinkToFit="1"/>
    </xf>
    <xf numFmtId="178" fontId="59" fillId="14" borderId="71" xfId="3" applyNumberFormat="1" applyFont="1" applyFill="1" applyBorder="1" applyAlignment="1">
      <alignment horizontal="center" vertical="center" shrinkToFit="1"/>
    </xf>
    <xf numFmtId="178" fontId="3" fillId="14" borderId="61" xfId="3" applyNumberFormat="1" applyFont="1" applyFill="1" applyBorder="1" applyAlignment="1">
      <alignment horizontal="center" vertical="center" shrinkToFit="1"/>
    </xf>
    <xf numFmtId="178" fontId="3" fillId="14" borderId="130" xfId="3" applyNumberFormat="1" applyFont="1" applyFill="1" applyBorder="1" applyAlignment="1">
      <alignment horizontal="center" vertical="center" shrinkToFit="1"/>
    </xf>
    <xf numFmtId="180" fontId="3" fillId="14" borderId="107" xfId="0" applyFont="1" applyFill="1" applyBorder="1" applyAlignment="1">
      <alignment horizontal="center" vertical="center" shrinkToFit="1"/>
    </xf>
    <xf numFmtId="180" fontId="3" fillId="14" borderId="68" xfId="0" applyFont="1" applyFill="1" applyBorder="1" applyAlignment="1">
      <alignment horizontal="center" vertical="center" shrinkToFit="1"/>
    </xf>
    <xf numFmtId="178" fontId="59" fillId="14" borderId="61" xfId="3" applyNumberFormat="1" applyFont="1" applyFill="1" applyBorder="1" applyAlignment="1">
      <alignment horizontal="center" vertical="center" shrinkToFit="1"/>
    </xf>
    <xf numFmtId="178" fontId="59" fillId="14" borderId="33" xfId="3" applyNumberFormat="1" applyFont="1" applyFill="1" applyBorder="1" applyAlignment="1">
      <alignment horizontal="center" vertical="center" shrinkToFit="1"/>
    </xf>
    <xf numFmtId="216" fontId="3" fillId="14" borderId="65" xfId="3" applyNumberFormat="1" applyFont="1" applyFill="1" applyBorder="1" applyAlignment="1">
      <alignment horizontal="center" vertical="center"/>
    </xf>
    <xf numFmtId="178" fontId="3" fillId="14" borderId="64" xfId="3" applyNumberFormat="1" applyFont="1" applyFill="1" applyBorder="1" applyAlignment="1">
      <alignment horizontal="center" vertical="center"/>
    </xf>
    <xf numFmtId="216" fontId="3" fillId="14" borderId="64" xfId="3" applyNumberFormat="1" applyFont="1" applyFill="1" applyBorder="1" applyAlignment="1">
      <alignment horizontal="center" vertical="center"/>
    </xf>
    <xf numFmtId="178" fontId="3" fillId="14" borderId="51" xfId="3" applyNumberFormat="1" applyFont="1" applyFill="1" applyBorder="1" applyAlignment="1">
      <alignment horizontal="center" vertical="center"/>
    </xf>
    <xf numFmtId="0" fontId="0" fillId="14" borderId="65" xfId="3" applyFont="1" applyFill="1" applyBorder="1" applyAlignment="1">
      <alignment horizontal="center" vertical="center"/>
    </xf>
    <xf numFmtId="178" fontId="0" fillId="14" borderId="64" xfId="3" applyNumberFormat="1" applyFont="1" applyFill="1" applyBorder="1" applyAlignment="1">
      <alignment horizontal="center" vertical="center"/>
    </xf>
    <xf numFmtId="0" fontId="3" fillId="14" borderId="64" xfId="3" applyFont="1" applyFill="1" applyBorder="1" applyAlignment="1">
      <alignment horizontal="center" vertical="center"/>
    </xf>
    <xf numFmtId="216" fontId="3" fillId="14" borderId="68" xfId="3" applyNumberFormat="1" applyFont="1" applyFill="1" applyBorder="1" applyAlignment="1">
      <alignment horizontal="center" vertical="center"/>
    </xf>
    <xf numFmtId="178" fontId="3" fillId="14" borderId="67" xfId="3" applyNumberFormat="1" applyFont="1" applyFill="1" applyBorder="1" applyAlignment="1">
      <alignment horizontal="center" vertical="center"/>
    </xf>
    <xf numFmtId="216" fontId="3" fillId="14" borderId="67" xfId="3" applyNumberFormat="1" applyFont="1" applyFill="1" applyBorder="1" applyAlignment="1">
      <alignment horizontal="center" vertical="center"/>
    </xf>
    <xf numFmtId="178" fontId="3" fillId="14" borderId="52" xfId="3" applyNumberFormat="1" applyFont="1" applyFill="1" applyBorder="1" applyAlignment="1">
      <alignment horizontal="center" vertical="center"/>
    </xf>
    <xf numFmtId="0" fontId="3" fillId="14" borderId="68" xfId="3" applyFont="1" applyFill="1" applyBorder="1" applyAlignment="1">
      <alignment horizontal="center" vertical="center"/>
    </xf>
    <xf numFmtId="0" fontId="3" fillId="14" borderId="67" xfId="3" applyFont="1" applyFill="1" applyBorder="1" applyAlignment="1">
      <alignment horizontal="center" vertical="center"/>
    </xf>
    <xf numFmtId="216" fontId="3" fillId="14" borderId="70" xfId="3" applyNumberFormat="1" applyFont="1" applyFill="1" applyBorder="1" applyAlignment="1">
      <alignment horizontal="center" vertical="center"/>
    </xf>
    <xf numFmtId="178" fontId="3" fillId="14" borderId="69" xfId="3" applyNumberFormat="1" applyFont="1" applyFill="1" applyBorder="1" applyAlignment="1">
      <alignment horizontal="center" vertical="center"/>
    </xf>
    <xf numFmtId="216" fontId="3" fillId="14" borderId="69" xfId="3" applyNumberFormat="1" applyFont="1" applyFill="1" applyBorder="1" applyAlignment="1">
      <alignment horizontal="center" vertical="center"/>
    </xf>
    <xf numFmtId="178" fontId="3" fillId="14" borderId="71" xfId="3" applyNumberFormat="1" applyFont="1" applyFill="1" applyBorder="1" applyAlignment="1">
      <alignment horizontal="center" vertical="center"/>
    </xf>
    <xf numFmtId="0" fontId="3" fillId="14" borderId="70" xfId="3" applyFont="1" applyFill="1" applyBorder="1" applyAlignment="1">
      <alignment horizontal="center" vertical="center"/>
    </xf>
    <xf numFmtId="0" fontId="3" fillId="14" borderId="69" xfId="3" applyFont="1" applyFill="1" applyBorder="1" applyAlignment="1">
      <alignment horizontal="center" vertical="center"/>
    </xf>
    <xf numFmtId="181" fontId="3" fillId="14" borderId="114" xfId="3" applyNumberFormat="1" applyFont="1" applyFill="1" applyBorder="1" applyAlignment="1">
      <alignment horizontal="center" vertical="center" shrinkToFit="1"/>
    </xf>
    <xf numFmtId="0" fontId="3" fillId="14" borderId="65" xfId="3" applyFont="1" applyFill="1" applyBorder="1" applyAlignment="1">
      <alignment horizontal="center" vertical="center"/>
    </xf>
    <xf numFmtId="181" fontId="0" fillId="14" borderId="114" xfId="3" applyNumberFormat="1" applyFont="1" applyFill="1" applyBorder="1" applyAlignment="1">
      <alignment horizontal="center" vertical="center" shrinkToFit="1"/>
    </xf>
    <xf numFmtId="180" fontId="49" fillId="14" borderId="80" xfId="5" applyNumberFormat="1" applyFont="1" applyFill="1" applyBorder="1" applyAlignment="1" applyProtection="1">
      <alignment horizontal="center" vertical="center"/>
      <protection locked="0"/>
    </xf>
    <xf numFmtId="180" fontId="0" fillId="14" borderId="67" xfId="0" applyFill="1" applyBorder="1" applyAlignment="1">
      <alignment horizontal="center" vertical="center"/>
    </xf>
    <xf numFmtId="181" fontId="3" fillId="14" borderId="68" xfId="3" applyNumberFormat="1" applyFont="1" applyFill="1" applyBorder="1" applyAlignment="1">
      <alignment horizontal="center" vertical="center" shrinkToFit="1"/>
    </xf>
    <xf numFmtId="181" fontId="3" fillId="14" borderId="129" xfId="3" applyNumberFormat="1" applyFont="1" applyFill="1" applyBorder="1" applyAlignment="1">
      <alignment horizontal="center" vertical="center" shrinkToFit="1"/>
    </xf>
    <xf numFmtId="181" fontId="3" fillId="14" borderId="117" xfId="3" applyNumberFormat="1" applyFont="1" applyFill="1" applyBorder="1" applyAlignment="1">
      <alignment horizontal="center" vertical="center" shrinkToFit="1"/>
    </xf>
    <xf numFmtId="181" fontId="3" fillId="14" borderId="130" xfId="3" applyNumberFormat="1" applyFont="1" applyFill="1" applyBorder="1" applyAlignment="1">
      <alignment horizontal="center" vertical="center" shrinkToFit="1"/>
    </xf>
    <xf numFmtId="181" fontId="3" fillId="14" borderId="116" xfId="3" applyNumberFormat="1" applyFont="1" applyFill="1" applyBorder="1" applyAlignment="1">
      <alignment horizontal="center" vertical="center" shrinkToFit="1"/>
    </xf>
    <xf numFmtId="181" fontId="3" fillId="14" borderId="30" xfId="3" applyNumberFormat="1" applyFont="1" applyFill="1" applyBorder="1" applyAlignment="1">
      <alignment horizontal="center" vertical="center" shrinkToFit="1"/>
    </xf>
    <xf numFmtId="178" fontId="3" fillId="14" borderId="64" xfId="3" applyNumberFormat="1" applyFont="1" applyFill="1" applyBorder="1" applyAlignment="1">
      <alignment horizontal="center" vertical="center" shrinkToFit="1"/>
    </xf>
    <xf numFmtId="178" fontId="3" fillId="14" borderId="51" xfId="3" applyNumberFormat="1" applyFont="1" applyFill="1" applyBorder="1" applyAlignment="1">
      <alignment horizontal="center" vertical="center" shrinkToFit="1"/>
    </xf>
    <xf numFmtId="178" fontId="3" fillId="14" borderId="65" xfId="3" applyNumberFormat="1" applyFont="1" applyFill="1" applyBorder="1" applyAlignment="1">
      <alignment horizontal="center" vertical="center" shrinkToFit="1"/>
    </xf>
    <xf numFmtId="181" fontId="3" fillId="14" borderId="34" xfId="3" applyNumberFormat="1" applyFont="1" applyFill="1" applyBorder="1" applyAlignment="1">
      <alignment horizontal="center" vertical="center" shrinkToFit="1"/>
    </xf>
    <xf numFmtId="180" fontId="3" fillId="14" borderId="68" xfId="3" applyNumberFormat="1" applyFont="1" applyFill="1" applyBorder="1" applyAlignment="1">
      <alignment horizontal="center" vertical="center" shrinkToFit="1"/>
    </xf>
    <xf numFmtId="180" fontId="3" fillId="14" borderId="70" xfId="3" applyNumberFormat="1" applyFont="1" applyFill="1" applyBorder="1" applyAlignment="1">
      <alignment horizontal="center" vertical="center" shrinkToFit="1"/>
    </xf>
    <xf numFmtId="180" fontId="3" fillId="14" borderId="69" xfId="3" applyNumberFormat="1" applyFont="1" applyFill="1" applyBorder="1" applyAlignment="1">
      <alignment horizontal="center" vertical="center" shrinkToFit="1"/>
    </xf>
    <xf numFmtId="180" fontId="3" fillId="14" borderId="116" xfId="3" applyNumberFormat="1" applyFont="1" applyFill="1" applyBorder="1" applyAlignment="1">
      <alignment horizontal="center" vertical="center" shrinkToFit="1"/>
    </xf>
    <xf numFmtId="180" fontId="3" fillId="14" borderId="128" xfId="3" applyNumberFormat="1" applyFont="1" applyFill="1" applyBorder="1" applyAlignment="1">
      <alignment horizontal="center" vertical="center" shrinkToFit="1"/>
    </xf>
    <xf numFmtId="180" fontId="3" fillId="14" borderId="114" xfId="3" applyNumberFormat="1" applyFont="1" applyFill="1" applyBorder="1" applyAlignment="1">
      <alignment horizontal="center" vertical="center" shrinkToFit="1"/>
    </xf>
    <xf numFmtId="180" fontId="3" fillId="14" borderId="107" xfId="3" applyNumberFormat="1" applyFont="1" applyFill="1" applyBorder="1" applyAlignment="1">
      <alignment horizontal="center" vertical="center" shrinkToFit="1"/>
    </xf>
    <xf numFmtId="40" fontId="3" fillId="14" borderId="114" xfId="0" applyNumberFormat="1" applyFont="1" applyFill="1" applyBorder="1" applyAlignment="1">
      <alignment horizontal="center" vertical="center" shrinkToFit="1"/>
    </xf>
    <xf numFmtId="181" fontId="3" fillId="14" borderId="128" xfId="3" applyNumberFormat="1" applyFont="1" applyFill="1" applyBorder="1" applyAlignment="1">
      <alignment horizontal="center" vertical="center" shrinkToFit="1"/>
    </xf>
    <xf numFmtId="40" fontId="3" fillId="14" borderId="67" xfId="0" applyNumberFormat="1" applyFont="1" applyFill="1" applyBorder="1" applyAlignment="1">
      <alignment horizontal="center" vertical="center" shrinkToFit="1"/>
    </xf>
    <xf numFmtId="180" fontId="3" fillId="14" borderId="129" xfId="0" applyFont="1" applyFill="1" applyBorder="1" applyAlignment="1">
      <alignment horizontal="center" vertical="center" shrinkToFit="1"/>
    </xf>
    <xf numFmtId="40" fontId="3" fillId="14" borderId="117" xfId="0" applyNumberFormat="1" applyFont="1" applyFill="1" applyBorder="1" applyAlignment="1">
      <alignment horizontal="center" vertical="center" shrinkToFit="1"/>
    </xf>
    <xf numFmtId="180" fontId="3" fillId="14" borderId="117" xfId="0" applyFont="1" applyFill="1" applyBorder="1" applyAlignment="1">
      <alignment horizontal="center" vertical="center" shrinkToFit="1"/>
    </xf>
    <xf numFmtId="180" fontId="3" fillId="14" borderId="130" xfId="0" applyFont="1" applyFill="1" applyBorder="1" applyAlignment="1">
      <alignment horizontal="center" vertical="center" shrinkToFit="1"/>
    </xf>
    <xf numFmtId="180" fontId="3" fillId="14" borderId="116" xfId="0" applyFont="1" applyFill="1" applyBorder="1" applyAlignment="1">
      <alignment horizontal="center" vertical="center" shrinkToFit="1"/>
    </xf>
    <xf numFmtId="181" fontId="3" fillId="14" borderId="69" xfId="3" applyNumberFormat="1" applyFont="1" applyFill="1" applyBorder="1" applyAlignment="1">
      <alignment horizontal="center" vertical="center" shrinkToFit="1"/>
    </xf>
    <xf numFmtId="178" fontId="3" fillId="14" borderId="35" xfId="3" applyNumberFormat="1" applyFont="1" applyFill="1" applyBorder="1" applyAlignment="1">
      <alignment horizontal="center" vertical="center" shrinkToFit="1"/>
    </xf>
    <xf numFmtId="0" fontId="0" fillId="3" borderId="186" xfId="7" applyFont="1" applyFill="1" applyBorder="1" applyAlignment="1">
      <alignment horizontal="center" vertical="center" shrinkToFit="1"/>
    </xf>
    <xf numFmtId="0" fontId="3" fillId="3" borderId="181" xfId="7" applyFont="1" applyFill="1" applyBorder="1" applyAlignment="1">
      <alignment horizontal="center" vertical="center" shrinkToFit="1"/>
    </xf>
    <xf numFmtId="0" fontId="0" fillId="3" borderId="181" xfId="7" applyFont="1" applyFill="1" applyBorder="1" applyAlignment="1">
      <alignment horizontal="center" vertical="center" shrinkToFit="1"/>
    </xf>
    <xf numFmtId="180" fontId="14" fillId="12" borderId="82" xfId="0" applyFont="1" applyFill="1" applyBorder="1" applyAlignment="1">
      <alignment horizontal="center" vertical="center" shrinkToFit="1"/>
    </xf>
    <xf numFmtId="180" fontId="0" fillId="0" borderId="0" xfId="0">
      <alignment vertical="center"/>
    </xf>
    <xf numFmtId="180" fontId="59" fillId="0" borderId="80" xfId="5" applyNumberFormat="1" applyFont="1" applyFill="1" applyBorder="1" applyAlignment="1" applyProtection="1">
      <alignment horizontal="center" vertical="center"/>
      <protection locked="0"/>
    </xf>
    <xf numFmtId="178" fontId="59" fillId="0" borderId="67" xfId="3" applyNumberFormat="1" applyFont="1" applyFill="1" applyBorder="1" applyAlignment="1">
      <alignment horizontal="center" vertical="center" shrinkToFit="1"/>
    </xf>
    <xf numFmtId="178" fontId="3" fillId="3" borderId="13" xfId="3" applyNumberFormat="1" applyFont="1" applyFill="1" applyBorder="1" applyAlignment="1">
      <alignment horizontal="left" vertical="center"/>
    </xf>
    <xf numFmtId="178" fontId="3" fillId="3" borderId="15" xfId="3" applyNumberFormat="1" applyFont="1" applyFill="1" applyBorder="1" applyAlignment="1">
      <alignment horizontal="left" vertical="center"/>
    </xf>
    <xf numFmtId="178" fontId="3" fillId="3" borderId="14" xfId="3" applyNumberFormat="1" applyFont="1" applyFill="1" applyBorder="1" applyAlignment="1">
      <alignment horizontal="left" vertical="center"/>
    </xf>
    <xf numFmtId="178" fontId="3" fillId="3" borderId="34" xfId="3" applyNumberFormat="1" applyFont="1" applyFill="1" applyBorder="1" applyAlignment="1">
      <alignment horizontal="left" vertical="center"/>
    </xf>
    <xf numFmtId="178" fontId="3" fillId="3" borderId="35" xfId="3" applyNumberFormat="1" applyFont="1" applyFill="1" applyBorder="1" applyAlignment="1">
      <alignment horizontal="left" vertical="center"/>
    </xf>
    <xf numFmtId="178" fontId="3" fillId="3" borderId="23" xfId="3" applyNumberFormat="1" applyFont="1" applyFill="1" applyBorder="1" applyAlignment="1">
      <alignment horizontal="left" vertical="center"/>
    </xf>
    <xf numFmtId="178" fontId="3" fillId="3" borderId="17" xfId="3" applyNumberFormat="1" applyFont="1" applyFill="1" applyBorder="1" applyAlignment="1">
      <alignment horizontal="left" vertical="center"/>
    </xf>
    <xf numFmtId="178" fontId="3" fillId="0" borderId="210" xfId="3" applyNumberFormat="1" applyFont="1" applyFill="1" applyBorder="1" applyAlignment="1">
      <alignment horizontal="center" vertical="center" shrinkToFit="1"/>
    </xf>
    <xf numFmtId="0" fontId="3" fillId="0" borderId="210" xfId="3" applyFont="1" applyFill="1" applyBorder="1" applyAlignment="1">
      <alignment vertical="center"/>
    </xf>
    <xf numFmtId="180" fontId="0" fillId="0" borderId="199" xfId="0" applyFill="1" applyBorder="1" applyAlignment="1">
      <alignment vertical="center"/>
    </xf>
    <xf numFmtId="180" fontId="3" fillId="3" borderId="186" xfId="5" applyNumberFormat="1" applyFont="1" applyFill="1" applyBorder="1" applyAlignment="1" applyProtection="1">
      <alignment horizontal="centerContinuous" vertical="center"/>
      <protection locked="0"/>
    </xf>
    <xf numFmtId="180" fontId="0" fillId="3" borderId="83" xfId="5" applyNumberFormat="1" applyFont="1" applyFill="1" applyBorder="1" applyAlignment="1" applyProtection="1">
      <alignment horizontal="center" vertical="center" shrinkToFit="1"/>
      <protection locked="0"/>
    </xf>
    <xf numFmtId="180" fontId="3" fillId="0" borderId="199" xfId="5" applyNumberFormat="1" applyFont="1" applyFill="1" applyBorder="1" applyAlignment="1" applyProtection="1">
      <alignment vertical="center" shrinkToFit="1"/>
      <protection locked="0"/>
    </xf>
    <xf numFmtId="180" fontId="49" fillId="14" borderId="83" xfId="5" applyNumberFormat="1" applyFont="1" applyFill="1" applyBorder="1" applyAlignment="1" applyProtection="1">
      <alignment horizontal="center" vertical="center"/>
      <protection locked="0"/>
    </xf>
    <xf numFmtId="180" fontId="3" fillId="0" borderId="82" xfId="5" applyNumberFormat="1" applyFont="1" applyFill="1" applyBorder="1" applyAlignment="1" applyProtection="1">
      <alignment horizontal="center" vertical="center"/>
      <protection locked="0"/>
    </xf>
    <xf numFmtId="0" fontId="26" fillId="0" borderId="0" xfId="4" applyFont="1" applyAlignment="1">
      <alignment vertical="center" shrinkToFit="1"/>
    </xf>
    <xf numFmtId="178" fontId="0" fillId="3" borderId="70" xfId="3" applyNumberFormat="1" applyFont="1" applyFill="1" applyBorder="1" applyAlignment="1">
      <alignment horizontal="centerContinuous" vertical="center"/>
    </xf>
    <xf numFmtId="0" fontId="3" fillId="15" borderId="3" xfId="3" applyFont="1" applyFill="1" applyBorder="1" applyAlignment="1">
      <alignment horizontal="centerContinuous" vertical="center"/>
    </xf>
    <xf numFmtId="0" fontId="3" fillId="15" borderId="4" xfId="3" applyFont="1" applyFill="1" applyBorder="1" applyAlignment="1">
      <alignment horizontal="centerContinuous" vertical="center"/>
    </xf>
    <xf numFmtId="0" fontId="3" fillId="15" borderId="5" xfId="3" applyFont="1" applyFill="1" applyBorder="1" applyAlignment="1">
      <alignment horizontal="centerContinuous" vertical="center"/>
    </xf>
    <xf numFmtId="178" fontId="3" fillId="15" borderId="128" xfId="3" applyNumberFormat="1" applyFont="1" applyFill="1" applyBorder="1" applyAlignment="1">
      <alignment horizontal="center" vertical="center" shrinkToFit="1"/>
    </xf>
    <xf numFmtId="178" fontId="3" fillId="15" borderId="114" xfId="3" applyNumberFormat="1" applyFont="1" applyFill="1" applyBorder="1" applyAlignment="1">
      <alignment horizontal="center" vertical="center" shrinkToFit="1"/>
    </xf>
    <xf numFmtId="178" fontId="3" fillId="15" borderId="108" xfId="3" applyNumberFormat="1" applyFont="1" applyFill="1" applyBorder="1" applyAlignment="1">
      <alignment horizontal="center" vertical="center" shrinkToFit="1"/>
    </xf>
    <xf numFmtId="178" fontId="3" fillId="15" borderId="107" xfId="3" applyNumberFormat="1" applyFont="1" applyFill="1" applyBorder="1" applyAlignment="1">
      <alignment horizontal="center" vertical="center" shrinkToFit="1"/>
    </xf>
    <xf numFmtId="178" fontId="3" fillId="15" borderId="32" xfId="3" applyNumberFormat="1" applyFont="1" applyFill="1" applyBorder="1" applyAlignment="1">
      <alignment horizontal="center" vertical="center" shrinkToFit="1"/>
    </xf>
    <xf numFmtId="178" fontId="3" fillId="15" borderId="67" xfId="3" applyNumberFormat="1" applyFont="1" applyFill="1" applyBorder="1" applyAlignment="1">
      <alignment horizontal="center" vertical="center" shrinkToFit="1"/>
    </xf>
    <xf numFmtId="178" fontId="3" fillId="15" borderId="52" xfId="3" applyNumberFormat="1" applyFont="1" applyFill="1" applyBorder="1" applyAlignment="1">
      <alignment horizontal="center" vertical="center" shrinkToFit="1"/>
    </xf>
    <xf numFmtId="178" fontId="3" fillId="15" borderId="68" xfId="3" applyNumberFormat="1" applyFont="1" applyFill="1" applyBorder="1" applyAlignment="1">
      <alignment horizontal="center" vertical="center" shrinkToFit="1"/>
    </xf>
    <xf numFmtId="178" fontId="3" fillId="15" borderId="129" xfId="3" applyNumberFormat="1" applyFont="1" applyFill="1" applyBorder="1" applyAlignment="1">
      <alignment horizontal="center" vertical="center" shrinkToFit="1"/>
    </xf>
    <xf numFmtId="178" fontId="3" fillId="15" borderId="117" xfId="3" applyNumberFormat="1" applyFont="1" applyFill="1" applyBorder="1" applyAlignment="1">
      <alignment horizontal="center" vertical="center" shrinkToFit="1"/>
    </xf>
    <xf numFmtId="178" fontId="3" fillId="15" borderId="118" xfId="3" applyNumberFormat="1" applyFont="1" applyFill="1" applyBorder="1" applyAlignment="1">
      <alignment horizontal="center" vertical="center" shrinkToFit="1"/>
    </xf>
    <xf numFmtId="180" fontId="0" fillId="0" borderId="0" xfId="0">
      <alignment vertical="center"/>
    </xf>
    <xf numFmtId="180" fontId="9" fillId="3" borderId="36" xfId="0" applyFont="1" applyFill="1" applyBorder="1" applyAlignment="1">
      <alignment horizontal="center" vertical="center" wrapText="1"/>
    </xf>
    <xf numFmtId="180" fontId="0" fillId="0" borderId="0" xfId="0" applyFont="1" applyBorder="1">
      <alignment vertical="center"/>
    </xf>
    <xf numFmtId="180" fontId="0" fillId="0" borderId="0" xfId="0" applyFont="1" applyFill="1" applyBorder="1">
      <alignment vertical="center"/>
    </xf>
    <xf numFmtId="180" fontId="3" fillId="14" borderId="80" xfId="5" applyNumberFormat="1" applyFont="1" applyFill="1" applyBorder="1" applyAlignment="1" applyProtection="1">
      <alignment horizontal="center" vertical="center"/>
      <protection locked="0"/>
    </xf>
    <xf numFmtId="178" fontId="0" fillId="14" borderId="32" xfId="3" applyNumberFormat="1" applyFont="1" applyFill="1" applyBorder="1" applyAlignment="1">
      <alignment horizontal="center" vertical="center" shrinkToFit="1"/>
    </xf>
    <xf numFmtId="177" fontId="0" fillId="14" borderId="32" xfId="0" applyNumberFormat="1" applyFont="1" applyFill="1" applyBorder="1" applyAlignment="1">
      <alignment horizontal="center" vertical="center" shrinkToFit="1"/>
    </xf>
    <xf numFmtId="178" fontId="0" fillId="14" borderId="67" xfId="3" applyNumberFormat="1" applyFont="1" applyFill="1" applyBorder="1" applyAlignment="1">
      <alignment horizontal="center" vertical="center" shrinkToFit="1"/>
    </xf>
    <xf numFmtId="177" fontId="0" fillId="14" borderId="67" xfId="0" applyNumberFormat="1" applyFont="1" applyFill="1" applyBorder="1" applyAlignment="1">
      <alignment horizontal="center" vertical="center" shrinkToFit="1"/>
    </xf>
    <xf numFmtId="178" fontId="0" fillId="14" borderId="33" xfId="3" applyNumberFormat="1" applyFont="1" applyFill="1" applyBorder="1" applyAlignment="1">
      <alignment horizontal="center" vertical="center" shrinkToFit="1"/>
    </xf>
    <xf numFmtId="180" fontId="0" fillId="14" borderId="68" xfId="3" applyNumberFormat="1" applyFont="1" applyFill="1" applyBorder="1" applyAlignment="1">
      <alignment horizontal="center" vertical="center" shrinkToFit="1"/>
    </xf>
    <xf numFmtId="180" fontId="0" fillId="14" borderId="67" xfId="3" applyNumberFormat="1" applyFont="1" applyFill="1" applyBorder="1" applyAlignment="1">
      <alignment horizontal="center" vertical="center" shrinkToFit="1"/>
    </xf>
    <xf numFmtId="178" fontId="0" fillId="14" borderId="129" xfId="3" applyNumberFormat="1" applyFont="1" applyFill="1" applyBorder="1" applyAlignment="1">
      <alignment horizontal="center" vertical="center" shrinkToFit="1"/>
    </xf>
    <xf numFmtId="177" fontId="0" fillId="14" borderId="129" xfId="0" applyNumberFormat="1" applyFont="1" applyFill="1" applyBorder="1" applyAlignment="1">
      <alignment horizontal="center" vertical="center" shrinkToFit="1"/>
    </xf>
    <xf numFmtId="178" fontId="0" fillId="14" borderId="117" xfId="3" applyNumberFormat="1" applyFont="1" applyFill="1" applyBorder="1" applyAlignment="1">
      <alignment horizontal="center" vertical="center" shrinkToFit="1"/>
    </xf>
    <xf numFmtId="177" fontId="0" fillId="14" borderId="117" xfId="0" applyNumberFormat="1" applyFont="1" applyFill="1" applyBorder="1" applyAlignment="1">
      <alignment horizontal="center" vertical="center" shrinkToFit="1"/>
    </xf>
    <xf numFmtId="178" fontId="0" fillId="14" borderId="130" xfId="3" applyNumberFormat="1" applyFont="1" applyFill="1" applyBorder="1" applyAlignment="1">
      <alignment horizontal="center" vertical="center" shrinkToFit="1"/>
    </xf>
    <xf numFmtId="180" fontId="0" fillId="14" borderId="116" xfId="3" applyNumberFormat="1" applyFont="1" applyFill="1" applyBorder="1" applyAlignment="1">
      <alignment horizontal="center" vertical="center" shrinkToFit="1"/>
    </xf>
    <xf numFmtId="180" fontId="0" fillId="14" borderId="117" xfId="3" applyNumberFormat="1" applyFont="1" applyFill="1" applyBorder="1" applyAlignment="1">
      <alignment horizontal="center" vertical="center" shrinkToFit="1"/>
    </xf>
    <xf numFmtId="180" fontId="47" fillId="0" borderId="0" xfId="0" applyFont="1" applyBorder="1" applyAlignment="1">
      <alignment horizontal="center" vertical="center"/>
    </xf>
    <xf numFmtId="234" fontId="14" fillId="0" borderId="65" xfId="5" applyNumberFormat="1" applyFont="1" applyFill="1" applyBorder="1" applyAlignment="1">
      <alignment horizontal="center" vertical="center" shrinkToFit="1"/>
    </xf>
    <xf numFmtId="234" fontId="14" fillId="0" borderId="64" xfId="5" applyNumberFormat="1" applyFont="1" applyFill="1" applyBorder="1" applyAlignment="1">
      <alignment horizontal="center" vertical="center" shrinkToFit="1"/>
    </xf>
    <xf numFmtId="180" fontId="14" fillId="0" borderId="26" xfId="0" applyFont="1" applyBorder="1" applyAlignment="1">
      <alignment vertical="center"/>
    </xf>
    <xf numFmtId="180" fontId="14" fillId="0" borderId="27" xfId="0" applyFont="1" applyBorder="1" applyAlignment="1">
      <alignment vertical="center"/>
    </xf>
    <xf numFmtId="38" fontId="14" fillId="0" borderId="27" xfId="2" applyFont="1" applyFill="1" applyBorder="1" applyAlignment="1">
      <alignment vertical="center" shrinkToFit="1"/>
    </xf>
    <xf numFmtId="38" fontId="14" fillId="0" borderId="13" xfId="2" applyFont="1" applyFill="1" applyBorder="1" applyAlignment="1">
      <alignment vertical="center" shrinkToFit="1"/>
    </xf>
    <xf numFmtId="38" fontId="14" fillId="0" borderId="27" xfId="2" applyFont="1" applyBorder="1" applyAlignment="1">
      <alignment vertical="center"/>
    </xf>
    <xf numFmtId="180" fontId="9" fillId="3" borderId="22" xfId="0" applyFont="1" applyFill="1" applyBorder="1" applyAlignment="1">
      <alignment horizontal="center" vertical="center" wrapText="1"/>
    </xf>
    <xf numFmtId="38" fontId="14" fillId="0" borderId="13" xfId="2" applyFont="1" applyBorder="1" applyAlignment="1">
      <alignment vertical="center" shrinkToFit="1"/>
    </xf>
    <xf numFmtId="180" fontId="14" fillId="0" borderId="8" xfId="0" applyFont="1" applyBorder="1" applyAlignment="1">
      <alignment vertical="center"/>
    </xf>
    <xf numFmtId="180" fontId="14" fillId="0" borderId="25" xfId="0" applyFont="1" applyBorder="1" applyAlignment="1">
      <alignment vertical="center"/>
    </xf>
    <xf numFmtId="180" fontId="14" fillId="0" borderId="8" xfId="0" applyFont="1" applyBorder="1">
      <alignment vertical="center"/>
    </xf>
    <xf numFmtId="180" fontId="14" fillId="0" borderId="17" xfId="0" applyFont="1" applyBorder="1" applyAlignment="1">
      <alignment vertical="center"/>
    </xf>
    <xf numFmtId="180" fontId="14" fillId="0" borderId="16" xfId="0" applyFont="1" applyBorder="1" applyAlignment="1">
      <alignment vertical="center"/>
    </xf>
    <xf numFmtId="180" fontId="14" fillId="0" borderId="23" xfId="0" applyFont="1" applyBorder="1">
      <alignment vertical="center"/>
    </xf>
    <xf numFmtId="180" fontId="14" fillId="0" borderId="2" xfId="0" applyFont="1" applyFill="1" applyBorder="1" applyAlignment="1">
      <alignment vertical="center"/>
    </xf>
    <xf numFmtId="40" fontId="14" fillId="0" borderId="2" xfId="0" applyNumberFormat="1" applyFont="1" applyFill="1" applyBorder="1" applyAlignment="1">
      <alignment vertical="center"/>
    </xf>
    <xf numFmtId="180" fontId="14" fillId="0" borderId="1" xfId="0" applyFont="1" applyFill="1" applyBorder="1" applyAlignment="1">
      <alignment vertical="center"/>
    </xf>
    <xf numFmtId="180" fontId="14" fillId="0" borderId="22" xfId="0" applyFont="1" applyFill="1" applyBorder="1" applyAlignment="1">
      <alignment vertical="center"/>
    </xf>
    <xf numFmtId="180" fontId="14" fillId="0" borderId="0" xfId="0" applyFont="1" applyFill="1" applyBorder="1" applyAlignment="1">
      <alignment vertical="center"/>
    </xf>
    <xf numFmtId="40" fontId="14" fillId="0" borderId="19" xfId="0" applyNumberFormat="1" applyFont="1" applyFill="1" applyBorder="1" applyAlignment="1">
      <alignment vertical="center"/>
    </xf>
    <xf numFmtId="40" fontId="14" fillId="0" borderId="0" xfId="0" applyNumberFormat="1" applyFont="1" applyFill="1" applyBorder="1" applyAlignment="1">
      <alignment vertical="center"/>
    </xf>
    <xf numFmtId="180" fontId="9" fillId="3" borderId="22" xfId="0" applyFont="1" applyFill="1" applyBorder="1" applyAlignment="1">
      <alignment horizontal="center" vertical="center" textRotation="255" wrapText="1"/>
    </xf>
    <xf numFmtId="180" fontId="9" fillId="3" borderId="7" xfId="0" applyFont="1" applyFill="1" applyBorder="1" applyAlignment="1">
      <alignment horizontal="center" vertical="center" textRotation="255" wrapText="1"/>
    </xf>
    <xf numFmtId="40" fontId="14" fillId="0" borderId="8" xfId="0" applyNumberFormat="1" applyFont="1" applyBorder="1">
      <alignment vertical="center"/>
    </xf>
    <xf numFmtId="180" fontId="0" fillId="0" borderId="0" xfId="0">
      <alignment vertical="center"/>
    </xf>
    <xf numFmtId="180" fontId="14" fillId="0" borderId="22" xfId="0" applyFont="1" applyBorder="1">
      <alignment vertical="center"/>
    </xf>
    <xf numFmtId="180" fontId="14" fillId="0" borderId="0" xfId="0" applyFont="1" applyBorder="1">
      <alignment vertical="center"/>
    </xf>
    <xf numFmtId="180" fontId="14" fillId="0" borderId="29" xfId="0" applyFont="1" applyBorder="1">
      <alignment vertical="center"/>
    </xf>
    <xf numFmtId="180" fontId="14" fillId="0" borderId="7" xfId="0" applyFont="1" applyBorder="1">
      <alignment vertical="center"/>
    </xf>
    <xf numFmtId="180" fontId="14" fillId="0" borderId="25" xfId="0" applyFont="1" applyBorder="1">
      <alignment vertical="center"/>
    </xf>
    <xf numFmtId="180" fontId="14" fillId="0" borderId="1" xfId="0" applyFont="1" applyBorder="1">
      <alignment vertical="center"/>
    </xf>
    <xf numFmtId="180" fontId="14" fillId="0" borderId="2" xfId="0" applyFont="1" applyBorder="1">
      <alignment vertical="center"/>
    </xf>
    <xf numFmtId="180" fontId="14" fillId="0" borderId="19" xfId="0" applyFont="1" applyBorder="1">
      <alignment vertical="center"/>
    </xf>
    <xf numFmtId="180" fontId="9" fillId="3" borderId="87" xfId="0" applyFont="1" applyFill="1" applyBorder="1" applyAlignment="1">
      <alignment horizontal="center" vertical="center" wrapText="1"/>
    </xf>
    <xf numFmtId="180" fontId="14" fillId="4" borderId="4" xfId="0" applyFont="1" applyFill="1" applyBorder="1">
      <alignment vertical="center"/>
    </xf>
    <xf numFmtId="180" fontId="14" fillId="0" borderId="36" xfId="0" applyFont="1" applyBorder="1">
      <alignment vertical="center"/>
    </xf>
    <xf numFmtId="180" fontId="14" fillId="0" borderId="87" xfId="0" applyFont="1" applyBorder="1">
      <alignment vertical="center"/>
    </xf>
    <xf numFmtId="40" fontId="14" fillId="0" borderId="0" xfId="0" applyNumberFormat="1" applyFont="1" applyBorder="1">
      <alignment vertical="center"/>
    </xf>
    <xf numFmtId="180" fontId="14" fillId="0" borderId="29" xfId="0" applyFont="1" applyBorder="1" applyAlignment="1">
      <alignment vertical="center"/>
    </xf>
    <xf numFmtId="180" fontId="0" fillId="3" borderId="20" xfId="0" applyFont="1" applyFill="1" applyBorder="1" applyAlignment="1">
      <alignment horizontal="center" vertical="center"/>
    </xf>
    <xf numFmtId="180" fontId="14" fillId="0" borderId="174" xfId="0" applyFont="1" applyBorder="1">
      <alignment vertical="center"/>
    </xf>
    <xf numFmtId="180" fontId="9" fillId="3" borderId="36" xfId="0" applyFont="1" applyFill="1" applyBorder="1" applyAlignment="1">
      <alignment horizontal="center" vertical="center" wrapText="1"/>
    </xf>
    <xf numFmtId="180" fontId="34" fillId="0" borderId="0" xfId="0" applyFont="1">
      <alignment vertical="center"/>
    </xf>
    <xf numFmtId="0" fontId="60" fillId="0" borderId="0" xfId="8" applyFont="1">
      <alignment vertical="center"/>
    </xf>
    <xf numFmtId="180" fontId="0" fillId="0" borderId="14" xfId="0" applyFont="1" applyFill="1" applyBorder="1">
      <alignment vertical="center"/>
    </xf>
    <xf numFmtId="180" fontId="0" fillId="0" borderId="13" xfId="0" applyFont="1" applyBorder="1">
      <alignment vertical="center"/>
    </xf>
    <xf numFmtId="180" fontId="0" fillId="0" borderId="13" xfId="0" applyFont="1" applyFill="1" applyBorder="1">
      <alignment vertical="center"/>
    </xf>
    <xf numFmtId="180" fontId="0" fillId="0" borderId="15" xfId="0" applyFont="1" applyFill="1" applyBorder="1">
      <alignment vertical="center"/>
    </xf>
    <xf numFmtId="180" fontId="0" fillId="0" borderId="26" xfId="0" applyFont="1" applyFill="1" applyBorder="1">
      <alignment vertical="center"/>
    </xf>
    <xf numFmtId="180" fontId="0" fillId="0" borderId="27" xfId="0" applyFont="1" applyBorder="1">
      <alignment vertical="center"/>
    </xf>
    <xf numFmtId="180" fontId="0" fillId="0" borderId="27" xfId="0" applyFont="1" applyFill="1" applyBorder="1">
      <alignment vertical="center"/>
    </xf>
    <xf numFmtId="180" fontId="0" fillId="0" borderId="28" xfId="0" applyFont="1" applyFill="1" applyBorder="1">
      <alignment vertical="center"/>
    </xf>
    <xf numFmtId="180" fontId="0" fillId="0" borderId="17" xfId="0" applyFont="1" applyFill="1" applyBorder="1">
      <alignment vertical="center"/>
    </xf>
    <xf numFmtId="180" fontId="0" fillId="0" borderId="16" xfId="0" applyFont="1" applyBorder="1">
      <alignment vertical="center"/>
    </xf>
    <xf numFmtId="180" fontId="0" fillId="0" borderId="16" xfId="0" applyFont="1" applyFill="1" applyBorder="1">
      <alignment vertical="center"/>
    </xf>
    <xf numFmtId="180" fontId="0" fillId="0" borderId="23" xfId="0" applyFont="1" applyFill="1" applyBorder="1">
      <alignment vertical="center"/>
    </xf>
    <xf numFmtId="38" fontId="3" fillId="0" borderId="31" xfId="2" applyFont="1" applyFill="1" applyBorder="1" applyAlignment="1">
      <alignment horizontal="centerContinuous" vertical="center" shrinkToFit="1"/>
    </xf>
    <xf numFmtId="38" fontId="3" fillId="0" borderId="35" xfId="2" applyFont="1" applyFill="1" applyBorder="1" applyAlignment="1">
      <alignment horizontal="centerContinuous" vertical="center" shrinkToFit="1"/>
    </xf>
    <xf numFmtId="180" fontId="0" fillId="0" borderId="2" xfId="0" applyFont="1" applyBorder="1">
      <alignment vertical="center"/>
    </xf>
    <xf numFmtId="180" fontId="0" fillId="0" borderId="8" xfId="0" applyFont="1" applyBorder="1">
      <alignment vertical="center"/>
    </xf>
    <xf numFmtId="180" fontId="0" fillId="3" borderId="4" xfId="0" applyFont="1" applyFill="1" applyBorder="1" applyAlignment="1">
      <alignment horizontal="centerContinuous" vertical="center"/>
    </xf>
    <xf numFmtId="180" fontId="0" fillId="3" borderId="5" xfId="0" applyFont="1" applyFill="1" applyBorder="1" applyAlignment="1">
      <alignment horizontal="centerContinuous" vertical="center"/>
    </xf>
    <xf numFmtId="180" fontId="0" fillId="0" borderId="0" xfId="0" applyFont="1">
      <alignment vertical="center"/>
    </xf>
    <xf numFmtId="180" fontId="0" fillId="0" borderId="64" xfId="0" applyFont="1" applyFill="1" applyBorder="1" applyAlignment="1">
      <alignment horizontal="centerContinuous" vertical="center"/>
    </xf>
    <xf numFmtId="180" fontId="0" fillId="0" borderId="51" xfId="0" applyFont="1" applyFill="1" applyBorder="1" applyAlignment="1">
      <alignment horizontal="centerContinuous" vertical="center"/>
    </xf>
    <xf numFmtId="180" fontId="0" fillId="0" borderId="67" xfId="0" applyFont="1" applyFill="1" applyBorder="1" applyAlignment="1">
      <alignment horizontal="centerContinuous" vertical="center"/>
    </xf>
    <xf numFmtId="180" fontId="0" fillId="0" borderId="52" xfId="0" applyFont="1" applyFill="1" applyBorder="1" applyAlignment="1">
      <alignment horizontal="centerContinuous" vertical="center"/>
    </xf>
    <xf numFmtId="180" fontId="0" fillId="0" borderId="69" xfId="0" applyFont="1" applyFill="1" applyBorder="1" applyAlignment="1">
      <alignment horizontal="centerContinuous" vertical="center"/>
    </xf>
    <xf numFmtId="180" fontId="0" fillId="0" borderId="71" xfId="0" applyFont="1" applyFill="1" applyBorder="1" applyAlignment="1">
      <alignment horizontal="centerContinuous" vertical="center"/>
    </xf>
    <xf numFmtId="0" fontId="26" fillId="11" borderId="181" xfId="4" applyFont="1" applyFill="1" applyBorder="1" applyAlignment="1">
      <alignment horizontal="center" vertical="center"/>
    </xf>
    <xf numFmtId="180" fontId="26" fillId="11" borderId="181" xfId="0" applyFont="1" applyFill="1" applyBorder="1" applyAlignment="1">
      <alignment horizontal="center" vertical="center"/>
    </xf>
    <xf numFmtId="0" fontId="26" fillId="12" borderId="107" xfId="4" applyNumberFormat="1" applyFont="1" applyFill="1" applyBorder="1" applyAlignment="1">
      <alignment horizontal="center" vertical="center"/>
    </xf>
    <xf numFmtId="180" fontId="26" fillId="0" borderId="114" xfId="0" applyFont="1" applyBorder="1" applyAlignment="1">
      <alignment horizontal="center" vertical="center"/>
    </xf>
    <xf numFmtId="0" fontId="26" fillId="0" borderId="114" xfId="4" applyFont="1" applyBorder="1" applyAlignment="1">
      <alignment horizontal="center" vertical="center"/>
    </xf>
    <xf numFmtId="40" fontId="26" fillId="0" borderId="61" xfId="4" applyNumberFormat="1" applyFont="1" applyBorder="1" applyAlignment="1">
      <alignment horizontal="center" vertical="center"/>
    </xf>
    <xf numFmtId="188" fontId="26" fillId="0" borderId="68" xfId="4" applyNumberFormat="1" applyFont="1" applyFill="1" applyBorder="1" applyAlignment="1">
      <alignment horizontal="center" vertical="center"/>
    </xf>
    <xf numFmtId="188" fontId="26" fillId="0" borderId="67" xfId="0" applyNumberFormat="1" applyFont="1" applyBorder="1" applyAlignment="1">
      <alignment horizontal="center" vertical="center"/>
    </xf>
    <xf numFmtId="188" fontId="26" fillId="0" borderId="67" xfId="4" applyNumberFormat="1" applyFont="1" applyBorder="1" applyAlignment="1">
      <alignment horizontal="center" vertical="center"/>
    </xf>
    <xf numFmtId="188" fontId="26" fillId="0" borderId="33" xfId="4" applyNumberFormat="1" applyFont="1" applyBorder="1" applyAlignment="1">
      <alignment horizontal="center" vertical="center"/>
    </xf>
    <xf numFmtId="2" fontId="26" fillId="0" borderId="116" xfId="4" applyNumberFormat="1" applyFont="1" applyFill="1" applyBorder="1" applyAlignment="1">
      <alignment horizontal="center" vertical="center"/>
    </xf>
    <xf numFmtId="179" fontId="26" fillId="0" borderId="117" xfId="0" applyNumberFormat="1" applyFont="1" applyBorder="1" applyAlignment="1">
      <alignment horizontal="center" vertical="center"/>
    </xf>
    <xf numFmtId="179" fontId="26" fillId="0" borderId="117" xfId="4" applyNumberFormat="1" applyFont="1" applyBorder="1" applyAlignment="1">
      <alignment horizontal="center" vertical="center"/>
    </xf>
    <xf numFmtId="40" fontId="26" fillId="0" borderId="130" xfId="4" applyNumberFormat="1" applyFont="1" applyBorder="1" applyAlignment="1">
      <alignment horizontal="center" vertical="center"/>
    </xf>
    <xf numFmtId="0" fontId="26" fillId="12" borderId="65" xfId="4" applyNumberFormat="1" applyFont="1" applyFill="1" applyBorder="1" applyAlignment="1">
      <alignment horizontal="center" vertical="center"/>
    </xf>
    <xf numFmtId="180" fontId="26" fillId="0" borderId="64" xfId="0" applyFont="1" applyBorder="1" applyAlignment="1">
      <alignment horizontal="center" vertical="center"/>
    </xf>
    <xf numFmtId="0" fontId="26" fillId="0" borderId="64" xfId="4" applyFont="1" applyBorder="1" applyAlignment="1">
      <alignment horizontal="center" vertical="center"/>
    </xf>
    <xf numFmtId="0" fontId="26" fillId="0" borderId="31" xfId="4" applyFont="1" applyBorder="1" applyAlignment="1">
      <alignment horizontal="center" vertical="center"/>
    </xf>
    <xf numFmtId="40" fontId="26" fillId="0" borderId="1" xfId="4" applyNumberFormat="1" applyFont="1" applyBorder="1" applyAlignment="1">
      <alignment vertical="center"/>
    </xf>
    <xf numFmtId="179" fontId="26" fillId="0" borderId="70" xfId="0" applyNumberFormat="1" applyFont="1" applyBorder="1" applyAlignment="1">
      <alignment horizontal="center" vertical="center"/>
    </xf>
    <xf numFmtId="179" fontId="26" fillId="0" borderId="69" xfId="4" applyNumberFormat="1" applyFont="1" applyBorder="1" applyAlignment="1">
      <alignment horizontal="center" vertical="center"/>
    </xf>
    <xf numFmtId="179" fontId="26" fillId="0" borderId="35" xfId="4" applyNumberFormat="1" applyFont="1" applyBorder="1" applyAlignment="1">
      <alignment horizontal="center" vertical="center"/>
    </xf>
    <xf numFmtId="180" fontId="26" fillId="0" borderId="184" xfId="0" applyFont="1" applyBorder="1" applyAlignment="1">
      <alignment vertical="center"/>
    </xf>
    <xf numFmtId="202" fontId="26" fillId="12" borderId="65" xfId="0" applyNumberFormat="1" applyFont="1" applyFill="1" applyBorder="1" applyAlignment="1">
      <alignment horizontal="center" vertical="center"/>
    </xf>
    <xf numFmtId="202" fontId="26" fillId="0" borderId="64" xfId="4" applyNumberFormat="1" applyFont="1" applyBorder="1" applyAlignment="1">
      <alignment horizontal="center" vertical="center"/>
    </xf>
    <xf numFmtId="180" fontId="26" fillId="0" borderId="31" xfId="0" applyFont="1" applyBorder="1" applyAlignment="1">
      <alignment horizontal="center" vertical="center"/>
    </xf>
    <xf numFmtId="2" fontId="26" fillId="0" borderId="69" xfId="4" applyNumberFormat="1" applyFont="1" applyBorder="1" applyAlignment="1">
      <alignment horizontal="center" vertical="center"/>
    </xf>
    <xf numFmtId="179" fontId="26" fillId="0" borderId="35" xfId="0" applyNumberFormat="1" applyFont="1" applyBorder="1" applyAlignment="1">
      <alignment vertical="center"/>
    </xf>
    <xf numFmtId="180" fontId="0" fillId="3" borderId="3" xfId="0" applyFont="1" applyFill="1" applyBorder="1" applyAlignment="1">
      <alignment horizontal="right" vertical="center"/>
    </xf>
    <xf numFmtId="180" fontId="0" fillId="3" borderId="5" xfId="0" applyFont="1" applyFill="1" applyBorder="1" applyAlignment="1">
      <alignment horizontal="left" vertical="center"/>
    </xf>
    <xf numFmtId="180" fontId="0" fillId="0" borderId="0" xfId="0" applyFont="1" applyAlignment="1">
      <alignment vertical="center" shrinkToFit="1"/>
    </xf>
    <xf numFmtId="188" fontId="14" fillId="0" borderId="65" xfId="0" applyNumberFormat="1" applyFont="1" applyFill="1" applyBorder="1" applyAlignment="1">
      <alignment horizontal="center" vertical="center" shrinkToFit="1"/>
    </xf>
    <xf numFmtId="180" fontId="14" fillId="0" borderId="210" xfId="0" applyFont="1" applyFill="1" applyBorder="1" applyAlignment="1">
      <alignment horizontal="center" vertical="center" shrinkToFit="1"/>
    </xf>
    <xf numFmtId="180" fontId="14" fillId="0" borderId="210" xfId="0" applyFont="1" applyFill="1" applyBorder="1">
      <alignment vertical="center"/>
    </xf>
    <xf numFmtId="233" fontId="14" fillId="0" borderId="70" xfId="0" applyNumberFormat="1" applyFont="1" applyFill="1" applyBorder="1" applyAlignment="1">
      <alignment horizontal="center" vertical="center" shrinkToFit="1"/>
    </xf>
    <xf numFmtId="180" fontId="0" fillId="0" borderId="29" xfId="0" applyFont="1" applyBorder="1" applyAlignment="1">
      <alignment vertical="center" shrinkToFit="1"/>
    </xf>
    <xf numFmtId="180" fontId="0" fillId="0" borderId="182" xfId="0" applyFont="1" applyFill="1" applyBorder="1" applyAlignment="1">
      <alignment vertical="center"/>
    </xf>
    <xf numFmtId="180" fontId="0" fillId="0" borderId="184" xfId="0" applyFont="1" applyFill="1" applyBorder="1" applyAlignment="1">
      <alignment vertical="center"/>
    </xf>
    <xf numFmtId="180" fontId="53" fillId="0" borderId="22" xfId="0" applyFont="1" applyBorder="1" applyAlignment="1">
      <alignment vertical="center"/>
    </xf>
    <xf numFmtId="180" fontId="34" fillId="3" borderId="5" xfId="0" applyFont="1" applyFill="1" applyBorder="1" applyAlignment="1">
      <alignment horizontal="left" vertical="center"/>
    </xf>
    <xf numFmtId="189" fontId="14" fillId="6" borderId="82" xfId="0" applyNumberFormat="1" applyFont="1" applyFill="1" applyBorder="1" applyAlignment="1">
      <alignment horizontal="center" vertical="center" shrinkToFit="1"/>
    </xf>
    <xf numFmtId="231" fontId="14" fillId="0" borderId="65" xfId="0" applyNumberFormat="1" applyFont="1" applyBorder="1" applyAlignment="1">
      <alignment horizontal="center" vertical="center" shrinkToFit="1"/>
    </xf>
    <xf numFmtId="231" fontId="14" fillId="0" borderId="64" xfId="0" applyNumberFormat="1" applyFont="1" applyBorder="1" applyAlignment="1">
      <alignment horizontal="center" vertical="center" shrinkToFit="1"/>
    </xf>
    <xf numFmtId="189" fontId="14" fillId="4" borderId="20" xfId="0" applyNumberFormat="1" applyFont="1" applyFill="1" applyBorder="1">
      <alignment vertical="center"/>
    </xf>
    <xf numFmtId="199" fontId="14" fillId="6" borderId="82" xfId="0" applyNumberFormat="1" applyFont="1" applyFill="1" applyBorder="1" applyAlignment="1">
      <alignment horizontal="center" vertical="center" shrinkToFit="1"/>
    </xf>
    <xf numFmtId="199" fontId="14" fillId="4" borderId="20" xfId="0" applyNumberFormat="1" applyFont="1" applyFill="1" applyBorder="1">
      <alignment vertical="center"/>
    </xf>
    <xf numFmtId="187" fontId="14" fillId="6" borderId="82" xfId="0" applyNumberFormat="1" applyFont="1" applyFill="1" applyBorder="1" applyAlignment="1">
      <alignment horizontal="center" vertical="center" shrinkToFit="1"/>
    </xf>
    <xf numFmtId="187" fontId="14" fillId="0" borderId="65" xfId="0" applyNumberFormat="1" applyFont="1" applyBorder="1" applyAlignment="1">
      <alignment horizontal="center" vertical="center" shrinkToFit="1"/>
    </xf>
    <xf numFmtId="187" fontId="14" fillId="0" borderId="64" xfId="0" applyNumberFormat="1" applyFont="1" applyBorder="1" applyAlignment="1">
      <alignment horizontal="center" vertical="center" shrinkToFit="1"/>
    </xf>
    <xf numFmtId="187" fontId="14" fillId="4" borderId="20" xfId="0" applyNumberFormat="1" applyFont="1" applyFill="1" applyBorder="1">
      <alignment vertical="center"/>
    </xf>
    <xf numFmtId="201" fontId="14" fillId="6" borderId="82" xfId="0" applyNumberFormat="1" applyFont="1" applyFill="1" applyBorder="1" applyAlignment="1">
      <alignment horizontal="center" vertical="center" shrinkToFit="1"/>
    </xf>
    <xf numFmtId="201" fontId="14" fillId="4" borderId="20" xfId="0" applyNumberFormat="1" applyFont="1" applyFill="1" applyBorder="1">
      <alignment vertical="center"/>
    </xf>
    <xf numFmtId="179" fontId="14" fillId="0" borderId="71" xfId="0" applyNumberFormat="1" applyFont="1" applyBorder="1" applyAlignment="1">
      <alignment horizontal="center" vertical="center"/>
    </xf>
    <xf numFmtId="231" fontId="14" fillId="6" borderId="82" xfId="0" applyNumberFormat="1" applyFont="1" applyFill="1" applyBorder="1" applyAlignment="1">
      <alignment horizontal="center" vertical="center" shrinkToFit="1"/>
    </xf>
    <xf numFmtId="231" fontId="14" fillId="0" borderId="68" xfId="0" applyNumberFormat="1" applyFont="1" applyBorder="1" applyAlignment="1">
      <alignment horizontal="center" vertical="center" shrinkToFit="1"/>
    </xf>
    <xf numFmtId="189" fontId="14" fillId="4" borderId="20" xfId="0" applyNumberFormat="1" applyFont="1" applyFill="1" applyBorder="1" applyAlignment="1">
      <alignment horizontal="center" vertical="center"/>
    </xf>
    <xf numFmtId="202" fontId="14" fillId="6" borderId="82" xfId="0" applyNumberFormat="1" applyFont="1" applyFill="1" applyBorder="1" applyAlignment="1">
      <alignment horizontal="center" vertical="center" shrinkToFit="1"/>
    </xf>
    <xf numFmtId="202" fontId="14" fillId="0" borderId="68" xfId="0" applyNumberFormat="1" applyFont="1" applyBorder="1" applyAlignment="1">
      <alignment horizontal="center" vertical="center" shrinkToFit="1"/>
    </xf>
    <xf numFmtId="202" fontId="14" fillId="0" borderId="67" xfId="0" applyNumberFormat="1" applyFont="1" applyBorder="1" applyAlignment="1">
      <alignment horizontal="center" vertical="center" shrinkToFit="1"/>
    </xf>
    <xf numFmtId="180" fontId="0" fillId="3" borderId="181" xfId="0" applyFont="1" applyFill="1" applyBorder="1" applyAlignment="1">
      <alignment horizontal="centerContinuous" vertical="center"/>
    </xf>
    <xf numFmtId="188" fontId="14" fillId="4" borderId="181" xfId="0" applyNumberFormat="1" applyFont="1" applyFill="1" applyBorder="1" applyAlignment="1">
      <alignment horizontal="center" vertical="center"/>
    </xf>
    <xf numFmtId="232" fontId="14" fillId="6" borderId="82" xfId="0" applyNumberFormat="1" applyFont="1" applyFill="1" applyBorder="1" applyAlignment="1">
      <alignment horizontal="center" vertical="center" shrinkToFit="1"/>
    </xf>
    <xf numFmtId="232" fontId="14" fillId="0" borderId="68" xfId="0" applyNumberFormat="1" applyFont="1" applyBorder="1" applyAlignment="1">
      <alignment horizontal="center" vertical="center" shrinkToFit="1"/>
    </xf>
    <xf numFmtId="232" fontId="14" fillId="0" borderId="67" xfId="0" applyNumberFormat="1" applyFont="1" applyBorder="1" applyAlignment="1">
      <alignment horizontal="center" vertical="center" shrinkToFit="1"/>
    </xf>
    <xf numFmtId="0" fontId="14" fillId="0" borderId="0" xfId="0" applyNumberFormat="1" applyFont="1" applyFill="1" applyBorder="1" applyAlignment="1">
      <alignment horizontal="center" vertical="center" shrinkToFit="1"/>
    </xf>
    <xf numFmtId="180" fontId="0" fillId="0" borderId="183" xfId="0" applyFont="1" applyFill="1" applyBorder="1" applyAlignment="1">
      <alignment horizontal="centerContinuous" vertical="center"/>
    </xf>
    <xf numFmtId="232" fontId="14" fillId="0" borderId="174" xfId="0" applyNumberFormat="1" applyFont="1" applyFill="1" applyBorder="1" applyAlignment="1">
      <alignment horizontal="center" vertical="center"/>
    </xf>
    <xf numFmtId="180" fontId="14" fillId="0" borderId="174" xfId="0" applyFont="1" applyFill="1" applyBorder="1">
      <alignment vertical="center"/>
    </xf>
    <xf numFmtId="188" fontId="14" fillId="12" borderId="82" xfId="0" applyNumberFormat="1" applyFont="1" applyFill="1" applyBorder="1" applyAlignment="1">
      <alignment horizontal="center" vertical="center" shrinkToFit="1"/>
    </xf>
    <xf numFmtId="202" fontId="14" fillId="0" borderId="1" xfId="0" applyNumberFormat="1" applyFont="1" applyBorder="1" applyAlignment="1">
      <alignment horizontal="center" vertical="center" shrinkToFit="1"/>
    </xf>
    <xf numFmtId="188" fontId="14" fillId="4" borderId="20" xfId="0" applyNumberFormat="1" applyFont="1" applyFill="1" applyBorder="1" applyAlignment="1">
      <alignment horizontal="center" vertical="center"/>
    </xf>
    <xf numFmtId="232" fontId="14" fillId="4" borderId="20" xfId="0" applyNumberFormat="1" applyFont="1" applyFill="1" applyBorder="1" applyAlignment="1">
      <alignment horizontal="center" vertical="center"/>
    </xf>
    <xf numFmtId="180" fontId="0" fillId="3" borderId="53" xfId="0" applyFont="1" applyFill="1" applyBorder="1" applyAlignment="1">
      <alignment horizontal="center" vertical="center"/>
    </xf>
    <xf numFmtId="180" fontId="0" fillId="3" borderId="20" xfId="0" applyFont="1" applyFill="1" applyBorder="1" applyAlignment="1">
      <alignment horizontal="center" vertical="center" shrinkToFit="1"/>
    </xf>
    <xf numFmtId="180" fontId="0" fillId="3" borderId="2" xfId="0" applyFont="1" applyFill="1" applyBorder="1" applyAlignment="1">
      <alignment horizontal="centerContinuous" vertical="center"/>
    </xf>
    <xf numFmtId="180" fontId="0" fillId="3" borderId="19" xfId="0" applyFont="1" applyFill="1" applyBorder="1" applyAlignment="1">
      <alignment horizontal="centerContinuous" vertical="center"/>
    </xf>
    <xf numFmtId="180" fontId="14" fillId="0" borderId="15" xfId="0" applyFont="1" applyBorder="1" applyAlignment="1">
      <alignment horizontal="center" vertical="center" shrinkToFit="1"/>
    </xf>
    <xf numFmtId="40" fontId="14" fillId="0" borderId="69" xfId="2" applyNumberFormat="1" applyFont="1" applyBorder="1" applyAlignment="1">
      <alignment horizontal="center" vertical="center" shrinkToFit="1"/>
    </xf>
    <xf numFmtId="40" fontId="14" fillId="0" borderId="23" xfId="2" applyNumberFormat="1" applyFont="1" applyBorder="1" applyAlignment="1">
      <alignment horizontal="center" vertical="center" shrinkToFit="1"/>
    </xf>
    <xf numFmtId="38" fontId="0" fillId="0" borderId="0" xfId="0" applyNumberFormat="1" applyFont="1" applyAlignment="1">
      <alignment vertical="center" shrinkToFit="1"/>
    </xf>
    <xf numFmtId="180" fontId="0" fillId="3" borderId="36" xfId="0" applyFont="1" applyFill="1" applyBorder="1">
      <alignment vertical="center"/>
    </xf>
    <xf numFmtId="202" fontId="14" fillId="0" borderId="211" xfId="0" applyNumberFormat="1" applyFont="1" applyFill="1" applyBorder="1" applyAlignment="1">
      <alignment horizontal="center" vertical="center" shrinkToFit="1"/>
    </xf>
    <xf numFmtId="180" fontId="0" fillId="0" borderId="210" xfId="0" applyFont="1" applyFill="1" applyBorder="1">
      <alignment vertical="center"/>
    </xf>
    <xf numFmtId="181" fontId="14" fillId="0" borderId="62" xfId="0" applyNumberFormat="1" applyFont="1" applyFill="1" applyBorder="1" applyAlignment="1">
      <alignment horizontal="center" vertical="center" shrinkToFit="1"/>
    </xf>
    <xf numFmtId="180" fontId="0" fillId="0" borderId="199" xfId="0" applyFont="1" applyFill="1" applyBorder="1">
      <alignment vertical="center"/>
    </xf>
    <xf numFmtId="40" fontId="14" fillId="0" borderId="0" xfId="0" applyNumberFormat="1" applyFont="1" applyFill="1" applyBorder="1" applyAlignment="1">
      <alignment vertical="center"/>
    </xf>
    <xf numFmtId="0" fontId="12" fillId="3" borderId="19" xfId="5" applyFont="1" applyFill="1" applyBorder="1">
      <alignment vertical="center"/>
    </xf>
    <xf numFmtId="0" fontId="12" fillId="3" borderId="25" xfId="5" applyFont="1" applyFill="1" applyBorder="1">
      <alignment vertical="center"/>
    </xf>
    <xf numFmtId="38" fontId="0" fillId="0" borderId="109" xfId="2" applyFont="1" applyFill="1" applyBorder="1">
      <alignment vertical="center"/>
    </xf>
    <xf numFmtId="38" fontId="0" fillId="0" borderId="110" xfId="2" applyFont="1" applyFill="1" applyBorder="1">
      <alignment vertical="center"/>
    </xf>
    <xf numFmtId="38" fontId="0" fillId="0" borderId="111" xfId="2" applyFont="1" applyBorder="1" applyAlignment="1">
      <alignment vertical="center" shrinkToFit="1"/>
    </xf>
    <xf numFmtId="38" fontId="0" fillId="0" borderId="199" xfId="2" applyFont="1" applyFill="1" applyBorder="1">
      <alignment vertical="center"/>
    </xf>
    <xf numFmtId="38" fontId="0" fillId="0" borderId="185" xfId="2" applyFont="1" applyBorder="1" applyAlignment="1">
      <alignment vertical="center" shrinkToFit="1"/>
    </xf>
    <xf numFmtId="38" fontId="0" fillId="3" borderId="51" xfId="2" applyFont="1" applyFill="1" applyBorder="1" applyAlignment="1">
      <alignment horizontal="center" vertical="center"/>
    </xf>
    <xf numFmtId="38" fontId="14" fillId="0" borderId="15" xfId="2" applyFont="1" applyFill="1" applyBorder="1">
      <alignment vertical="center"/>
    </xf>
    <xf numFmtId="38" fontId="0" fillId="3" borderId="71" xfId="2" applyFont="1" applyFill="1" applyBorder="1" applyAlignment="1">
      <alignment horizontal="center" vertical="center"/>
    </xf>
    <xf numFmtId="38" fontId="14" fillId="0" borderId="28" xfId="2" applyFont="1" applyFill="1" applyBorder="1">
      <alignment vertical="center"/>
    </xf>
    <xf numFmtId="40" fontId="3" fillId="0" borderId="20" xfId="0" applyNumberFormat="1" applyFont="1" applyFill="1" applyBorder="1" applyAlignment="1">
      <alignment horizontal="center" vertical="center" shrinkToFit="1"/>
    </xf>
    <xf numFmtId="180" fontId="3" fillId="0" borderId="81" xfId="5" applyNumberFormat="1" applyFont="1" applyFill="1" applyBorder="1" applyAlignment="1" applyProtection="1">
      <alignment horizontal="center" vertical="center"/>
      <protection locked="0"/>
    </xf>
    <xf numFmtId="0" fontId="3" fillId="0" borderId="22" xfId="3" applyNumberFormat="1" applyFont="1" applyFill="1" applyBorder="1" applyAlignment="1">
      <alignment vertical="center"/>
    </xf>
    <xf numFmtId="180" fontId="3" fillId="15" borderId="82" xfId="5" applyNumberFormat="1" applyFont="1" applyFill="1" applyBorder="1" applyAlignment="1" applyProtection="1">
      <alignment horizontal="center" vertical="center"/>
      <protection locked="0"/>
    </xf>
    <xf numFmtId="180" fontId="3" fillId="15" borderId="80" xfId="5" applyNumberFormat="1" applyFont="1" applyFill="1" applyBorder="1" applyAlignment="1" applyProtection="1">
      <alignment horizontal="center" vertical="center"/>
      <protection locked="0"/>
    </xf>
    <xf numFmtId="180" fontId="3" fillId="15" borderId="83" xfId="5" applyNumberFormat="1" applyFont="1" applyFill="1" applyBorder="1" applyAlignment="1" applyProtection="1">
      <alignment horizontal="center" vertical="center"/>
      <protection locked="0"/>
    </xf>
    <xf numFmtId="180" fontId="3" fillId="14" borderId="82" xfId="5" applyNumberFormat="1" applyFont="1" applyFill="1" applyBorder="1" applyAlignment="1" applyProtection="1">
      <alignment horizontal="center" vertical="center"/>
      <protection locked="0"/>
    </xf>
    <xf numFmtId="180" fontId="3" fillId="14" borderId="69" xfId="0" applyFont="1" applyFill="1" applyBorder="1" applyAlignment="1">
      <alignment horizontal="center" vertical="center"/>
    </xf>
    <xf numFmtId="38" fontId="3" fillId="0" borderId="32" xfId="2" applyFont="1" applyFill="1" applyBorder="1" applyAlignment="1">
      <alignment horizontal="center" vertical="center" shrinkToFit="1"/>
    </xf>
    <xf numFmtId="38" fontId="3" fillId="0" borderId="67" xfId="2" applyFont="1" applyFill="1" applyBorder="1" applyAlignment="1">
      <alignment horizontal="center" vertical="center" shrinkToFit="1"/>
    </xf>
    <xf numFmtId="38" fontId="3" fillId="0" borderId="68" xfId="2" applyFont="1" applyFill="1" applyBorder="1" applyAlignment="1">
      <alignment horizontal="center" vertical="center" shrinkToFit="1"/>
    </xf>
    <xf numFmtId="208" fontId="3" fillId="0" borderId="32" xfId="3" applyNumberFormat="1" applyFont="1" applyFill="1" applyBorder="1" applyAlignment="1">
      <alignment horizontal="center" vertical="center" shrinkToFit="1"/>
    </xf>
    <xf numFmtId="180" fontId="3" fillId="14" borderId="81" xfId="5" applyNumberFormat="1" applyFont="1" applyFill="1" applyBorder="1" applyAlignment="1" applyProtection="1">
      <alignment horizontal="center" vertical="center"/>
      <protection locked="0"/>
    </xf>
    <xf numFmtId="180" fontId="65" fillId="0" borderId="0" xfId="0" applyFont="1" applyAlignment="1">
      <alignment vertical="center"/>
    </xf>
    <xf numFmtId="38" fontId="14" fillId="0" borderId="22" xfId="2" applyFont="1" applyBorder="1" applyAlignment="1">
      <alignment vertical="center" shrinkToFit="1"/>
    </xf>
    <xf numFmtId="180" fontId="0" fillId="0" borderId="26" xfId="0" applyFont="1" applyFill="1" applyBorder="1" applyAlignment="1">
      <alignment horizontal="center" vertical="center"/>
    </xf>
    <xf numFmtId="180" fontId="0" fillId="0" borderId="27" xfId="0" applyFont="1" applyFill="1" applyBorder="1" applyAlignment="1">
      <alignment horizontal="center" vertical="center"/>
    </xf>
    <xf numFmtId="180" fontId="0" fillId="0" borderId="28" xfId="0" applyFont="1" applyFill="1" applyBorder="1" applyAlignment="1">
      <alignment horizontal="center" vertical="center"/>
    </xf>
    <xf numFmtId="40" fontId="14" fillId="0" borderId="17" xfId="0" applyNumberFormat="1" applyFont="1" applyFill="1" applyBorder="1" applyAlignment="1">
      <alignment horizontal="center" vertical="center"/>
    </xf>
    <xf numFmtId="40" fontId="14" fillId="0" borderId="16" xfId="0" applyNumberFormat="1" applyFont="1" applyFill="1" applyBorder="1" applyAlignment="1">
      <alignment horizontal="center" vertical="center"/>
    </xf>
    <xf numFmtId="40" fontId="14" fillId="0" borderId="23" xfId="0" applyNumberFormat="1" applyFont="1" applyFill="1" applyBorder="1" applyAlignment="1">
      <alignment horizontal="center" vertical="center"/>
    </xf>
    <xf numFmtId="40" fontId="34" fillId="0" borderId="0" xfId="2" applyNumberFormat="1" applyFont="1" applyFill="1" applyBorder="1" applyAlignment="1">
      <alignment horizontal="center" vertical="top" shrinkToFit="1"/>
    </xf>
    <xf numFmtId="180" fontId="14" fillId="0" borderId="1" xfId="0" applyFont="1" applyBorder="1" applyAlignment="1">
      <alignment vertical="center"/>
    </xf>
    <xf numFmtId="180" fontId="14" fillId="0" borderId="2" xfId="0" applyFont="1" applyBorder="1" applyAlignment="1">
      <alignment vertical="center"/>
    </xf>
    <xf numFmtId="180" fontId="14" fillId="0" borderId="19" xfId="0" applyFont="1" applyBorder="1" applyAlignment="1">
      <alignment vertical="center"/>
    </xf>
    <xf numFmtId="180" fontId="14" fillId="0" borderId="7" xfId="0" applyFont="1" applyBorder="1" applyAlignment="1">
      <alignment vertical="center"/>
    </xf>
    <xf numFmtId="180" fontId="14" fillId="0" borderId="8" xfId="0" applyFont="1" applyBorder="1" applyAlignment="1">
      <alignment vertical="center"/>
    </xf>
    <xf numFmtId="180" fontId="14" fillId="0" borderId="25" xfId="0" applyFont="1" applyBorder="1" applyAlignment="1">
      <alignment vertical="center"/>
    </xf>
    <xf numFmtId="40" fontId="14" fillId="0" borderId="7" xfId="0" applyNumberFormat="1" applyFont="1" applyFill="1" applyBorder="1">
      <alignment vertical="center"/>
    </xf>
    <xf numFmtId="40" fontId="14" fillId="0" borderId="8" xfId="0" applyNumberFormat="1" applyFont="1" applyFill="1" applyBorder="1">
      <alignment vertical="center"/>
    </xf>
    <xf numFmtId="180" fontId="14" fillId="0" borderId="1" xfId="0" applyFont="1" applyFill="1" applyBorder="1" applyAlignment="1">
      <alignment horizontal="left" vertical="center" wrapText="1"/>
    </xf>
    <xf numFmtId="180" fontId="14" fillId="0" borderId="2" xfId="0" applyFont="1" applyFill="1" applyBorder="1" applyAlignment="1">
      <alignment horizontal="left" vertical="center"/>
    </xf>
    <xf numFmtId="180" fontId="14" fillId="0" borderId="19" xfId="0" applyFont="1" applyFill="1" applyBorder="1" applyAlignment="1">
      <alignment horizontal="left" vertical="center"/>
    </xf>
    <xf numFmtId="180" fontId="14" fillId="0" borderId="7" xfId="0" applyFont="1" applyFill="1" applyBorder="1" applyAlignment="1">
      <alignment horizontal="left" vertical="center"/>
    </xf>
    <xf numFmtId="180" fontId="14" fillId="0" borderId="8" xfId="0" applyFont="1" applyFill="1" applyBorder="1" applyAlignment="1">
      <alignment horizontal="left" vertical="center"/>
    </xf>
    <xf numFmtId="180" fontId="14" fillId="0" borderId="25" xfId="0" applyFont="1" applyFill="1" applyBorder="1" applyAlignment="1">
      <alignment horizontal="left" vertical="center"/>
    </xf>
    <xf numFmtId="180" fontId="14" fillId="0" borderId="1" xfId="0" applyFont="1" applyFill="1" applyBorder="1" applyAlignment="1">
      <alignment horizontal="left" vertical="center"/>
    </xf>
    <xf numFmtId="180" fontId="14" fillId="0" borderId="26" xfId="0" applyFont="1" applyBorder="1" applyAlignment="1">
      <alignment vertical="center"/>
    </xf>
    <xf numFmtId="180" fontId="14" fillId="0" borderId="27" xfId="0" applyFont="1" applyBorder="1" applyAlignment="1">
      <alignment vertical="center"/>
    </xf>
    <xf numFmtId="180" fontId="14" fillId="0" borderId="28" xfId="0" applyFont="1" applyBorder="1" applyAlignment="1">
      <alignment vertical="center"/>
    </xf>
    <xf numFmtId="40" fontId="14" fillId="4" borderId="26" xfId="0" applyNumberFormat="1" applyFont="1" applyFill="1" applyBorder="1" applyAlignment="1">
      <alignment vertical="center"/>
    </xf>
    <xf numFmtId="40" fontId="14" fillId="4" borderId="27" xfId="0" applyNumberFormat="1" applyFont="1" applyFill="1" applyBorder="1" applyAlignment="1">
      <alignment vertical="center"/>
    </xf>
    <xf numFmtId="40" fontId="14" fillId="4" borderId="28" xfId="0" applyNumberFormat="1" applyFont="1" applyFill="1" applyBorder="1" applyAlignment="1">
      <alignment vertical="center"/>
    </xf>
    <xf numFmtId="40" fontId="14" fillId="4" borderId="48" xfId="0" applyNumberFormat="1" applyFont="1" applyFill="1" applyBorder="1" applyAlignment="1">
      <alignment vertical="center"/>
    </xf>
    <xf numFmtId="40" fontId="14" fillId="4" borderId="49" xfId="0" applyNumberFormat="1" applyFont="1" applyFill="1" applyBorder="1" applyAlignment="1">
      <alignment vertical="center"/>
    </xf>
    <xf numFmtId="40" fontId="14" fillId="4" borderId="50" xfId="0" applyNumberFormat="1" applyFont="1" applyFill="1" applyBorder="1" applyAlignment="1">
      <alignment vertical="center"/>
    </xf>
    <xf numFmtId="180" fontId="34" fillId="0" borderId="0" xfId="0" applyFont="1" applyFill="1" applyBorder="1" applyAlignment="1">
      <alignment horizontal="left" vertical="top" wrapText="1"/>
    </xf>
    <xf numFmtId="180" fontId="34" fillId="0" borderId="0" xfId="0" applyFont="1" applyFill="1" applyBorder="1" applyAlignment="1">
      <alignment horizontal="center" vertical="top" shrinkToFit="1"/>
    </xf>
    <xf numFmtId="40" fontId="0" fillId="0" borderId="33" xfId="0" applyNumberFormat="1" applyBorder="1" applyAlignment="1">
      <alignment horizontal="center" vertical="center"/>
    </xf>
    <xf numFmtId="40" fontId="0" fillId="0" borderId="28" xfId="0" applyNumberFormat="1" applyBorder="1" applyAlignment="1">
      <alignment horizontal="center" vertical="center"/>
    </xf>
    <xf numFmtId="40" fontId="0" fillId="0" borderId="35" xfId="0" applyNumberFormat="1" applyFill="1" applyBorder="1" applyAlignment="1">
      <alignment horizontal="center" vertical="center"/>
    </xf>
    <xf numFmtId="40" fontId="0" fillId="0" borderId="23" xfId="0" applyNumberFormat="1" applyFill="1" applyBorder="1" applyAlignment="1">
      <alignment horizontal="center" vertical="center"/>
    </xf>
    <xf numFmtId="40" fontId="0" fillId="0" borderId="14" xfId="0" applyNumberFormat="1" applyBorder="1" applyAlignment="1">
      <alignment horizontal="center" vertical="center"/>
    </xf>
    <xf numFmtId="40" fontId="0" fillId="0" borderId="30" xfId="0" applyNumberFormat="1" applyBorder="1" applyAlignment="1">
      <alignment horizontal="center" vertical="center"/>
    </xf>
    <xf numFmtId="40" fontId="0" fillId="0" borderId="26" xfId="0" applyNumberFormat="1" applyBorder="1" applyAlignment="1">
      <alignment horizontal="center" vertical="center"/>
    </xf>
    <xf numFmtId="40" fontId="0" fillId="0" borderId="32" xfId="0" applyNumberFormat="1" applyBorder="1" applyAlignment="1">
      <alignment horizontal="center" vertical="center"/>
    </xf>
    <xf numFmtId="38" fontId="14" fillId="0" borderId="27" xfId="2" applyFont="1" applyFill="1" applyBorder="1" applyAlignment="1">
      <alignment vertical="center" shrinkToFit="1"/>
    </xf>
    <xf numFmtId="38" fontId="14" fillId="0" borderId="28" xfId="2" applyFont="1" applyFill="1" applyBorder="1" applyAlignment="1">
      <alignment vertical="center" shrinkToFit="1"/>
    </xf>
    <xf numFmtId="180" fontId="14" fillId="0" borderId="48" xfId="0" applyFont="1" applyFill="1" applyBorder="1" applyAlignment="1">
      <alignment vertical="center"/>
    </xf>
    <xf numFmtId="180" fontId="14" fillId="0" borderId="49" xfId="0" applyFont="1" applyFill="1" applyBorder="1" applyAlignment="1">
      <alignment vertical="center"/>
    </xf>
    <xf numFmtId="180" fontId="14" fillId="0" borderId="50" xfId="0" applyFont="1" applyFill="1" applyBorder="1" applyAlignment="1">
      <alignment vertical="center"/>
    </xf>
    <xf numFmtId="40" fontId="14" fillId="0" borderId="1" xfId="2" applyNumberFormat="1" applyFont="1" applyFill="1" applyBorder="1" applyAlignment="1">
      <alignment vertical="center"/>
    </xf>
    <xf numFmtId="40" fontId="14" fillId="0" borderId="2" xfId="2" applyNumberFormat="1" applyFont="1" applyFill="1" applyBorder="1" applyAlignment="1">
      <alignment vertical="center"/>
    </xf>
    <xf numFmtId="40" fontId="14" fillId="0" borderId="7" xfId="2" applyNumberFormat="1" applyFont="1" applyFill="1" applyBorder="1" applyAlignment="1">
      <alignment vertical="center"/>
    </xf>
    <xf numFmtId="40" fontId="14" fillId="0" borderId="8" xfId="2" applyNumberFormat="1" applyFont="1" applyFill="1" applyBorder="1" applyAlignment="1">
      <alignment vertical="center"/>
    </xf>
    <xf numFmtId="38" fontId="14" fillId="4" borderId="27" xfId="2" applyFont="1" applyFill="1" applyBorder="1" applyAlignment="1">
      <alignment vertical="center" shrinkToFit="1"/>
    </xf>
    <xf numFmtId="180" fontId="14" fillId="0" borderId="182" xfId="0" applyFont="1" applyBorder="1" applyAlignment="1">
      <alignment vertical="center"/>
    </xf>
    <xf numFmtId="180" fontId="14" fillId="0" borderId="198" xfId="0" applyFont="1" applyBorder="1" applyAlignment="1">
      <alignment vertical="center"/>
    </xf>
    <xf numFmtId="180" fontId="14" fillId="0" borderId="183" xfId="0" applyFont="1" applyBorder="1" applyAlignment="1">
      <alignment vertical="center"/>
    </xf>
    <xf numFmtId="180" fontId="14" fillId="0" borderId="184" xfId="0" applyFont="1" applyBorder="1" applyAlignment="1">
      <alignment vertical="center"/>
    </xf>
    <xf numFmtId="180" fontId="14" fillId="0" borderId="199" xfId="0" applyFont="1" applyBorder="1" applyAlignment="1">
      <alignment vertical="center"/>
    </xf>
    <xf numFmtId="180" fontId="14" fillId="0" borderId="185" xfId="0" applyFont="1" applyBorder="1" applyAlignment="1">
      <alignment vertical="center"/>
    </xf>
    <xf numFmtId="40" fontId="14" fillId="0" borderId="182" xfId="0" applyNumberFormat="1" applyFont="1" applyFill="1" applyBorder="1" applyAlignment="1">
      <alignment horizontal="center" vertical="center" shrinkToFit="1"/>
    </xf>
    <xf numFmtId="40" fontId="14" fillId="0" borderId="198" xfId="0" applyNumberFormat="1" applyFont="1" applyFill="1" applyBorder="1" applyAlignment="1">
      <alignment horizontal="center" vertical="center" shrinkToFit="1"/>
    </xf>
    <xf numFmtId="40" fontId="14" fillId="0" borderId="183" xfId="0" applyNumberFormat="1" applyFont="1" applyFill="1" applyBorder="1" applyAlignment="1">
      <alignment horizontal="center" vertical="center" shrinkToFit="1"/>
    </xf>
    <xf numFmtId="201" fontId="14" fillId="9" borderId="14" xfId="0" applyNumberFormat="1" applyFont="1" applyFill="1" applyBorder="1" applyAlignment="1">
      <alignment horizontal="center" vertical="center"/>
    </xf>
    <xf numFmtId="201" fontId="14" fillId="9" borderId="13" xfId="0" applyNumberFormat="1" applyFont="1" applyFill="1" applyBorder="1" applyAlignment="1">
      <alignment horizontal="center" vertical="center"/>
    </xf>
    <xf numFmtId="201" fontId="14" fillId="9" borderId="15" xfId="0" applyNumberFormat="1" applyFont="1" applyFill="1" applyBorder="1" applyAlignment="1">
      <alignment horizontal="center" vertical="center"/>
    </xf>
    <xf numFmtId="38" fontId="14" fillId="4" borderId="27" xfId="2" applyFont="1" applyFill="1" applyBorder="1" applyAlignment="1">
      <alignment vertical="center"/>
    </xf>
    <xf numFmtId="38" fontId="14" fillId="4" borderId="28" xfId="2" applyFont="1" applyFill="1" applyBorder="1" applyAlignment="1">
      <alignment vertical="center"/>
    </xf>
    <xf numFmtId="38" fontId="14" fillId="0" borderId="26" xfId="2" applyFont="1" applyFill="1" applyBorder="1" applyAlignment="1">
      <alignment vertical="center" shrinkToFit="1"/>
    </xf>
    <xf numFmtId="180" fontId="14" fillId="0" borderId="48" xfId="0" applyFont="1" applyBorder="1" applyAlignment="1">
      <alignment vertical="center"/>
    </xf>
    <xf numFmtId="180" fontId="14" fillId="0" borderId="49" xfId="0" applyFont="1" applyBorder="1" applyAlignment="1">
      <alignment vertical="center"/>
    </xf>
    <xf numFmtId="180" fontId="14" fillId="0" borderId="50" xfId="0" applyFont="1" applyBorder="1" applyAlignment="1">
      <alignment vertical="center"/>
    </xf>
    <xf numFmtId="180" fontId="14" fillId="0" borderId="182" xfId="0" applyFont="1" applyFill="1" applyBorder="1" applyAlignment="1">
      <alignment horizontal="left" vertical="center" wrapText="1"/>
    </xf>
    <xf numFmtId="180" fontId="14" fillId="0" borderId="198" xfId="0" applyFont="1" applyFill="1" applyBorder="1" applyAlignment="1">
      <alignment horizontal="left" vertical="center"/>
    </xf>
    <xf numFmtId="180" fontId="14" fillId="0" borderId="183" xfId="0" applyFont="1" applyFill="1" applyBorder="1" applyAlignment="1">
      <alignment horizontal="left" vertical="center"/>
    </xf>
    <xf numFmtId="180" fontId="14" fillId="0" borderId="184" xfId="0" applyFont="1" applyFill="1" applyBorder="1" applyAlignment="1">
      <alignment horizontal="left" vertical="center"/>
    </xf>
    <xf numFmtId="180" fontId="14" fillId="0" borderId="199" xfId="0" applyFont="1" applyFill="1" applyBorder="1" applyAlignment="1">
      <alignment horizontal="left" vertical="center"/>
    </xf>
    <xf numFmtId="180" fontId="14" fillId="0" borderId="185" xfId="0" applyFont="1" applyFill="1" applyBorder="1" applyAlignment="1">
      <alignment horizontal="left" vertical="center"/>
    </xf>
    <xf numFmtId="180" fontId="14" fillId="0" borderId="7" xfId="0" applyFont="1" applyFill="1" applyBorder="1" applyAlignment="1">
      <alignment horizontal="center" vertical="center"/>
    </xf>
    <xf numFmtId="180" fontId="14" fillId="0" borderId="8" xfId="0" applyFont="1" applyFill="1" applyBorder="1" applyAlignment="1">
      <alignment horizontal="center" vertical="center"/>
    </xf>
    <xf numFmtId="180" fontId="14" fillId="0" borderId="25" xfId="0" applyFont="1" applyFill="1" applyBorder="1" applyAlignment="1">
      <alignment horizontal="center" vertical="center"/>
    </xf>
    <xf numFmtId="40" fontId="14" fillId="0" borderId="26" xfId="0" applyNumberFormat="1" applyFont="1" applyFill="1" applyBorder="1" applyAlignment="1">
      <alignment vertical="center"/>
    </xf>
    <xf numFmtId="40" fontId="14" fillId="0" borderId="27" xfId="0" applyNumberFormat="1" applyFont="1" applyFill="1" applyBorder="1" applyAlignment="1">
      <alignment vertical="center"/>
    </xf>
    <xf numFmtId="40" fontId="14" fillId="0" borderId="28" xfId="0" applyNumberFormat="1" applyFont="1" applyFill="1" applyBorder="1" applyAlignment="1">
      <alignment vertical="center"/>
    </xf>
    <xf numFmtId="40" fontId="14" fillId="4" borderId="40" xfId="0" applyNumberFormat="1" applyFont="1" applyFill="1" applyBorder="1" applyAlignment="1">
      <alignment vertical="center"/>
    </xf>
    <xf numFmtId="40" fontId="14" fillId="4" borderId="38" xfId="0" applyNumberFormat="1" applyFont="1" applyFill="1" applyBorder="1" applyAlignment="1">
      <alignment vertical="center"/>
    </xf>
    <xf numFmtId="40" fontId="14" fillId="4" borderId="39" xfId="0" applyNumberFormat="1" applyFont="1" applyFill="1" applyBorder="1" applyAlignment="1">
      <alignment vertical="center"/>
    </xf>
    <xf numFmtId="180" fontId="14" fillId="0" borderId="26" xfId="0" applyFont="1" applyFill="1" applyBorder="1" applyAlignment="1">
      <alignment vertical="center"/>
    </xf>
    <xf numFmtId="180" fontId="14" fillId="0" borderId="27" xfId="0" applyFont="1" applyFill="1" applyBorder="1" applyAlignment="1">
      <alignment vertical="center"/>
    </xf>
    <xf numFmtId="180" fontId="14" fillId="0" borderId="28" xfId="0" applyFont="1" applyFill="1" applyBorder="1" applyAlignment="1">
      <alignment vertical="center"/>
    </xf>
    <xf numFmtId="180" fontId="0" fillId="0" borderId="26" xfId="0" applyBorder="1" applyAlignment="1">
      <alignment vertical="center"/>
    </xf>
    <xf numFmtId="180" fontId="0" fillId="0" borderId="27" xfId="0" applyBorder="1" applyAlignment="1">
      <alignment vertical="center"/>
    </xf>
    <xf numFmtId="180" fontId="0" fillId="0" borderId="28" xfId="0" applyBorder="1" applyAlignment="1">
      <alignment vertical="center"/>
    </xf>
    <xf numFmtId="40" fontId="14" fillId="0" borderId="17" xfId="0" applyNumberFormat="1" applyFont="1" applyBorder="1" applyAlignment="1">
      <alignment horizontal="center" vertical="center"/>
    </xf>
    <xf numFmtId="40" fontId="14" fillId="0" borderId="16" xfId="0" applyNumberFormat="1" applyFont="1" applyBorder="1" applyAlignment="1">
      <alignment horizontal="center" vertical="center"/>
    </xf>
    <xf numFmtId="40" fontId="14" fillId="0" borderId="23" xfId="0" applyNumberFormat="1" applyFont="1" applyBorder="1" applyAlignment="1">
      <alignment horizontal="center" vertical="center"/>
    </xf>
    <xf numFmtId="180" fontId="14" fillId="0" borderId="26" xfId="0" applyFont="1" applyBorder="1" applyAlignment="1">
      <alignment horizontal="right" vertical="center"/>
    </xf>
    <xf numFmtId="180" fontId="14" fillId="0" borderId="27" xfId="0" applyFont="1" applyBorder="1" applyAlignment="1">
      <alignment horizontal="right" vertical="center"/>
    </xf>
    <xf numFmtId="180" fontId="14" fillId="0" borderId="28" xfId="0" applyFont="1" applyBorder="1" applyAlignment="1">
      <alignment horizontal="right" vertical="center"/>
    </xf>
    <xf numFmtId="40" fontId="14" fillId="0" borderId="14" xfId="0" applyNumberFormat="1" applyFont="1" applyBorder="1" applyAlignment="1">
      <alignment horizontal="right" vertical="center"/>
    </xf>
    <xf numFmtId="40" fontId="14" fillId="0" borderId="13" xfId="0" applyNumberFormat="1" applyFont="1" applyBorder="1" applyAlignment="1">
      <alignment horizontal="right" vertical="center"/>
    </xf>
    <xf numFmtId="40" fontId="14" fillId="0" borderId="15" xfId="0" applyNumberFormat="1" applyFont="1" applyBorder="1" applyAlignment="1">
      <alignment horizontal="right" vertical="center"/>
    </xf>
    <xf numFmtId="38" fontId="14" fillId="0" borderId="1" xfId="0" applyNumberFormat="1" applyFont="1" applyFill="1" applyBorder="1" applyAlignment="1">
      <alignment vertical="center"/>
    </xf>
    <xf numFmtId="180" fontId="14" fillId="0" borderId="2" xfId="0" applyFont="1" applyFill="1" applyBorder="1" applyAlignment="1">
      <alignment vertical="center"/>
    </xf>
    <xf numFmtId="180" fontId="14" fillId="0" borderId="7" xfId="0" applyFont="1" applyFill="1" applyBorder="1" applyAlignment="1">
      <alignment vertical="center"/>
    </xf>
    <xf numFmtId="180" fontId="14" fillId="0" borderId="8" xfId="0" applyFont="1" applyFill="1" applyBorder="1" applyAlignment="1">
      <alignment vertical="center"/>
    </xf>
    <xf numFmtId="40" fontId="14" fillId="0" borderId="1" xfId="0" applyNumberFormat="1" applyFont="1" applyBorder="1" applyAlignment="1">
      <alignment vertical="center"/>
    </xf>
    <xf numFmtId="40" fontId="14" fillId="0" borderId="2" xfId="0" applyNumberFormat="1" applyFont="1" applyBorder="1" applyAlignment="1">
      <alignment vertical="center"/>
    </xf>
    <xf numFmtId="40" fontId="14" fillId="0" borderId="19" xfId="0" applyNumberFormat="1" applyFont="1" applyBorder="1" applyAlignment="1">
      <alignment vertical="center"/>
    </xf>
    <xf numFmtId="40" fontId="14" fillId="0" borderId="7" xfId="0" applyNumberFormat="1" applyFont="1" applyBorder="1" applyAlignment="1">
      <alignment vertical="center"/>
    </xf>
    <xf numFmtId="40" fontId="14" fillId="0" borderId="8" xfId="0" applyNumberFormat="1" applyFont="1" applyBorder="1" applyAlignment="1">
      <alignment vertical="center"/>
    </xf>
    <xf numFmtId="40" fontId="14" fillId="0" borderId="25" xfId="0" applyNumberFormat="1" applyFont="1" applyBorder="1" applyAlignment="1">
      <alignment vertical="center"/>
    </xf>
    <xf numFmtId="40" fontId="14" fillId="0" borderId="26" xfId="0" applyNumberFormat="1" applyFont="1" applyFill="1" applyBorder="1" applyAlignment="1">
      <alignment horizontal="right" vertical="center"/>
    </xf>
    <xf numFmtId="40" fontId="14" fillId="0" borderId="27" xfId="0" applyNumberFormat="1" applyFont="1" applyFill="1" applyBorder="1" applyAlignment="1">
      <alignment horizontal="right" vertical="center"/>
    </xf>
    <xf numFmtId="40" fontId="14" fillId="0" borderId="28" xfId="0" applyNumberFormat="1" applyFont="1" applyFill="1" applyBorder="1" applyAlignment="1">
      <alignment horizontal="right" vertical="center"/>
    </xf>
    <xf numFmtId="40" fontId="14" fillId="0" borderId="26" xfId="0" applyNumberFormat="1" applyFont="1" applyBorder="1" applyAlignment="1">
      <alignment horizontal="right" vertical="center"/>
    </xf>
    <xf numFmtId="40" fontId="14" fillId="0" borderId="27" xfId="0" applyNumberFormat="1" applyFont="1" applyBorder="1" applyAlignment="1">
      <alignment horizontal="right" vertical="center"/>
    </xf>
    <xf numFmtId="40" fontId="14" fillId="0" borderId="28" xfId="0" applyNumberFormat="1" applyFont="1" applyBorder="1" applyAlignment="1">
      <alignment horizontal="right" vertical="center"/>
    </xf>
    <xf numFmtId="40" fontId="34" fillId="0" borderId="0" xfId="0" applyNumberFormat="1" applyFont="1" applyFill="1" applyBorder="1" applyAlignment="1">
      <alignment horizontal="center" vertical="top" shrinkToFit="1"/>
    </xf>
    <xf numFmtId="40" fontId="14" fillId="0" borderId="182" xfId="0" applyNumberFormat="1" applyFont="1" applyBorder="1" applyAlignment="1">
      <alignment vertical="center"/>
    </xf>
    <xf numFmtId="40" fontId="14" fillId="0" borderId="198" xfId="0" applyNumberFormat="1" applyFont="1" applyBorder="1" applyAlignment="1">
      <alignment vertical="center"/>
    </xf>
    <xf numFmtId="40" fontId="14" fillId="0" borderId="183" xfId="0" applyNumberFormat="1" applyFont="1" applyBorder="1" applyAlignment="1">
      <alignment vertical="center"/>
    </xf>
    <xf numFmtId="40" fontId="14" fillId="0" borderId="184" xfId="0" applyNumberFormat="1" applyFont="1" applyBorder="1" applyAlignment="1">
      <alignment vertical="center"/>
    </xf>
    <xf numFmtId="40" fontId="14" fillId="0" borderId="199" xfId="0" applyNumberFormat="1" applyFont="1" applyBorder="1" applyAlignment="1">
      <alignment vertical="center"/>
    </xf>
    <xf numFmtId="40" fontId="14" fillId="0" borderId="185" xfId="0" applyNumberFormat="1" applyFont="1" applyBorder="1" applyAlignment="1">
      <alignment vertical="center"/>
    </xf>
    <xf numFmtId="180" fontId="11" fillId="4" borderId="188" xfId="0" applyFont="1" applyFill="1" applyBorder="1" applyAlignment="1">
      <alignment horizontal="left" vertical="center" shrinkToFit="1"/>
    </xf>
    <xf numFmtId="180" fontId="11" fillId="4" borderId="4" xfId="0" applyFont="1" applyFill="1" applyBorder="1" applyAlignment="1">
      <alignment horizontal="left" vertical="center" shrinkToFit="1"/>
    </xf>
    <xf numFmtId="180" fontId="11" fillId="4" borderId="5" xfId="0" applyFont="1" applyFill="1" applyBorder="1" applyAlignment="1">
      <alignment horizontal="left" vertical="center" shrinkToFit="1"/>
    </xf>
    <xf numFmtId="40" fontId="34" fillId="0" borderId="0" xfId="0" applyNumberFormat="1" applyFont="1" applyFill="1" applyBorder="1" applyAlignment="1">
      <alignment horizontal="left" vertical="top" wrapText="1"/>
    </xf>
    <xf numFmtId="206" fontId="34" fillId="0" borderId="0" xfId="0" applyNumberFormat="1" applyFont="1" applyFill="1" applyBorder="1" applyAlignment="1">
      <alignment horizontal="left" vertical="top" wrapText="1"/>
    </xf>
    <xf numFmtId="180" fontId="34" fillId="0" borderId="0" xfId="0" applyFont="1" applyFill="1" applyBorder="1" applyAlignment="1">
      <alignment horizontal="center" vertical="top"/>
    </xf>
    <xf numFmtId="180" fontId="14" fillId="0" borderId="184" xfId="0" applyFont="1" applyFill="1" applyBorder="1" applyAlignment="1">
      <alignment horizontal="center" vertical="center"/>
    </xf>
    <xf numFmtId="180" fontId="14" fillId="0" borderId="199" xfId="0" applyFont="1" applyFill="1" applyBorder="1" applyAlignment="1">
      <alignment horizontal="center" vertical="center"/>
    </xf>
    <xf numFmtId="180" fontId="14" fillId="0" borderId="185" xfId="0" applyFont="1" applyFill="1" applyBorder="1" applyAlignment="1">
      <alignment horizontal="center" vertical="center"/>
    </xf>
    <xf numFmtId="180" fontId="15" fillId="5" borderId="0" xfId="0" applyFont="1" applyFill="1" applyBorder="1" applyAlignment="1">
      <alignment horizontal="center" vertical="center"/>
    </xf>
    <xf numFmtId="180" fontId="14" fillId="0" borderId="14" xfId="0" applyFont="1" applyFill="1" applyBorder="1" applyAlignment="1">
      <alignment vertical="center"/>
    </xf>
    <xf numFmtId="180" fontId="14" fillId="0" borderId="13" xfId="0" applyFont="1" applyFill="1" applyBorder="1" applyAlignment="1">
      <alignment vertical="center"/>
    </xf>
    <xf numFmtId="180" fontId="14" fillId="0" borderId="15" xfId="0" applyFont="1" applyFill="1" applyBorder="1" applyAlignment="1">
      <alignment vertical="center"/>
    </xf>
    <xf numFmtId="177" fontId="14" fillId="0" borderId="26" xfId="0" applyNumberFormat="1" applyFont="1" applyFill="1" applyBorder="1" applyAlignment="1">
      <alignment vertical="center"/>
    </xf>
    <xf numFmtId="177" fontId="14" fillId="0" borderId="27" xfId="0" applyNumberFormat="1" applyFont="1" applyFill="1" applyBorder="1" applyAlignment="1">
      <alignment vertical="center"/>
    </xf>
    <xf numFmtId="180" fontId="9" fillId="3" borderId="22" xfId="0" applyFont="1" applyFill="1" applyBorder="1" applyAlignment="1">
      <alignment horizontal="center" vertical="center" textRotation="255" wrapText="1"/>
    </xf>
    <xf numFmtId="180" fontId="9" fillId="3" borderId="0" xfId="0" applyFont="1" applyFill="1" applyBorder="1" applyAlignment="1">
      <alignment horizontal="center" vertical="center" textRotation="255" wrapText="1"/>
    </xf>
    <xf numFmtId="180" fontId="9" fillId="3" borderId="29" xfId="0" applyFont="1" applyFill="1" applyBorder="1" applyAlignment="1">
      <alignment horizontal="center" vertical="center" textRotation="255" wrapText="1"/>
    </xf>
    <xf numFmtId="180" fontId="9" fillId="3" borderId="174" xfId="0" applyFont="1" applyFill="1" applyBorder="1" applyAlignment="1">
      <alignment horizontal="center" vertical="center" textRotation="255" wrapText="1"/>
    </xf>
    <xf numFmtId="180" fontId="9" fillId="3" borderId="7" xfId="0" applyFont="1" applyFill="1" applyBorder="1" applyAlignment="1">
      <alignment horizontal="center" vertical="center" textRotation="255" wrapText="1"/>
    </xf>
    <xf numFmtId="180" fontId="9" fillId="3" borderId="8" xfId="0" applyFont="1" applyFill="1" applyBorder="1" applyAlignment="1">
      <alignment horizontal="center" vertical="center" textRotation="255" wrapText="1"/>
    </xf>
    <xf numFmtId="180" fontId="9" fillId="3" borderId="25" xfId="0" applyFont="1" applyFill="1" applyBorder="1" applyAlignment="1">
      <alignment horizontal="center" vertical="center" textRotation="255" wrapText="1"/>
    </xf>
    <xf numFmtId="38" fontId="14" fillId="0" borderId="14" xfId="2" applyFont="1" applyFill="1" applyBorder="1" applyAlignment="1">
      <alignment vertical="center"/>
    </xf>
    <xf numFmtId="38" fontId="14" fillId="0" borderId="13" xfId="2" applyFont="1" applyFill="1" applyBorder="1" applyAlignment="1">
      <alignment vertical="center"/>
    </xf>
    <xf numFmtId="38" fontId="14" fillId="0" borderId="15" xfId="2" applyFont="1" applyFill="1" applyBorder="1" applyAlignment="1">
      <alignment vertical="center"/>
    </xf>
    <xf numFmtId="180" fontId="9" fillId="3" borderId="186" xfId="0" applyFont="1" applyFill="1" applyBorder="1" applyAlignment="1">
      <alignment horizontal="center" vertical="center" textRotation="255" wrapText="1"/>
    </xf>
    <xf numFmtId="180" fontId="9" fillId="3" borderId="87" xfId="0" applyFont="1" applyFill="1" applyBorder="1" applyAlignment="1">
      <alignment horizontal="center" vertical="center" textRotation="255" wrapText="1"/>
    </xf>
    <xf numFmtId="180" fontId="9" fillId="3" borderId="187" xfId="0" applyFont="1" applyFill="1" applyBorder="1" applyAlignment="1">
      <alignment horizontal="center" vertical="center" textRotation="255" wrapText="1"/>
    </xf>
    <xf numFmtId="180" fontId="0" fillId="0" borderId="14" xfId="0" applyFont="1" applyBorder="1" applyAlignment="1">
      <alignment horizontal="center" vertical="center" shrinkToFit="1"/>
    </xf>
    <xf numFmtId="180" fontId="0" fillId="0" borderId="30" xfId="0" applyFont="1" applyBorder="1" applyAlignment="1">
      <alignment horizontal="center" vertical="center" shrinkToFit="1"/>
    </xf>
    <xf numFmtId="201" fontId="3" fillId="0" borderId="14" xfId="2" applyNumberFormat="1" applyFont="1" applyBorder="1" applyAlignment="1">
      <alignment horizontal="center" vertical="center" shrinkToFit="1"/>
    </xf>
    <xf numFmtId="201" fontId="3" fillId="0" borderId="30" xfId="2" applyNumberFormat="1" applyFont="1" applyBorder="1" applyAlignment="1">
      <alignment horizontal="center" vertical="center" shrinkToFit="1"/>
    </xf>
    <xf numFmtId="201" fontId="3" fillId="0" borderId="26" xfId="2" applyNumberFormat="1" applyFont="1" applyBorder="1" applyAlignment="1">
      <alignment horizontal="center" vertical="center" shrinkToFit="1"/>
    </xf>
    <xf numFmtId="201" fontId="3" fillId="0" borderId="32" xfId="2" applyNumberFormat="1" applyFont="1" applyBorder="1" applyAlignment="1">
      <alignment horizontal="center" vertical="center" shrinkToFit="1"/>
    </xf>
    <xf numFmtId="201" fontId="3" fillId="0" borderId="17" xfId="2" applyNumberFormat="1" applyFont="1" applyBorder="1" applyAlignment="1">
      <alignment horizontal="center" vertical="center" shrinkToFit="1"/>
    </xf>
    <xf numFmtId="201" fontId="3" fillId="0" borderId="34" xfId="2" applyNumberFormat="1" applyFont="1" applyBorder="1" applyAlignment="1">
      <alignment horizontal="center" vertical="center" shrinkToFit="1"/>
    </xf>
    <xf numFmtId="201" fontId="0" fillId="0" borderId="14" xfId="0" applyNumberFormat="1" applyBorder="1" applyAlignment="1">
      <alignment horizontal="center" vertical="center"/>
    </xf>
    <xf numFmtId="201" fontId="0" fillId="0" borderId="30" xfId="0" applyNumberFormat="1" applyBorder="1" applyAlignment="1">
      <alignment horizontal="center" vertical="center"/>
    </xf>
    <xf numFmtId="201" fontId="0" fillId="0" borderId="26" xfId="0" applyNumberFormat="1" applyBorder="1" applyAlignment="1">
      <alignment horizontal="center" vertical="center"/>
    </xf>
    <xf numFmtId="201" fontId="0" fillId="0" borderId="32" xfId="0" applyNumberFormat="1" applyBorder="1" applyAlignment="1">
      <alignment horizontal="center" vertical="center"/>
    </xf>
    <xf numFmtId="201" fontId="0" fillId="0" borderId="17" xfId="0" applyNumberFormat="1" applyBorder="1" applyAlignment="1">
      <alignment horizontal="center" vertical="center"/>
    </xf>
    <xf numFmtId="201" fontId="0" fillId="0" borderId="34" xfId="0" applyNumberFormat="1" applyBorder="1" applyAlignment="1">
      <alignment horizontal="center" vertical="center"/>
    </xf>
    <xf numFmtId="180" fontId="0" fillId="0" borderId="26" xfId="0" applyFont="1" applyBorder="1" applyAlignment="1">
      <alignment horizontal="center" vertical="center"/>
    </xf>
    <xf numFmtId="180" fontId="0" fillId="0" borderId="27" xfId="0" applyFont="1" applyBorder="1" applyAlignment="1">
      <alignment horizontal="center" vertical="center"/>
    </xf>
    <xf numFmtId="180" fontId="0" fillId="0" borderId="28" xfId="0" applyFont="1" applyBorder="1" applyAlignment="1">
      <alignment horizontal="center" vertical="center"/>
    </xf>
    <xf numFmtId="40" fontId="14" fillId="4" borderId="14" xfId="0" applyNumberFormat="1" applyFont="1" applyFill="1" applyBorder="1" applyAlignment="1">
      <alignment vertical="center"/>
    </xf>
    <xf numFmtId="40" fontId="14" fillId="4" borderId="13" xfId="0" applyNumberFormat="1" applyFont="1" applyFill="1" applyBorder="1" applyAlignment="1">
      <alignment vertical="center"/>
    </xf>
    <xf numFmtId="180" fontId="8" fillId="0" borderId="17" xfId="0" applyFont="1" applyFill="1" applyBorder="1" applyAlignment="1">
      <alignment horizontal="center" vertical="center"/>
    </xf>
    <xf numFmtId="180" fontId="8" fillId="0" borderId="16" xfId="0" applyFont="1" applyFill="1" applyBorder="1" applyAlignment="1">
      <alignment horizontal="center" vertical="center"/>
    </xf>
    <xf numFmtId="180" fontId="8" fillId="0" borderId="23" xfId="0" applyFont="1" applyFill="1" applyBorder="1" applyAlignment="1">
      <alignment horizontal="center" vertical="center"/>
    </xf>
    <xf numFmtId="180" fontId="9" fillId="3" borderId="87" xfId="0" applyFont="1" applyFill="1" applyBorder="1" applyAlignment="1">
      <alignment horizontal="center" vertical="center" textRotation="255"/>
    </xf>
    <xf numFmtId="180" fontId="9" fillId="3" borderId="187" xfId="0" applyFont="1" applyFill="1" applyBorder="1" applyAlignment="1">
      <alignment horizontal="center" vertical="center" textRotation="255"/>
    </xf>
    <xf numFmtId="180" fontId="14" fillId="0" borderId="14" xfId="0" applyFont="1" applyBorder="1" applyAlignment="1">
      <alignment vertical="center"/>
    </xf>
    <xf numFmtId="180" fontId="14" fillId="0" borderId="13" xfId="0" applyFont="1" applyBorder="1" applyAlignment="1">
      <alignment vertical="center"/>
    </xf>
    <xf numFmtId="180" fontId="14" fillId="0" borderId="15" xfId="0" applyFont="1" applyBorder="1" applyAlignment="1">
      <alignment vertical="center"/>
    </xf>
    <xf numFmtId="38" fontId="14" fillId="4" borderId="16" xfId="2" applyFont="1" applyFill="1" applyBorder="1" applyAlignment="1">
      <alignment vertical="center"/>
    </xf>
    <xf numFmtId="38" fontId="14" fillId="4" borderId="23" xfId="2" applyFont="1" applyFill="1" applyBorder="1" applyAlignment="1">
      <alignment vertical="center"/>
    </xf>
    <xf numFmtId="38" fontId="14" fillId="4" borderId="16" xfId="2" applyFont="1" applyFill="1" applyBorder="1" applyAlignment="1">
      <alignment vertical="center" shrinkToFit="1"/>
    </xf>
    <xf numFmtId="38" fontId="14" fillId="4" borderId="17" xfId="2" applyFont="1" applyFill="1" applyBorder="1" applyAlignment="1">
      <alignment vertical="center" shrinkToFit="1"/>
    </xf>
    <xf numFmtId="180" fontId="3" fillId="3" borderId="20" xfId="0" applyFont="1" applyFill="1" applyBorder="1" applyAlignment="1">
      <alignment horizontal="center" vertical="center" shrinkToFit="1"/>
    </xf>
    <xf numFmtId="40" fontId="14" fillId="0" borderId="134" xfId="0" applyNumberFormat="1" applyFont="1" applyFill="1" applyBorder="1" applyAlignment="1">
      <alignment vertical="center"/>
    </xf>
    <xf numFmtId="40" fontId="14" fillId="0" borderId="135" xfId="0" applyNumberFormat="1" applyFont="1" applyFill="1" applyBorder="1" applyAlignment="1">
      <alignment vertical="center"/>
    </xf>
    <xf numFmtId="40" fontId="14" fillId="0" borderId="136" xfId="0" applyNumberFormat="1" applyFont="1" applyFill="1" applyBorder="1" applyAlignment="1">
      <alignment vertical="center"/>
    </xf>
    <xf numFmtId="180" fontId="14" fillId="0" borderId="40" xfId="0" applyFont="1" applyBorder="1" applyAlignment="1">
      <alignment vertical="center"/>
    </xf>
    <xf numFmtId="180" fontId="14" fillId="0" borderId="38" xfId="0" applyFont="1" applyBorder="1" applyAlignment="1">
      <alignment vertical="center"/>
    </xf>
    <xf numFmtId="180" fontId="14" fillId="0" borderId="39" xfId="0" applyFont="1" applyBorder="1" applyAlignment="1">
      <alignment vertical="center"/>
    </xf>
    <xf numFmtId="180" fontId="14" fillId="0" borderId="40" xfId="0" applyFont="1" applyFill="1" applyBorder="1" applyAlignment="1">
      <alignment vertical="center"/>
    </xf>
    <xf numFmtId="180" fontId="14" fillId="0" borderId="38" xfId="0" applyFont="1" applyFill="1" applyBorder="1" applyAlignment="1">
      <alignment vertical="center"/>
    </xf>
    <xf numFmtId="180" fontId="14" fillId="0" borderId="39" xfId="0" applyFont="1" applyFill="1" applyBorder="1" applyAlignment="1">
      <alignment vertical="center"/>
    </xf>
    <xf numFmtId="38" fontId="14" fillId="0" borderId="141" xfId="0" applyNumberFormat="1" applyFont="1" applyBorder="1">
      <alignment vertical="center"/>
    </xf>
    <xf numFmtId="38" fontId="14" fillId="0" borderId="142" xfId="0" applyNumberFormat="1" applyFont="1" applyBorder="1">
      <alignment vertical="center"/>
    </xf>
    <xf numFmtId="180" fontId="9" fillId="3" borderId="201" xfId="0" applyFont="1" applyFill="1" applyBorder="1" applyAlignment="1">
      <alignment horizontal="center" vertical="center"/>
    </xf>
    <xf numFmtId="180" fontId="9" fillId="3" borderId="150" xfId="0" applyFont="1" applyFill="1" applyBorder="1" applyAlignment="1">
      <alignment horizontal="center" vertical="center"/>
    </xf>
    <xf numFmtId="38" fontId="14" fillId="4" borderId="23" xfId="2" applyFont="1" applyFill="1" applyBorder="1" applyAlignment="1">
      <alignment vertical="center" shrinkToFit="1"/>
    </xf>
    <xf numFmtId="180" fontId="9" fillId="3" borderId="0" xfId="0" applyFont="1" applyFill="1" applyBorder="1" applyAlignment="1">
      <alignment horizontal="center" vertical="center" wrapText="1"/>
    </xf>
    <xf numFmtId="180" fontId="9" fillId="3" borderId="29" xfId="0" applyFont="1" applyFill="1" applyBorder="1" applyAlignment="1">
      <alignment horizontal="center" vertical="center"/>
    </xf>
    <xf numFmtId="180" fontId="9" fillId="3" borderId="0" xfId="0" applyFont="1" applyFill="1" applyBorder="1" applyAlignment="1">
      <alignment horizontal="center" vertical="center"/>
    </xf>
    <xf numFmtId="180" fontId="9" fillId="3" borderId="8" xfId="0" applyFont="1" applyFill="1" applyBorder="1" applyAlignment="1">
      <alignment horizontal="center" vertical="center"/>
    </xf>
    <xf numFmtId="180" fontId="9" fillId="3" borderId="25" xfId="0" applyFont="1" applyFill="1" applyBorder="1" applyAlignment="1">
      <alignment horizontal="center" vertical="center"/>
    </xf>
    <xf numFmtId="180" fontId="9" fillId="3" borderId="1" xfId="0" applyFont="1" applyFill="1" applyBorder="1" applyAlignment="1">
      <alignment horizontal="center" vertical="center" wrapText="1"/>
    </xf>
    <xf numFmtId="180" fontId="9" fillId="3" borderId="2" xfId="0" applyFont="1" applyFill="1" applyBorder="1" applyAlignment="1">
      <alignment horizontal="center" vertical="center" wrapText="1"/>
    </xf>
    <xf numFmtId="180" fontId="9" fillId="3" borderId="19" xfId="0" applyFont="1" applyFill="1" applyBorder="1" applyAlignment="1">
      <alignment horizontal="center" vertical="center" wrapText="1"/>
    </xf>
    <xf numFmtId="180" fontId="9" fillId="3" borderId="22" xfId="0" applyFont="1" applyFill="1" applyBorder="1" applyAlignment="1">
      <alignment horizontal="center" vertical="center" wrapText="1"/>
    </xf>
    <xf numFmtId="180" fontId="9" fillId="3" borderId="29" xfId="0" applyFont="1" applyFill="1" applyBorder="1" applyAlignment="1">
      <alignment horizontal="center" vertical="center" wrapText="1"/>
    </xf>
    <xf numFmtId="180" fontId="9" fillId="3" borderId="174" xfId="0" applyFont="1" applyFill="1" applyBorder="1" applyAlignment="1">
      <alignment horizontal="center" vertical="center" wrapText="1"/>
    </xf>
    <xf numFmtId="180" fontId="9" fillId="3" borderId="7" xfId="0" applyFont="1" applyFill="1" applyBorder="1" applyAlignment="1">
      <alignment horizontal="center" vertical="center" wrapText="1"/>
    </xf>
    <xf numFmtId="180" fontId="9" fillId="3" borderId="8" xfId="0" applyFont="1" applyFill="1" applyBorder="1" applyAlignment="1">
      <alignment horizontal="center" vertical="center" wrapText="1"/>
    </xf>
    <xf numFmtId="180" fontId="9" fillId="3" borderId="25" xfId="0" applyFont="1" applyFill="1" applyBorder="1" applyAlignment="1">
      <alignment horizontal="center" vertical="center" wrapText="1"/>
    </xf>
    <xf numFmtId="38" fontId="43" fillId="0" borderId="27" xfId="2" applyFont="1" applyFill="1" applyBorder="1" applyAlignment="1">
      <alignment vertical="center" shrinkToFit="1"/>
    </xf>
    <xf numFmtId="180" fontId="14" fillId="0" borderId="38" xfId="0" applyFont="1" applyFill="1" applyBorder="1" applyAlignment="1">
      <alignment horizontal="right" vertical="center" shrinkToFit="1"/>
    </xf>
    <xf numFmtId="180" fontId="14" fillId="0" borderId="27" xfId="0" applyFont="1" applyFill="1" applyBorder="1" applyAlignment="1">
      <alignment horizontal="right" vertical="center" shrinkToFit="1"/>
    </xf>
    <xf numFmtId="38" fontId="43" fillId="0" borderId="13" xfId="2" applyFont="1" applyFill="1" applyBorder="1" applyAlignment="1">
      <alignment vertical="center" shrinkToFit="1"/>
    </xf>
    <xf numFmtId="38" fontId="14" fillId="0" borderId="13" xfId="2" applyFont="1" applyFill="1" applyBorder="1" applyAlignment="1">
      <alignment vertical="center" shrinkToFit="1"/>
    </xf>
    <xf numFmtId="40" fontId="14" fillId="4" borderId="15" xfId="0" applyNumberFormat="1" applyFont="1" applyFill="1" applyBorder="1" applyAlignment="1">
      <alignment vertical="center"/>
    </xf>
    <xf numFmtId="38" fontId="14" fillId="4" borderId="38" xfId="2" applyFont="1" applyFill="1" applyBorder="1" applyAlignment="1">
      <alignment vertical="center" shrinkToFit="1"/>
    </xf>
    <xf numFmtId="180" fontId="14" fillId="0" borderId="26" xfId="0" applyFont="1" applyFill="1" applyBorder="1" applyAlignment="1">
      <alignment horizontal="right" vertical="center" shrinkToFit="1"/>
    </xf>
    <xf numFmtId="180" fontId="34" fillId="0" borderId="0" xfId="0" applyFont="1" applyFill="1" applyBorder="1" applyAlignment="1">
      <alignment vertical="top" wrapText="1"/>
    </xf>
    <xf numFmtId="180" fontId="14" fillId="6" borderId="14" xfId="0" applyFont="1" applyFill="1" applyBorder="1" applyAlignment="1">
      <alignment horizontal="center" vertical="center"/>
    </xf>
    <xf numFmtId="180" fontId="14" fillId="6" borderId="13" xfId="0" applyFont="1" applyFill="1" applyBorder="1" applyAlignment="1">
      <alignment horizontal="center" vertical="center"/>
    </xf>
    <xf numFmtId="180" fontId="14" fillId="6" borderId="15" xfId="0" applyFont="1" applyFill="1" applyBorder="1" applyAlignment="1">
      <alignment horizontal="center" vertical="center"/>
    </xf>
    <xf numFmtId="40" fontId="14" fillId="6" borderId="14" xfId="0" applyNumberFormat="1" applyFont="1" applyFill="1" applyBorder="1" applyAlignment="1">
      <alignment horizontal="center" vertical="center"/>
    </xf>
    <xf numFmtId="40" fontId="14" fillId="6" borderId="13" xfId="0" applyNumberFormat="1" applyFont="1" applyFill="1" applyBorder="1" applyAlignment="1">
      <alignment horizontal="center" vertical="center"/>
    </xf>
    <xf numFmtId="40" fontId="14" fillId="6" borderId="15" xfId="0" applyNumberFormat="1" applyFont="1" applyFill="1" applyBorder="1" applyAlignment="1">
      <alignment horizontal="center" vertical="center"/>
    </xf>
    <xf numFmtId="40" fontId="14" fillId="4" borderId="14" xfId="0" applyNumberFormat="1" applyFont="1" applyFill="1" applyBorder="1" applyAlignment="1">
      <alignment horizontal="right" vertical="center"/>
    </xf>
    <xf numFmtId="40" fontId="14" fillId="4" borderId="13" xfId="0" applyNumberFormat="1" applyFont="1" applyFill="1" applyBorder="1" applyAlignment="1">
      <alignment horizontal="right" vertical="center"/>
    </xf>
    <xf numFmtId="188" fontId="34" fillId="0" borderId="0" xfId="0" applyNumberFormat="1" applyFont="1" applyFill="1" applyBorder="1" applyAlignment="1">
      <alignment horizontal="left" vertical="top" wrapText="1"/>
    </xf>
    <xf numFmtId="180" fontId="34" fillId="0" borderId="0" xfId="0" applyFont="1" applyBorder="1" applyAlignment="1">
      <alignment vertical="top" wrapText="1"/>
    </xf>
    <xf numFmtId="0" fontId="14" fillId="4" borderId="14" xfId="0" applyNumberFormat="1" applyFont="1" applyFill="1" applyBorder="1" applyAlignment="1">
      <alignment vertical="center"/>
    </xf>
    <xf numFmtId="0" fontId="14" fillId="4" borderId="13" xfId="0" applyNumberFormat="1" applyFont="1" applyFill="1" applyBorder="1" applyAlignment="1">
      <alignment vertical="center"/>
    </xf>
    <xf numFmtId="0" fontId="14" fillId="4" borderId="15" xfId="0" applyNumberFormat="1" applyFont="1" applyFill="1" applyBorder="1" applyAlignment="1">
      <alignment vertical="center"/>
    </xf>
    <xf numFmtId="180" fontId="0" fillId="0" borderId="0" xfId="0">
      <alignment vertical="center"/>
    </xf>
    <xf numFmtId="38" fontId="43" fillId="0" borderId="27" xfId="2" applyFont="1" applyFill="1" applyBorder="1" applyAlignment="1">
      <alignment horizontal="left" vertical="center" shrinkToFit="1"/>
    </xf>
    <xf numFmtId="40" fontId="9" fillId="2" borderId="0" xfId="2" applyNumberFormat="1" applyFont="1" applyFill="1" applyBorder="1" applyAlignment="1">
      <alignment vertical="center"/>
    </xf>
    <xf numFmtId="180" fontId="14" fillId="0" borderId="27" xfId="0" applyFont="1" applyFill="1" applyBorder="1">
      <alignment vertical="center"/>
    </xf>
    <xf numFmtId="180" fontId="14" fillId="0" borderId="28" xfId="0" applyFont="1" applyFill="1" applyBorder="1">
      <alignment vertical="center"/>
    </xf>
    <xf numFmtId="180" fontId="14" fillId="4" borderId="27" xfId="0" applyFont="1" applyFill="1" applyBorder="1" applyAlignment="1">
      <alignment vertical="center" shrinkToFit="1"/>
    </xf>
    <xf numFmtId="180" fontId="14" fillId="4" borderId="28" xfId="0" applyFont="1" applyFill="1" applyBorder="1" applyAlignment="1">
      <alignment vertical="center" shrinkToFit="1"/>
    </xf>
    <xf numFmtId="180" fontId="14" fillId="4" borderId="27" xfId="0" applyFont="1" applyFill="1" applyBorder="1" applyAlignment="1">
      <alignment horizontal="right" vertical="center" shrinkToFit="1"/>
    </xf>
    <xf numFmtId="180" fontId="14" fillId="4" borderId="28" xfId="0" applyFont="1" applyFill="1" applyBorder="1" applyAlignment="1">
      <alignment horizontal="right" vertical="center" shrinkToFit="1"/>
    </xf>
    <xf numFmtId="180" fontId="14" fillId="4" borderId="26" xfId="0" applyFont="1" applyFill="1" applyBorder="1" applyAlignment="1">
      <alignment horizontal="right" vertical="center" shrinkToFit="1"/>
    </xf>
    <xf numFmtId="180" fontId="14" fillId="0" borderId="27" xfId="0" applyFont="1" applyFill="1" applyBorder="1" applyAlignment="1">
      <alignment horizontal="left" vertical="center" shrinkToFit="1"/>
    </xf>
    <xf numFmtId="38" fontId="14" fillId="0" borderId="49" xfId="2" applyFont="1" applyFill="1" applyBorder="1" applyAlignment="1">
      <alignment vertical="center" shrinkToFit="1"/>
    </xf>
    <xf numFmtId="40" fontId="14" fillId="0" borderId="146" xfId="0" applyNumberFormat="1" applyFont="1" applyFill="1" applyBorder="1" applyAlignment="1">
      <alignment vertical="center"/>
    </xf>
    <xf numFmtId="40" fontId="14" fillId="0" borderId="147" xfId="0" applyNumberFormat="1" applyFont="1" applyFill="1" applyBorder="1" applyAlignment="1">
      <alignment vertical="center"/>
    </xf>
    <xf numFmtId="40" fontId="14" fillId="0" borderId="148" xfId="0" applyNumberFormat="1" applyFont="1" applyFill="1" applyBorder="1" applyAlignment="1">
      <alignment vertical="center"/>
    </xf>
    <xf numFmtId="38" fontId="14" fillId="4" borderId="26" xfId="2" applyFont="1" applyFill="1" applyBorder="1" applyAlignment="1">
      <alignment vertical="center" shrinkToFit="1"/>
    </xf>
    <xf numFmtId="180" fontId="14" fillId="4" borderId="13" xfId="0" applyFont="1" applyFill="1" applyBorder="1" applyAlignment="1">
      <alignment horizontal="right" vertical="center" shrinkToFit="1"/>
    </xf>
    <xf numFmtId="180" fontId="0" fillId="0" borderId="13" xfId="0" applyBorder="1" applyAlignment="1">
      <alignment vertical="center"/>
    </xf>
    <xf numFmtId="180" fontId="0" fillId="0" borderId="30" xfId="0" applyBorder="1" applyAlignment="1">
      <alignment vertical="center"/>
    </xf>
    <xf numFmtId="180" fontId="14" fillId="0" borderId="13" xfId="0" applyFont="1" applyFill="1" applyBorder="1" applyAlignment="1">
      <alignment horizontal="right" vertical="center" shrinkToFit="1"/>
    </xf>
    <xf numFmtId="180" fontId="14" fillId="6" borderId="30" xfId="0" applyFont="1" applyFill="1" applyBorder="1" applyAlignment="1">
      <alignment horizontal="center" vertical="center"/>
    </xf>
    <xf numFmtId="40" fontId="14" fillId="0" borderId="14" xfId="0" applyNumberFormat="1" applyFont="1" applyFill="1" applyBorder="1" applyAlignment="1">
      <alignment horizontal="right" vertical="center"/>
    </xf>
    <xf numFmtId="40" fontId="14" fillId="0" borderId="13" xfId="0" applyNumberFormat="1" applyFont="1" applyFill="1" applyBorder="1" applyAlignment="1">
      <alignment horizontal="right" vertical="center"/>
    </xf>
    <xf numFmtId="40" fontId="14" fillId="0" borderId="15" xfId="0" applyNumberFormat="1" applyFont="1" applyFill="1" applyBorder="1" applyAlignment="1">
      <alignment horizontal="right" vertical="center"/>
    </xf>
    <xf numFmtId="38" fontId="14" fillId="0" borderId="14" xfId="2" applyFont="1" applyFill="1" applyBorder="1" applyAlignment="1">
      <alignment vertical="center" shrinkToFit="1"/>
    </xf>
    <xf numFmtId="180" fontId="9" fillId="3" borderId="22" xfId="0" applyFont="1" applyFill="1" applyBorder="1" applyAlignment="1">
      <alignment horizontal="center" vertical="center"/>
    </xf>
    <xf numFmtId="180" fontId="9" fillId="3" borderId="7" xfId="0" applyFont="1" applyFill="1" applyBorder="1" applyAlignment="1">
      <alignment horizontal="center" vertical="center"/>
    </xf>
    <xf numFmtId="180" fontId="14" fillId="0" borderId="16" xfId="0" applyFont="1" applyFill="1" applyBorder="1" applyAlignment="1">
      <alignment horizontal="center" vertical="center"/>
    </xf>
    <xf numFmtId="180" fontId="14" fillId="0" borderId="35" xfId="0" applyFont="1" applyFill="1" applyBorder="1">
      <alignment vertical="center"/>
    </xf>
    <xf numFmtId="180" fontId="14" fillId="0" borderId="16" xfId="0" applyFont="1" applyFill="1" applyBorder="1">
      <alignment vertical="center"/>
    </xf>
    <xf numFmtId="180" fontId="14" fillId="0" borderId="23" xfId="0" applyFont="1" applyFill="1" applyBorder="1">
      <alignment vertical="center"/>
    </xf>
    <xf numFmtId="180" fontId="14" fillId="6" borderId="27" xfId="0" applyFont="1" applyFill="1" applyBorder="1" applyAlignment="1">
      <alignment horizontal="center" vertical="center"/>
    </xf>
    <xf numFmtId="180" fontId="14" fillId="6" borderId="28" xfId="0" applyFont="1" applyFill="1" applyBorder="1" applyAlignment="1">
      <alignment horizontal="center" vertical="center"/>
    </xf>
    <xf numFmtId="180" fontId="14" fillId="0" borderId="17" xfId="0" applyFont="1" applyBorder="1">
      <alignment vertical="center"/>
    </xf>
    <xf numFmtId="180" fontId="14" fillId="0" borderId="16" xfId="0" applyFont="1" applyBorder="1">
      <alignment vertical="center"/>
    </xf>
    <xf numFmtId="180" fontId="14" fillId="0" borderId="23" xfId="0" applyFont="1" applyBorder="1">
      <alignment vertical="center"/>
    </xf>
    <xf numFmtId="180" fontId="14" fillId="0" borderId="49" xfId="0" applyFont="1" applyFill="1" applyBorder="1" applyAlignment="1">
      <alignment horizontal="center" vertical="center"/>
    </xf>
    <xf numFmtId="180" fontId="14" fillId="0" borderId="61" xfId="0" applyFont="1" applyFill="1" applyBorder="1">
      <alignment vertical="center"/>
    </xf>
    <xf numFmtId="180" fontId="14" fillId="0" borderId="49" xfId="0" applyFont="1" applyFill="1" applyBorder="1">
      <alignment vertical="center"/>
    </xf>
    <xf numFmtId="180" fontId="14" fillId="0" borderId="50" xfId="0" applyFont="1" applyFill="1" applyBorder="1">
      <alignment vertical="center"/>
    </xf>
    <xf numFmtId="180" fontId="14" fillId="0" borderId="48" xfId="0" applyFont="1" applyFill="1" applyBorder="1" applyAlignment="1">
      <alignment horizontal="right" vertical="center" shrinkToFit="1"/>
    </xf>
    <xf numFmtId="180" fontId="14" fillId="0" borderId="49" xfId="0" applyFont="1" applyFill="1" applyBorder="1" applyAlignment="1">
      <alignment horizontal="right" vertical="center" shrinkToFit="1"/>
    </xf>
    <xf numFmtId="180" fontId="14" fillId="4" borderId="16" xfId="0" applyFont="1" applyFill="1" applyBorder="1" applyAlignment="1">
      <alignment horizontal="right" vertical="center" shrinkToFit="1"/>
    </xf>
    <xf numFmtId="180" fontId="0" fillId="0" borderId="16" xfId="0" applyBorder="1" applyAlignment="1">
      <alignment vertical="center"/>
    </xf>
    <xf numFmtId="180" fontId="0" fillId="0" borderId="34" xfId="0" applyBorder="1" applyAlignment="1">
      <alignment vertical="center"/>
    </xf>
    <xf numFmtId="180" fontId="14" fillId="0" borderId="30" xfId="0" applyFont="1" applyBorder="1" applyAlignment="1">
      <alignment vertical="center"/>
    </xf>
    <xf numFmtId="180" fontId="14" fillId="6" borderId="17" xfId="0" applyFont="1" applyFill="1" applyBorder="1" applyAlignment="1">
      <alignment horizontal="center" vertical="center"/>
    </xf>
    <xf numFmtId="180" fontId="14" fillId="6" borderId="16" xfId="0" applyFont="1" applyFill="1" applyBorder="1" applyAlignment="1">
      <alignment horizontal="center" vertical="center"/>
    </xf>
    <xf numFmtId="180" fontId="14" fillId="6" borderId="34" xfId="0" applyFont="1" applyFill="1" applyBorder="1" applyAlignment="1">
      <alignment horizontal="center" vertical="center"/>
    </xf>
    <xf numFmtId="180" fontId="14" fillId="0" borderId="17" xfId="0" applyFont="1" applyFill="1" applyBorder="1" applyAlignment="1">
      <alignment horizontal="right" vertical="center" shrinkToFit="1"/>
    </xf>
    <xf numFmtId="180" fontId="14" fillId="0" borderId="16" xfId="0" applyFont="1" applyFill="1" applyBorder="1" applyAlignment="1">
      <alignment horizontal="right" vertical="center" shrinkToFit="1"/>
    </xf>
    <xf numFmtId="180" fontId="14" fillId="0" borderId="16" xfId="0" applyFont="1" applyBorder="1" applyAlignment="1">
      <alignment vertical="center"/>
    </xf>
    <xf numFmtId="180" fontId="14" fillId="0" borderId="34" xfId="0" applyFont="1" applyBorder="1" applyAlignment="1">
      <alignment vertical="center"/>
    </xf>
    <xf numFmtId="180" fontId="14" fillId="4" borderId="26" xfId="0" applyFont="1" applyFill="1" applyBorder="1" applyAlignment="1">
      <alignment horizontal="center" vertical="center"/>
    </xf>
    <xf numFmtId="180" fontId="14" fillId="4" borderId="28" xfId="0" applyFont="1" applyFill="1" applyBorder="1" applyAlignment="1">
      <alignment horizontal="center" vertical="center"/>
    </xf>
    <xf numFmtId="180" fontId="4" fillId="5" borderId="3" xfId="1" applyNumberFormat="1" applyFill="1" applyBorder="1" applyAlignment="1" applyProtection="1">
      <alignment horizontal="center" vertical="center"/>
    </xf>
    <xf numFmtId="180" fontId="10" fillId="5" borderId="4" xfId="0" applyFont="1" applyFill="1" applyBorder="1" applyAlignment="1">
      <alignment horizontal="center" vertical="center"/>
    </xf>
    <xf numFmtId="180" fontId="10" fillId="5" borderId="5" xfId="0" applyFont="1" applyFill="1" applyBorder="1" applyAlignment="1">
      <alignment horizontal="center" vertical="center"/>
    </xf>
    <xf numFmtId="180" fontId="14" fillId="4" borderId="14" xfId="0" applyFont="1" applyFill="1" applyBorder="1" applyAlignment="1">
      <alignment horizontal="right" vertical="center"/>
    </xf>
    <xf numFmtId="180" fontId="14" fillId="4" borderId="13" xfId="0" applyFont="1" applyFill="1" applyBorder="1" applyAlignment="1">
      <alignment horizontal="right" vertical="center"/>
    </xf>
    <xf numFmtId="180" fontId="14" fillId="4" borderId="26" xfId="0" applyFont="1" applyFill="1" applyBorder="1" applyAlignment="1">
      <alignment horizontal="right" vertical="center"/>
    </xf>
    <xf numFmtId="180" fontId="14" fillId="4" borderId="27" xfId="0" applyFont="1" applyFill="1" applyBorder="1" applyAlignment="1">
      <alignment horizontal="right" vertical="center"/>
    </xf>
    <xf numFmtId="177" fontId="14" fillId="0" borderId="17" xfId="0" applyNumberFormat="1" applyFont="1" applyFill="1" applyBorder="1" applyAlignment="1">
      <alignment vertical="center"/>
    </xf>
    <xf numFmtId="177" fontId="14" fillId="0" borderId="16" xfId="0" applyNumberFormat="1" applyFont="1" applyFill="1" applyBorder="1" applyAlignment="1">
      <alignment vertical="center"/>
    </xf>
    <xf numFmtId="200" fontId="14" fillId="0" borderId="4" xfId="0" applyNumberFormat="1" applyFont="1" applyFill="1" applyBorder="1" applyAlignment="1">
      <alignment vertical="center"/>
    </xf>
    <xf numFmtId="200" fontId="14" fillId="0" borderId="5" xfId="0" applyNumberFormat="1" applyFont="1" applyFill="1" applyBorder="1" applyAlignment="1">
      <alignment vertical="center"/>
    </xf>
    <xf numFmtId="180" fontId="14" fillId="0" borderId="4" xfId="0" applyFont="1" applyFill="1" applyBorder="1" applyAlignment="1">
      <alignment horizontal="center" vertical="center" shrinkToFit="1"/>
    </xf>
    <xf numFmtId="180" fontId="14" fillId="0" borderId="1" xfId="0" applyFont="1" applyFill="1" applyBorder="1" applyAlignment="1">
      <alignment vertical="center"/>
    </xf>
    <xf numFmtId="180" fontId="14" fillId="0" borderId="19" xfId="0" applyFont="1" applyFill="1" applyBorder="1" applyAlignment="1">
      <alignment vertical="center"/>
    </xf>
    <xf numFmtId="180" fontId="14" fillId="0" borderId="22" xfId="0" applyFont="1" applyFill="1" applyBorder="1" applyAlignment="1">
      <alignment vertical="center"/>
    </xf>
    <xf numFmtId="180" fontId="14" fillId="0" borderId="0" xfId="0" applyFont="1" applyFill="1" applyBorder="1" applyAlignment="1">
      <alignment vertical="center"/>
    </xf>
    <xf numFmtId="180" fontId="14" fillId="0" borderId="29" xfId="0" applyFont="1" applyFill="1" applyBorder="1" applyAlignment="1">
      <alignment vertical="center"/>
    </xf>
    <xf numFmtId="40" fontId="14" fillId="0" borderId="119" xfId="0" applyNumberFormat="1" applyFont="1" applyFill="1" applyBorder="1" applyAlignment="1">
      <alignment horizontal="center" vertical="center"/>
    </xf>
    <xf numFmtId="40" fontId="14" fillId="0" borderId="19" xfId="0" applyNumberFormat="1" applyFont="1" applyFill="1" applyBorder="1" applyAlignment="1">
      <alignment horizontal="center" vertical="center"/>
    </xf>
    <xf numFmtId="40" fontId="14" fillId="0" borderId="120" xfId="0" applyNumberFormat="1" applyFont="1" applyFill="1" applyBorder="1" applyAlignment="1">
      <alignment horizontal="center" vertical="center"/>
    </xf>
    <xf numFmtId="40" fontId="14" fillId="0" borderId="174" xfId="0" applyNumberFormat="1" applyFont="1" applyFill="1" applyBorder="1" applyAlignment="1">
      <alignment horizontal="center" vertical="center"/>
    </xf>
    <xf numFmtId="40" fontId="14" fillId="0" borderId="29" xfId="0" applyNumberFormat="1" applyFont="1" applyFill="1" applyBorder="1" applyAlignment="1">
      <alignment horizontal="center" vertical="center"/>
    </xf>
    <xf numFmtId="38" fontId="14" fillId="4" borderId="28" xfId="2" applyFont="1" applyFill="1" applyBorder="1" applyAlignment="1">
      <alignment vertical="center" shrinkToFit="1"/>
    </xf>
    <xf numFmtId="180" fontId="14" fillId="0" borderId="14" xfId="0" applyFont="1" applyFill="1" applyBorder="1" applyAlignment="1">
      <alignment horizontal="right" vertical="center" shrinkToFit="1"/>
    </xf>
    <xf numFmtId="38" fontId="14" fillId="0" borderId="15" xfId="2" applyFont="1" applyFill="1" applyBorder="1" applyAlignment="1">
      <alignment vertical="center" shrinkToFit="1"/>
    </xf>
    <xf numFmtId="180" fontId="9" fillId="3" borderId="1" xfId="0" applyFont="1" applyFill="1" applyBorder="1" applyAlignment="1">
      <alignment horizontal="center" vertical="center"/>
    </xf>
    <xf numFmtId="180" fontId="9" fillId="3" borderId="19" xfId="0" applyFont="1" applyFill="1" applyBorder="1" applyAlignment="1">
      <alignment horizontal="center" vertical="center"/>
    </xf>
    <xf numFmtId="180" fontId="9" fillId="3" borderId="174" xfId="0" applyFont="1" applyFill="1" applyBorder="1" applyAlignment="1">
      <alignment horizontal="center" vertical="center"/>
    </xf>
    <xf numFmtId="38" fontId="14" fillId="0" borderId="27" xfId="2" applyFont="1" applyBorder="1" applyAlignment="1">
      <alignment vertical="center"/>
    </xf>
    <xf numFmtId="40" fontId="14" fillId="4" borderId="26" xfId="0" applyNumberFormat="1" applyFont="1" applyFill="1" applyBorder="1" applyAlignment="1">
      <alignment horizontal="right" vertical="center"/>
    </xf>
    <xf numFmtId="40" fontId="14" fillId="4" borderId="27" xfId="0" applyNumberFormat="1" applyFont="1" applyFill="1" applyBorder="1" applyAlignment="1">
      <alignment horizontal="right" vertical="center"/>
    </xf>
    <xf numFmtId="180" fontId="3" fillId="0" borderId="26" xfId="0" applyFont="1" applyFill="1" applyBorder="1" applyAlignment="1">
      <alignment horizontal="right" vertical="center"/>
    </xf>
    <xf numFmtId="180" fontId="3" fillId="0" borderId="27" xfId="0" applyFont="1" applyFill="1" applyBorder="1" applyAlignment="1">
      <alignment horizontal="right" vertical="center"/>
    </xf>
    <xf numFmtId="180" fontId="14" fillId="4" borderId="14" xfId="0" applyFont="1" applyFill="1" applyBorder="1" applyAlignment="1">
      <alignment horizontal="center" vertical="center"/>
    </xf>
    <xf numFmtId="180" fontId="14" fillId="4" borderId="15" xfId="0" applyFont="1" applyFill="1" applyBorder="1" applyAlignment="1">
      <alignment horizontal="center" vertical="center"/>
    </xf>
    <xf numFmtId="180" fontId="14" fillId="6" borderId="1" xfId="0" applyFont="1" applyFill="1" applyBorder="1" applyAlignment="1">
      <alignment horizontal="left" vertical="center"/>
    </xf>
    <xf numFmtId="180" fontId="14" fillId="6" borderId="2" xfId="0" applyFont="1" applyFill="1" applyBorder="1" applyAlignment="1">
      <alignment horizontal="left" vertical="center"/>
    </xf>
    <xf numFmtId="180" fontId="14" fillId="6" borderId="19" xfId="0" applyFont="1" applyFill="1" applyBorder="1" applyAlignment="1">
      <alignment horizontal="left" vertical="center"/>
    </xf>
    <xf numFmtId="180" fontId="14" fillId="6" borderId="7" xfId="0" applyFont="1" applyFill="1" applyBorder="1" applyAlignment="1">
      <alignment horizontal="left" vertical="center"/>
    </xf>
    <xf numFmtId="180" fontId="14" fillId="6" borderId="8" xfId="0" applyFont="1" applyFill="1" applyBorder="1" applyAlignment="1">
      <alignment horizontal="left" vertical="center"/>
    </xf>
    <xf numFmtId="180" fontId="14" fillId="6" borderId="25" xfId="0" applyFont="1" applyFill="1" applyBorder="1" applyAlignment="1">
      <alignment horizontal="left" vertical="center"/>
    </xf>
    <xf numFmtId="40" fontId="0" fillId="6" borderId="14" xfId="0" applyNumberFormat="1" applyFill="1" applyBorder="1" applyAlignment="1">
      <alignment horizontal="right" vertical="center"/>
    </xf>
    <xf numFmtId="40" fontId="0" fillId="6" borderId="13" xfId="0" applyNumberFormat="1" applyFill="1" applyBorder="1" applyAlignment="1">
      <alignment horizontal="right" vertical="center"/>
    </xf>
    <xf numFmtId="188" fontId="34" fillId="0" borderId="0" xfId="0" applyNumberFormat="1" applyFont="1" applyFill="1" applyBorder="1" applyAlignment="1">
      <alignment horizontal="center" vertical="top" shrinkToFit="1"/>
    </xf>
    <xf numFmtId="180" fontId="0" fillId="0" borderId="14" xfId="0" applyFont="1" applyFill="1" applyBorder="1" applyAlignment="1">
      <alignment horizontal="center" vertical="center"/>
    </xf>
    <xf numFmtId="180" fontId="0" fillId="0" borderId="13" xfId="0" applyFont="1" applyFill="1" applyBorder="1" applyAlignment="1">
      <alignment horizontal="center" vertical="center"/>
    </xf>
    <xf numFmtId="180" fontId="0" fillId="0" borderId="15" xfId="0" applyFont="1" applyFill="1" applyBorder="1" applyAlignment="1">
      <alignment horizontal="center" vertical="center"/>
    </xf>
    <xf numFmtId="180" fontId="14" fillId="0" borderId="13" xfId="0" applyFont="1" applyBorder="1">
      <alignment vertical="center"/>
    </xf>
    <xf numFmtId="180" fontId="14" fillId="0" borderId="15" xfId="0" applyFont="1" applyBorder="1">
      <alignment vertical="center"/>
    </xf>
    <xf numFmtId="180" fontId="14" fillId="4" borderId="38" xfId="0" applyFont="1" applyFill="1" applyBorder="1" applyAlignment="1">
      <alignment vertical="center"/>
    </xf>
    <xf numFmtId="180" fontId="14" fillId="4" borderId="39" xfId="0" applyFont="1" applyFill="1" applyBorder="1" applyAlignment="1">
      <alignment vertical="center"/>
    </xf>
    <xf numFmtId="40" fontId="14" fillId="0" borderId="7" xfId="0" applyNumberFormat="1" applyFont="1" applyBorder="1">
      <alignment vertical="center"/>
    </xf>
    <xf numFmtId="40" fontId="14" fillId="0" borderId="8" xfId="0" applyNumberFormat="1" applyFont="1" applyBorder="1">
      <alignment vertical="center"/>
    </xf>
    <xf numFmtId="221" fontId="14" fillId="0" borderId="14" xfId="0" applyNumberFormat="1" applyFont="1" applyFill="1" applyBorder="1" applyAlignment="1">
      <alignment horizontal="center" vertical="center"/>
    </xf>
    <xf numFmtId="221" fontId="14" fillId="0" borderId="13" xfId="0" applyNumberFormat="1" applyFont="1" applyFill="1" applyBorder="1" applyAlignment="1">
      <alignment horizontal="center" vertical="center"/>
    </xf>
    <xf numFmtId="221" fontId="14" fillId="0" borderId="15" xfId="0" applyNumberFormat="1" applyFont="1" applyFill="1" applyBorder="1" applyAlignment="1">
      <alignment horizontal="center" vertical="center"/>
    </xf>
    <xf numFmtId="40" fontId="0" fillId="0" borderId="31" xfId="0" applyNumberFormat="1" applyBorder="1" applyAlignment="1">
      <alignment horizontal="center" vertical="center"/>
    </xf>
    <xf numFmtId="40" fontId="0" fillId="0" borderId="15" xfId="0" applyNumberFormat="1" applyBorder="1" applyAlignment="1">
      <alignment horizontal="center" vertical="center"/>
    </xf>
    <xf numFmtId="180" fontId="14" fillId="4" borderId="17" xfId="0" applyFont="1" applyFill="1" applyBorder="1" applyAlignment="1">
      <alignment horizontal="right" vertical="center"/>
    </xf>
    <xf numFmtId="180" fontId="14" fillId="4" borderId="16" xfId="0" applyFont="1" applyFill="1" applyBorder="1" applyAlignment="1">
      <alignment horizontal="right" vertical="center"/>
    </xf>
    <xf numFmtId="180" fontId="9" fillId="3" borderId="151" xfId="0" applyFont="1" applyFill="1" applyBorder="1" applyAlignment="1">
      <alignment horizontal="center" vertical="center"/>
    </xf>
    <xf numFmtId="180" fontId="10" fillId="8" borderId="3" xfId="0" applyFont="1" applyFill="1" applyBorder="1" applyAlignment="1">
      <alignment horizontal="center" vertical="center"/>
    </xf>
    <xf numFmtId="180" fontId="10" fillId="8" borderId="4" xfId="0" applyFont="1" applyFill="1" applyBorder="1" applyAlignment="1">
      <alignment horizontal="center" vertical="center"/>
    </xf>
    <xf numFmtId="180" fontId="10" fillId="8" borderId="5" xfId="0" applyFont="1" applyFill="1" applyBorder="1" applyAlignment="1">
      <alignment horizontal="center" vertical="center"/>
    </xf>
    <xf numFmtId="180" fontId="9" fillId="3" borderId="20" xfId="0" applyFont="1" applyFill="1" applyBorder="1" applyAlignment="1">
      <alignment horizontal="center" vertical="center" shrinkToFit="1"/>
    </xf>
    <xf numFmtId="180" fontId="0" fillId="3" borderId="150" xfId="0" applyFill="1" applyBorder="1">
      <alignment vertical="center"/>
    </xf>
    <xf numFmtId="180" fontId="0" fillId="3" borderId="151" xfId="0" applyFill="1" applyBorder="1">
      <alignment vertical="center"/>
    </xf>
    <xf numFmtId="180" fontId="9" fillId="3" borderId="150" xfId="0" applyFont="1" applyFill="1" applyBorder="1" applyAlignment="1">
      <alignment horizontal="center" vertical="center" textRotation="255" wrapText="1"/>
    </xf>
    <xf numFmtId="180" fontId="9" fillId="3" borderId="151" xfId="0" applyFont="1" applyFill="1" applyBorder="1" applyAlignment="1">
      <alignment horizontal="center" vertical="center" textRotation="255" wrapText="1"/>
    </xf>
    <xf numFmtId="180" fontId="8" fillId="0" borderId="26" xfId="0" applyFont="1" applyFill="1" applyBorder="1" applyAlignment="1">
      <alignment horizontal="center" vertical="center"/>
    </xf>
    <xf numFmtId="180" fontId="8" fillId="0" borderId="27" xfId="0" applyFont="1" applyFill="1" applyBorder="1" applyAlignment="1">
      <alignment horizontal="center" vertical="center"/>
    </xf>
    <xf numFmtId="180" fontId="8" fillId="0" borderId="28" xfId="0" applyFont="1" applyFill="1" applyBorder="1" applyAlignment="1">
      <alignment horizontal="center" vertical="center"/>
    </xf>
    <xf numFmtId="180" fontId="14" fillId="0" borderId="25" xfId="0" applyFont="1" applyFill="1" applyBorder="1" applyAlignment="1">
      <alignment vertical="center"/>
    </xf>
    <xf numFmtId="180" fontId="14" fillId="0" borderId="8" xfId="0" applyFont="1" applyBorder="1">
      <alignment vertical="center"/>
    </xf>
    <xf numFmtId="180" fontId="14" fillId="0" borderId="23" xfId="0" applyFont="1" applyBorder="1" applyAlignment="1">
      <alignment vertical="center"/>
    </xf>
    <xf numFmtId="40" fontId="14" fillId="4" borderId="17" xfId="0" applyNumberFormat="1" applyFont="1" applyFill="1" applyBorder="1">
      <alignment vertical="center"/>
    </xf>
    <xf numFmtId="40" fontId="14" fillId="4" borderId="16" xfId="0" applyNumberFormat="1" applyFont="1" applyFill="1" applyBorder="1">
      <alignment vertical="center"/>
    </xf>
    <xf numFmtId="40" fontId="14" fillId="4" borderId="23" xfId="0" applyNumberFormat="1" applyFont="1" applyFill="1" applyBorder="1">
      <alignment vertical="center"/>
    </xf>
    <xf numFmtId="180" fontId="9" fillId="3" borderId="3" xfId="0" applyFont="1" applyFill="1" applyBorder="1" applyAlignment="1">
      <alignment horizontal="center" vertical="center"/>
    </xf>
    <xf numFmtId="180" fontId="9" fillId="3" borderId="4" xfId="0" applyFont="1" applyFill="1" applyBorder="1" applyAlignment="1">
      <alignment horizontal="center" vertical="center"/>
    </xf>
    <xf numFmtId="180" fontId="9" fillId="3" borderId="5" xfId="0" applyFont="1" applyFill="1" applyBorder="1" applyAlignment="1">
      <alignment horizontal="center" vertical="center"/>
    </xf>
    <xf numFmtId="180" fontId="9" fillId="6" borderId="20" xfId="0" applyFont="1" applyFill="1" applyBorder="1" applyAlignment="1">
      <alignment horizontal="center" vertical="center" shrinkToFit="1"/>
    </xf>
    <xf numFmtId="180" fontId="9" fillId="3" borderId="150" xfId="0" applyFont="1" applyFill="1" applyBorder="1" applyAlignment="1">
      <alignment horizontal="center" vertical="center" wrapText="1"/>
    </xf>
    <xf numFmtId="180" fontId="9" fillId="3" borderId="151" xfId="0" applyFont="1" applyFill="1" applyBorder="1" applyAlignment="1">
      <alignment horizontal="center" vertical="center" wrapText="1"/>
    </xf>
    <xf numFmtId="40" fontId="14" fillId="0" borderId="14" xfId="0" applyNumberFormat="1" applyFont="1" applyFill="1" applyBorder="1" applyAlignment="1">
      <alignment horizontal="center" vertical="center"/>
    </xf>
    <xf numFmtId="40" fontId="14" fillId="0" borderId="13" xfId="0" applyNumberFormat="1" applyFont="1" applyFill="1" applyBorder="1" applyAlignment="1">
      <alignment horizontal="center" vertical="center"/>
    </xf>
    <xf numFmtId="40" fontId="14" fillId="0" borderId="15" xfId="0" applyNumberFormat="1" applyFont="1" applyFill="1" applyBorder="1" applyAlignment="1">
      <alignment horizontal="center" vertical="center"/>
    </xf>
    <xf numFmtId="180" fontId="14" fillId="0" borderId="17" xfId="0" applyFont="1" applyFill="1" applyBorder="1" applyAlignment="1">
      <alignment horizontal="center" vertical="center"/>
    </xf>
    <xf numFmtId="180" fontId="14" fillId="0" borderId="23" xfId="0" applyFont="1" applyFill="1" applyBorder="1" applyAlignment="1">
      <alignment horizontal="center" vertical="center"/>
    </xf>
    <xf numFmtId="40" fontId="14" fillId="4" borderId="17" xfId="0" applyNumberFormat="1" applyFont="1" applyFill="1" applyBorder="1" applyAlignment="1">
      <alignment horizontal="center" vertical="center"/>
    </xf>
    <xf numFmtId="40" fontId="14" fillId="4" borderId="34" xfId="0" applyNumberFormat="1" applyFont="1" applyFill="1" applyBorder="1" applyAlignment="1">
      <alignment horizontal="center" vertical="center"/>
    </xf>
    <xf numFmtId="180" fontId="14" fillId="6" borderId="23" xfId="0" applyFont="1" applyFill="1" applyBorder="1" applyAlignment="1">
      <alignment horizontal="center" vertical="center"/>
    </xf>
    <xf numFmtId="180" fontId="11" fillId="6" borderId="3" xfId="0" applyFont="1" applyFill="1" applyBorder="1" applyAlignment="1">
      <alignment horizontal="center" vertical="center"/>
    </xf>
    <xf numFmtId="180" fontId="11" fillId="6" borderId="4" xfId="0" applyFont="1" applyFill="1" applyBorder="1" applyAlignment="1">
      <alignment horizontal="center" vertical="center"/>
    </xf>
    <xf numFmtId="180" fontId="11" fillId="6" borderId="5" xfId="0" applyFont="1" applyFill="1" applyBorder="1" applyAlignment="1">
      <alignment horizontal="center" vertical="center"/>
    </xf>
    <xf numFmtId="40" fontId="0" fillId="0" borderId="80" xfId="0" applyNumberFormat="1" applyFont="1" applyFill="1" applyBorder="1" applyAlignment="1">
      <alignment horizontal="center" vertical="center"/>
    </xf>
    <xf numFmtId="40" fontId="14" fillId="6" borderId="1" xfId="0" applyNumberFormat="1" applyFont="1" applyFill="1" applyBorder="1" applyAlignment="1">
      <alignment horizontal="center" vertical="center"/>
    </xf>
    <xf numFmtId="40" fontId="14" fillId="6" borderId="2" xfId="0" applyNumberFormat="1" applyFont="1" applyFill="1" applyBorder="1" applyAlignment="1">
      <alignment horizontal="center" vertical="center"/>
    </xf>
    <xf numFmtId="40" fontId="14" fillId="6" borderId="7" xfId="0" applyNumberFormat="1" applyFont="1" applyFill="1" applyBorder="1" applyAlignment="1">
      <alignment horizontal="center" vertical="center"/>
    </xf>
    <xf numFmtId="40" fontId="14" fillId="6" borderId="8" xfId="0" applyNumberFormat="1" applyFont="1" applyFill="1" applyBorder="1" applyAlignment="1">
      <alignment horizontal="center" vertical="center"/>
    </xf>
    <xf numFmtId="185" fontId="0" fillId="0" borderId="3" xfId="0" applyNumberFormat="1" applyFill="1" applyBorder="1" applyAlignment="1">
      <alignment horizontal="center" vertical="center"/>
    </xf>
    <xf numFmtId="185" fontId="0" fillId="0" borderId="5" xfId="0" applyNumberFormat="1" applyFill="1" applyBorder="1" applyAlignment="1">
      <alignment horizontal="center" vertical="center"/>
    </xf>
    <xf numFmtId="180" fontId="14" fillId="0" borderId="17" xfId="0" applyFont="1" applyBorder="1" applyAlignment="1">
      <alignment vertical="center"/>
    </xf>
    <xf numFmtId="180" fontId="14" fillId="12" borderId="14" xfId="0" applyFont="1" applyFill="1" applyBorder="1" applyAlignment="1">
      <alignment vertical="center"/>
    </xf>
    <xf numFmtId="180" fontId="14" fillId="12" borderId="13" xfId="0" applyFont="1" applyFill="1" applyBorder="1" applyAlignment="1">
      <alignment vertical="center"/>
    </xf>
    <xf numFmtId="180" fontId="14" fillId="12" borderId="15" xfId="0" applyFont="1" applyFill="1" applyBorder="1" applyAlignment="1">
      <alignment vertical="center"/>
    </xf>
    <xf numFmtId="40" fontId="14" fillId="0" borderId="1" xfId="0" applyNumberFormat="1" applyFont="1" applyFill="1" applyBorder="1" applyAlignment="1">
      <alignment vertical="center"/>
    </xf>
    <xf numFmtId="40" fontId="14" fillId="0" borderId="2" xfId="0" applyNumberFormat="1" applyFont="1" applyFill="1" applyBorder="1" applyAlignment="1">
      <alignment vertical="center"/>
    </xf>
    <xf numFmtId="40" fontId="14" fillId="0" borderId="22" xfId="0" applyNumberFormat="1" applyFont="1" applyFill="1" applyBorder="1" applyAlignment="1">
      <alignment vertical="center"/>
    </xf>
    <xf numFmtId="40" fontId="14" fillId="0" borderId="0" xfId="0" applyNumberFormat="1" applyFont="1" applyFill="1" applyBorder="1" applyAlignment="1">
      <alignment vertical="center"/>
    </xf>
    <xf numFmtId="180" fontId="14" fillId="0" borderId="174" xfId="0" applyFont="1" applyFill="1" applyBorder="1" applyAlignment="1">
      <alignment vertical="center"/>
    </xf>
    <xf numFmtId="180" fontId="14" fillId="6" borderId="1" xfId="0" applyFont="1" applyFill="1" applyBorder="1" applyAlignment="1">
      <alignment horizontal="center" vertical="center"/>
    </xf>
    <xf numFmtId="180" fontId="14" fillId="6" borderId="2" xfId="0" applyFont="1" applyFill="1" applyBorder="1" applyAlignment="1">
      <alignment horizontal="center" vertical="center"/>
    </xf>
    <xf numFmtId="180" fontId="14" fillId="6" borderId="22" xfId="0" applyFont="1" applyFill="1" applyBorder="1" applyAlignment="1">
      <alignment horizontal="center" vertical="center"/>
    </xf>
    <xf numFmtId="180" fontId="14" fillId="6" borderId="0" xfId="0" applyFont="1" applyFill="1" applyBorder="1" applyAlignment="1">
      <alignment horizontal="center" vertical="center"/>
    </xf>
    <xf numFmtId="40" fontId="0" fillId="11" borderId="181" xfId="0" applyNumberFormat="1" applyFont="1" applyFill="1" applyBorder="1" applyAlignment="1">
      <alignment horizontal="center" vertical="center"/>
    </xf>
    <xf numFmtId="40" fontId="3" fillId="11" borderId="181" xfId="0" applyNumberFormat="1" applyFont="1" applyFill="1" applyBorder="1" applyAlignment="1">
      <alignment horizontal="center" vertical="center"/>
    </xf>
    <xf numFmtId="180" fontId="0" fillId="11" borderId="181" xfId="0" applyFont="1" applyFill="1" applyBorder="1" applyAlignment="1">
      <alignment horizontal="center" vertical="center"/>
    </xf>
    <xf numFmtId="177" fontId="14" fillId="0" borderId="14" xfId="0" applyNumberFormat="1" applyFont="1" applyFill="1" applyBorder="1" applyAlignment="1">
      <alignment vertical="center"/>
    </xf>
    <xf numFmtId="177" fontId="14" fillId="0" borderId="13" xfId="0" applyNumberFormat="1" applyFont="1" applyFill="1" applyBorder="1" applyAlignment="1">
      <alignment vertical="center"/>
    </xf>
    <xf numFmtId="180" fontId="14" fillId="0" borderId="26" xfId="0" applyFont="1" applyFill="1" applyBorder="1" applyAlignment="1">
      <alignment horizontal="center" vertical="center"/>
    </xf>
    <xf numFmtId="180" fontId="14" fillId="0" borderId="27" xfId="0" applyFont="1" applyFill="1" applyBorder="1" applyAlignment="1">
      <alignment horizontal="center" vertical="center"/>
    </xf>
    <xf numFmtId="180" fontId="14" fillId="0" borderId="28" xfId="0" applyFont="1" applyFill="1" applyBorder="1" applyAlignment="1">
      <alignment horizontal="center" vertical="center"/>
    </xf>
    <xf numFmtId="40" fontId="14" fillId="0" borderId="19" xfId="0" applyNumberFormat="1" applyFont="1" applyFill="1" applyBorder="1" applyAlignment="1">
      <alignment vertical="center"/>
    </xf>
    <xf numFmtId="40" fontId="14" fillId="0" borderId="7" xfId="0" applyNumberFormat="1" applyFont="1" applyFill="1" applyBorder="1" applyAlignment="1">
      <alignment vertical="center"/>
    </xf>
    <xf numFmtId="40" fontId="14" fillId="0" borderId="8" xfId="0" applyNumberFormat="1" applyFont="1" applyFill="1" applyBorder="1" applyAlignment="1">
      <alignment vertical="center"/>
    </xf>
    <xf numFmtId="40" fontId="14" fillId="0" borderId="25" xfId="0" applyNumberFormat="1" applyFont="1" applyFill="1" applyBorder="1" applyAlignment="1">
      <alignment vertical="center"/>
    </xf>
    <xf numFmtId="38" fontId="14" fillId="0" borderId="26" xfId="2" applyFont="1" applyFill="1" applyBorder="1" applyAlignment="1">
      <alignment vertical="center"/>
    </xf>
    <xf numFmtId="38" fontId="14" fillId="0" borderId="27" xfId="2" applyFont="1" applyFill="1" applyBorder="1" applyAlignment="1">
      <alignment vertical="center"/>
    </xf>
    <xf numFmtId="38" fontId="14" fillId="0" borderId="28" xfId="2" applyFont="1" applyFill="1" applyBorder="1" applyAlignment="1">
      <alignment vertical="center"/>
    </xf>
    <xf numFmtId="180" fontId="10" fillId="3" borderId="22" xfId="0" applyFont="1" applyFill="1" applyBorder="1" applyAlignment="1">
      <alignment horizontal="center" vertical="center"/>
    </xf>
    <xf numFmtId="180" fontId="10" fillId="3" borderId="29" xfId="0" applyFont="1" applyFill="1" applyBorder="1" applyAlignment="1">
      <alignment horizontal="center" vertical="center"/>
    </xf>
    <xf numFmtId="180" fontId="10" fillId="3" borderId="7" xfId="0" applyFont="1" applyFill="1" applyBorder="1" applyAlignment="1">
      <alignment horizontal="center" vertical="center"/>
    </xf>
    <xf numFmtId="180" fontId="10" fillId="3" borderId="25" xfId="0" applyFont="1" applyFill="1" applyBorder="1" applyAlignment="1">
      <alignment horizontal="center" vertical="center"/>
    </xf>
    <xf numFmtId="180" fontId="10" fillId="3" borderId="150" xfId="0" applyFont="1" applyFill="1" applyBorder="1" applyAlignment="1">
      <alignment horizontal="center" vertical="center" shrinkToFit="1"/>
    </xf>
    <xf numFmtId="180" fontId="10" fillId="3" borderId="151" xfId="0" applyFont="1" applyFill="1" applyBorder="1" applyAlignment="1">
      <alignment horizontal="center" vertical="center" shrinkToFit="1"/>
    </xf>
    <xf numFmtId="177" fontId="14" fillId="0" borderId="40" xfId="0" applyNumberFormat="1" applyFont="1" applyFill="1" applyBorder="1" applyAlignment="1">
      <alignment vertical="center"/>
    </xf>
    <xf numFmtId="177" fontId="14" fillId="0" borderId="38" xfId="0" applyNumberFormat="1" applyFont="1" applyFill="1" applyBorder="1" applyAlignment="1">
      <alignment vertical="center"/>
    </xf>
    <xf numFmtId="188" fontId="14" fillId="4" borderId="4" xfId="0" applyNumberFormat="1" applyFont="1" applyFill="1" applyBorder="1" applyAlignment="1">
      <alignment horizontal="center" vertical="center"/>
    </xf>
    <xf numFmtId="188" fontId="14" fillId="0" borderId="4" xfId="0" applyNumberFormat="1" applyFont="1" applyFill="1" applyBorder="1" applyAlignment="1">
      <alignment horizontal="center" vertical="center"/>
    </xf>
    <xf numFmtId="180" fontId="14" fillId="0" borderId="17" xfId="0" applyFont="1" applyFill="1" applyBorder="1" applyAlignment="1">
      <alignment vertical="center"/>
    </xf>
    <xf numFmtId="180" fontId="14" fillId="0" borderId="16" xfId="0" applyFont="1" applyFill="1" applyBorder="1" applyAlignment="1">
      <alignment vertical="center"/>
    </xf>
    <xf numFmtId="180" fontId="14" fillId="0" borderId="23" xfId="0" applyFont="1" applyFill="1" applyBorder="1" applyAlignment="1">
      <alignment vertical="center"/>
    </xf>
    <xf numFmtId="40" fontId="14" fillId="0" borderId="22" xfId="0" applyNumberFormat="1" applyFont="1" applyFill="1" applyBorder="1">
      <alignment vertical="center"/>
    </xf>
    <xf numFmtId="40" fontId="14" fillId="0" borderId="0" xfId="0" applyNumberFormat="1" applyFont="1" applyFill="1" applyBorder="1">
      <alignment vertical="center"/>
    </xf>
    <xf numFmtId="40" fontId="14" fillId="0" borderId="29" xfId="0" applyNumberFormat="1" applyFont="1" applyFill="1" applyBorder="1">
      <alignment vertical="center"/>
    </xf>
    <xf numFmtId="40" fontId="14" fillId="0" borderId="153" xfId="0" applyNumberFormat="1" applyFont="1" applyFill="1" applyBorder="1">
      <alignment vertical="center"/>
    </xf>
    <xf numFmtId="40" fontId="14" fillId="0" borderId="101" xfId="0" applyNumberFormat="1" applyFont="1" applyFill="1" applyBorder="1">
      <alignment vertical="center"/>
    </xf>
    <xf numFmtId="40" fontId="14" fillId="0" borderId="152" xfId="0" applyNumberFormat="1" applyFont="1" applyFill="1" applyBorder="1">
      <alignment vertical="center"/>
    </xf>
    <xf numFmtId="40" fontId="14" fillId="0" borderId="17" xfId="0" applyNumberFormat="1" applyFont="1" applyFill="1" applyBorder="1">
      <alignment vertical="center"/>
    </xf>
    <xf numFmtId="40" fontId="14" fillId="0" borderId="16" xfId="0" applyNumberFormat="1" applyFont="1" applyFill="1" applyBorder="1">
      <alignment vertical="center"/>
    </xf>
    <xf numFmtId="40" fontId="14" fillId="0" borderId="154" xfId="0" applyNumberFormat="1" applyFont="1" applyFill="1" applyBorder="1">
      <alignment vertical="center"/>
    </xf>
    <xf numFmtId="40" fontId="14" fillId="4" borderId="149" xfId="0" applyNumberFormat="1" applyFont="1" applyFill="1" applyBorder="1">
      <alignment vertical="center"/>
    </xf>
    <xf numFmtId="40" fontId="14" fillId="4" borderId="139" xfId="0" applyNumberFormat="1" applyFont="1" applyFill="1" applyBorder="1">
      <alignment vertical="center"/>
    </xf>
    <xf numFmtId="40" fontId="14" fillId="4" borderId="140" xfId="0" applyNumberFormat="1" applyFont="1" applyFill="1" applyBorder="1">
      <alignment vertical="center"/>
    </xf>
    <xf numFmtId="180" fontId="0" fillId="0" borderId="17" xfId="0" applyFont="1" applyFill="1" applyBorder="1" applyAlignment="1">
      <alignment horizontal="center" vertical="center"/>
    </xf>
    <xf numFmtId="180" fontId="0" fillId="0" borderId="16" xfId="0" applyFont="1" applyFill="1" applyBorder="1" applyAlignment="1">
      <alignment horizontal="center" vertical="center"/>
    </xf>
    <xf numFmtId="180" fontId="0" fillId="0" borderId="23" xfId="0" applyFont="1" applyFill="1" applyBorder="1" applyAlignment="1">
      <alignment horizontal="center" vertical="center"/>
    </xf>
    <xf numFmtId="180" fontId="9" fillId="3" borderId="102" xfId="0" applyFont="1" applyFill="1" applyBorder="1" applyAlignment="1">
      <alignment horizontal="center" vertical="center" wrapText="1"/>
    </xf>
    <xf numFmtId="180" fontId="9" fillId="3" borderId="66" xfId="0" applyFont="1" applyFill="1" applyBorder="1" applyAlignment="1">
      <alignment horizontal="center" vertical="center" wrapText="1"/>
    </xf>
    <xf numFmtId="180" fontId="9" fillId="3" borderId="47" xfId="0" applyFont="1" applyFill="1" applyBorder="1" applyAlignment="1">
      <alignment horizontal="center" vertical="center" wrapText="1"/>
    </xf>
    <xf numFmtId="180" fontId="9" fillId="3" borderId="73" xfId="0" applyFont="1" applyFill="1" applyBorder="1" applyAlignment="1">
      <alignment horizontal="center" vertical="center" wrapText="1"/>
    </xf>
    <xf numFmtId="180" fontId="9" fillId="3" borderId="104" xfId="0" applyFont="1" applyFill="1" applyBorder="1" applyAlignment="1">
      <alignment horizontal="center" vertical="center" wrapText="1"/>
    </xf>
    <xf numFmtId="180" fontId="9" fillId="3" borderId="101" xfId="0" applyFont="1" applyFill="1" applyBorder="1" applyAlignment="1">
      <alignment horizontal="center" vertical="center" wrapText="1"/>
    </xf>
    <xf numFmtId="180" fontId="9" fillId="3" borderId="152" xfId="0" applyFont="1" applyFill="1" applyBorder="1" applyAlignment="1">
      <alignment horizontal="center" vertical="center" wrapText="1"/>
    </xf>
    <xf numFmtId="40" fontId="14" fillId="0" borderId="62" xfId="0" applyNumberFormat="1" applyFont="1" applyFill="1" applyBorder="1" applyAlignment="1">
      <alignment horizontal="center" vertical="center"/>
    </xf>
    <xf numFmtId="40" fontId="14" fillId="0" borderId="25" xfId="0" applyNumberFormat="1" applyFont="1" applyFill="1" applyBorder="1" applyAlignment="1">
      <alignment horizontal="center" vertical="center"/>
    </xf>
    <xf numFmtId="180" fontId="14" fillId="0" borderId="182" xfId="0" applyFont="1" applyFill="1" applyBorder="1" applyAlignment="1">
      <alignment horizontal="right" vertical="center"/>
    </xf>
    <xf numFmtId="180" fontId="14" fillId="0" borderId="198" xfId="0" applyFont="1" applyFill="1" applyBorder="1" applyAlignment="1">
      <alignment horizontal="right" vertical="center"/>
    </xf>
    <xf numFmtId="180" fontId="14" fillId="0" borderId="183" xfId="0" applyFont="1" applyFill="1" applyBorder="1" applyAlignment="1">
      <alignment horizontal="right" vertical="center"/>
    </xf>
    <xf numFmtId="180" fontId="14" fillId="0" borderId="22" xfId="0" applyFont="1" applyFill="1" applyBorder="1" applyAlignment="1">
      <alignment horizontal="right" vertical="center"/>
    </xf>
    <xf numFmtId="180" fontId="14" fillId="0" borderId="0" xfId="0" applyFont="1" applyFill="1" applyBorder="1" applyAlignment="1">
      <alignment horizontal="right" vertical="center"/>
    </xf>
    <xf numFmtId="180" fontId="14" fillId="0" borderId="174" xfId="0" applyFont="1" applyFill="1" applyBorder="1" applyAlignment="1">
      <alignment horizontal="right" vertical="center"/>
    </xf>
    <xf numFmtId="180" fontId="14" fillId="0" borderId="184" xfId="0" applyFont="1" applyFill="1" applyBorder="1" applyAlignment="1">
      <alignment horizontal="right" vertical="center"/>
    </xf>
    <xf numFmtId="180" fontId="14" fillId="0" borderId="199" xfId="0" applyFont="1" applyFill="1" applyBorder="1" applyAlignment="1">
      <alignment horizontal="right" vertical="center"/>
    </xf>
    <xf numFmtId="180" fontId="14" fillId="0" borderId="185" xfId="0" applyFont="1" applyFill="1" applyBorder="1" applyAlignment="1">
      <alignment horizontal="right" vertical="center"/>
    </xf>
    <xf numFmtId="180" fontId="14" fillId="6" borderId="182" xfId="0" applyNumberFormat="1" applyFont="1" applyFill="1" applyBorder="1" applyAlignment="1">
      <alignment horizontal="center" vertical="center" shrinkToFit="1"/>
    </xf>
    <xf numFmtId="180" fontId="14" fillId="6" borderId="198" xfId="0" applyNumberFormat="1" applyFont="1" applyFill="1" applyBorder="1" applyAlignment="1">
      <alignment horizontal="center" vertical="center" shrinkToFit="1"/>
    </xf>
    <xf numFmtId="180" fontId="14" fillId="6" borderId="22" xfId="0" applyNumberFormat="1" applyFont="1" applyFill="1" applyBorder="1" applyAlignment="1">
      <alignment horizontal="center" vertical="center" shrinkToFit="1"/>
    </xf>
    <xf numFmtId="180" fontId="14" fillId="6" borderId="0" xfId="0" applyNumberFormat="1" applyFont="1" applyFill="1" applyBorder="1" applyAlignment="1">
      <alignment horizontal="center" vertical="center" shrinkToFit="1"/>
    </xf>
    <xf numFmtId="180" fontId="14" fillId="6" borderId="184" xfId="0" applyNumberFormat="1" applyFont="1" applyFill="1" applyBorder="1" applyAlignment="1">
      <alignment horizontal="center" vertical="center" shrinkToFit="1"/>
    </xf>
    <xf numFmtId="180" fontId="14" fillId="6" borderId="199" xfId="0" applyNumberFormat="1" applyFont="1" applyFill="1" applyBorder="1" applyAlignment="1">
      <alignment horizontal="center" vertical="center" shrinkToFit="1"/>
    </xf>
    <xf numFmtId="4" fontId="14" fillId="0" borderId="198" xfId="0" applyNumberFormat="1" applyFont="1" applyFill="1" applyBorder="1" applyAlignment="1">
      <alignment horizontal="right" vertical="center"/>
    </xf>
    <xf numFmtId="4" fontId="14" fillId="0" borderId="183" xfId="0" applyNumberFormat="1" applyFont="1" applyFill="1" applyBorder="1" applyAlignment="1">
      <alignment horizontal="right" vertical="center"/>
    </xf>
    <xf numFmtId="4" fontId="14" fillId="0" borderId="0" xfId="0" applyNumberFormat="1" applyFont="1" applyFill="1" applyBorder="1" applyAlignment="1">
      <alignment horizontal="right" vertical="center"/>
    </xf>
    <xf numFmtId="4" fontId="14" fillId="0" borderId="174" xfId="0" applyNumberFormat="1" applyFont="1" applyFill="1" applyBorder="1" applyAlignment="1">
      <alignment horizontal="right" vertical="center"/>
    </xf>
    <xf numFmtId="4" fontId="14" fillId="0" borderId="199" xfId="0" applyNumberFormat="1" applyFont="1" applyFill="1" applyBorder="1" applyAlignment="1">
      <alignment horizontal="right" vertical="center"/>
    </xf>
    <xf numFmtId="4" fontId="14" fillId="0" borderId="185" xfId="0" applyNumberFormat="1" applyFont="1" applyFill="1" applyBorder="1" applyAlignment="1">
      <alignment horizontal="right" vertical="center"/>
    </xf>
    <xf numFmtId="185" fontId="0" fillId="0" borderId="26" xfId="0" applyNumberFormat="1" applyFont="1" applyFill="1" applyBorder="1" applyAlignment="1">
      <alignment horizontal="right" vertical="center"/>
    </xf>
    <xf numFmtId="185" fontId="0" fillId="0" borderId="27" xfId="0" applyNumberFormat="1" applyFont="1" applyFill="1" applyBorder="1" applyAlignment="1">
      <alignment horizontal="right" vertical="center"/>
    </xf>
    <xf numFmtId="185" fontId="0" fillId="0" borderId="28" xfId="0" applyNumberFormat="1" applyFont="1" applyFill="1" applyBorder="1" applyAlignment="1">
      <alignment horizontal="right" vertical="center"/>
    </xf>
    <xf numFmtId="185" fontId="0" fillId="11" borderId="181" xfId="0" applyNumberFormat="1" applyFill="1" applyBorder="1" applyAlignment="1">
      <alignment horizontal="center" vertical="center"/>
    </xf>
    <xf numFmtId="180" fontId="14" fillId="0" borderId="26" xfId="0" applyFont="1" applyFill="1" applyBorder="1" applyAlignment="1">
      <alignment horizontal="right" vertical="center"/>
    </xf>
    <xf numFmtId="180" fontId="14" fillId="0" borderId="27" xfId="0" applyFont="1" applyFill="1" applyBorder="1" applyAlignment="1">
      <alignment horizontal="right" vertical="center"/>
    </xf>
    <xf numFmtId="180" fontId="14" fillId="0" borderId="28" xfId="0" applyFont="1" applyFill="1" applyBorder="1" applyAlignment="1">
      <alignment horizontal="right" vertical="center"/>
    </xf>
    <xf numFmtId="40" fontId="0" fillId="0" borderId="82" xfId="0" applyNumberFormat="1" applyFont="1" applyFill="1" applyBorder="1" applyAlignment="1">
      <alignment horizontal="center" vertical="center"/>
    </xf>
    <xf numFmtId="180" fontId="14" fillId="0" borderId="17" xfId="0" applyFont="1" applyFill="1" applyBorder="1" applyAlignment="1">
      <alignment horizontal="right" vertical="center"/>
    </xf>
    <xf numFmtId="180" fontId="14" fillId="0" borderId="16" xfId="0" applyFont="1" applyFill="1" applyBorder="1" applyAlignment="1">
      <alignment horizontal="right" vertical="center"/>
    </xf>
    <xf numFmtId="180" fontId="14" fillId="0" borderId="23" xfId="0" applyFont="1" applyFill="1" applyBorder="1" applyAlignment="1">
      <alignment horizontal="right" vertical="center"/>
    </xf>
    <xf numFmtId="180" fontId="0" fillId="11" borderId="181" xfId="0" applyFill="1" applyBorder="1" applyAlignment="1">
      <alignment horizontal="center" vertical="center"/>
    </xf>
    <xf numFmtId="40" fontId="0" fillId="11" borderId="181" xfId="0" applyNumberFormat="1" applyFill="1" applyBorder="1" applyAlignment="1">
      <alignment horizontal="center" vertical="center"/>
    </xf>
    <xf numFmtId="185" fontId="0" fillId="0" borderId="14" xfId="0" applyNumberFormat="1" applyFont="1" applyFill="1" applyBorder="1" applyAlignment="1">
      <alignment horizontal="right" vertical="center"/>
    </xf>
    <xf numFmtId="185" fontId="0" fillId="0" borderId="13" xfId="0" applyNumberFormat="1" applyFont="1" applyFill="1" applyBorder="1" applyAlignment="1">
      <alignment horizontal="right" vertical="center"/>
    </xf>
    <xf numFmtId="185" fontId="0" fillId="0" borderId="15" xfId="0" applyNumberFormat="1" applyFont="1" applyFill="1" applyBorder="1" applyAlignment="1">
      <alignment horizontal="right" vertical="center"/>
    </xf>
    <xf numFmtId="40" fontId="14" fillId="0" borderId="174" xfId="0" applyNumberFormat="1" applyFont="1" applyFill="1" applyBorder="1" applyAlignment="1">
      <alignment vertical="center"/>
    </xf>
    <xf numFmtId="180" fontId="9" fillId="3" borderId="163" xfId="0" applyFont="1" applyFill="1" applyBorder="1" applyAlignment="1">
      <alignment horizontal="center" vertical="center" wrapText="1"/>
    </xf>
    <xf numFmtId="180" fontId="9" fillId="3" borderId="164" xfId="0" applyFont="1" applyFill="1" applyBorder="1" applyAlignment="1">
      <alignment horizontal="center" vertical="center" wrapText="1"/>
    </xf>
    <xf numFmtId="40" fontId="14" fillId="4" borderId="3" xfId="0" applyNumberFormat="1" applyFont="1" applyFill="1" applyBorder="1">
      <alignment vertical="center"/>
    </xf>
    <xf numFmtId="40" fontId="14" fillId="4" borderId="4" xfId="0" applyNumberFormat="1" applyFont="1" applyFill="1" applyBorder="1">
      <alignment vertical="center"/>
    </xf>
    <xf numFmtId="180" fontId="14" fillId="0" borderId="4" xfId="0" applyFont="1" applyBorder="1" applyAlignment="1">
      <alignment vertical="center"/>
    </xf>
    <xf numFmtId="180" fontId="14" fillId="0" borderId="5" xfId="0" applyFont="1" applyBorder="1" applyAlignment="1">
      <alignment vertical="center"/>
    </xf>
    <xf numFmtId="180" fontId="14" fillId="0" borderId="3" xfId="0" applyFont="1" applyFill="1" applyBorder="1" applyAlignment="1">
      <alignment vertical="center"/>
    </xf>
    <xf numFmtId="180" fontId="14" fillId="0" borderId="4" xfId="0" applyFont="1" applyFill="1" applyBorder="1" applyAlignment="1">
      <alignment vertical="center"/>
    </xf>
    <xf numFmtId="180" fontId="14" fillId="0" borderId="5" xfId="0" applyFont="1" applyFill="1" applyBorder="1" applyAlignment="1">
      <alignment vertical="center"/>
    </xf>
    <xf numFmtId="40" fontId="14" fillId="0" borderId="3" xfId="0" applyNumberFormat="1" applyFont="1" applyFill="1" applyBorder="1" applyAlignment="1">
      <alignment vertical="center"/>
    </xf>
    <xf numFmtId="40" fontId="14" fillId="0" borderId="4" xfId="0" applyNumberFormat="1" applyFont="1" applyFill="1" applyBorder="1" applyAlignment="1">
      <alignment vertical="center"/>
    </xf>
    <xf numFmtId="180" fontId="14" fillId="0" borderId="3" xfId="0" applyFont="1" applyBorder="1" applyAlignment="1">
      <alignment vertical="center"/>
    </xf>
    <xf numFmtId="180" fontId="0" fillId="0" borderId="20" xfId="0" applyBorder="1">
      <alignment vertical="center"/>
    </xf>
    <xf numFmtId="180" fontId="0" fillId="10" borderId="26" xfId="0" applyFont="1" applyFill="1" applyBorder="1" applyAlignment="1">
      <alignment horizontal="center" vertical="center"/>
    </xf>
    <xf numFmtId="180" fontId="0" fillId="10" borderId="27" xfId="0" applyFont="1" applyFill="1" applyBorder="1" applyAlignment="1">
      <alignment horizontal="center" vertical="center"/>
    </xf>
    <xf numFmtId="180" fontId="0" fillId="10" borderId="28" xfId="0" applyFont="1" applyFill="1" applyBorder="1" applyAlignment="1">
      <alignment horizontal="center" vertical="center"/>
    </xf>
    <xf numFmtId="180" fontId="14" fillId="0" borderId="133" xfId="0" applyFont="1" applyFill="1" applyBorder="1" applyAlignment="1">
      <alignment vertical="center"/>
    </xf>
    <xf numFmtId="180" fontId="14" fillId="0" borderId="42" xfId="0" applyFont="1" applyFill="1" applyBorder="1" applyAlignment="1">
      <alignment vertical="center"/>
    </xf>
    <xf numFmtId="180" fontId="14" fillId="0" borderId="132" xfId="0" applyFont="1" applyFill="1" applyBorder="1" applyAlignment="1">
      <alignment vertical="center"/>
    </xf>
    <xf numFmtId="180" fontId="14" fillId="0" borderId="74" xfId="0" applyFont="1" applyFill="1" applyBorder="1" applyAlignment="1">
      <alignment vertical="center"/>
    </xf>
    <xf numFmtId="180" fontId="14" fillId="0" borderId="21" xfId="0" applyFont="1" applyFill="1" applyBorder="1" applyAlignment="1">
      <alignment vertical="center"/>
    </xf>
    <xf numFmtId="180" fontId="14" fillId="0" borderId="75" xfId="0" applyFont="1" applyFill="1" applyBorder="1" applyAlignment="1">
      <alignment vertical="center"/>
    </xf>
    <xf numFmtId="180" fontId="14" fillId="0" borderId="76" xfId="0" applyFont="1" applyFill="1" applyBorder="1" applyAlignment="1">
      <alignment vertical="center"/>
    </xf>
    <xf numFmtId="180" fontId="14" fillId="0" borderId="78" xfId="0" applyFont="1" applyFill="1" applyBorder="1" applyAlignment="1">
      <alignment vertical="center"/>
    </xf>
    <xf numFmtId="40" fontId="14" fillId="0" borderId="37" xfId="0" applyNumberFormat="1" applyFont="1" applyFill="1" applyBorder="1" applyAlignment="1">
      <alignment vertical="center"/>
    </xf>
    <xf numFmtId="40" fontId="14" fillId="0" borderId="55" xfId="0" applyNumberFormat="1" applyFont="1" applyFill="1" applyBorder="1" applyAlignment="1">
      <alignment vertical="center"/>
    </xf>
    <xf numFmtId="179" fontId="0" fillId="0" borderId="20" xfId="0" applyNumberFormat="1" applyBorder="1">
      <alignment vertical="center"/>
    </xf>
    <xf numFmtId="180" fontId="0" fillId="0" borderId="14" xfId="0" applyBorder="1" applyAlignment="1">
      <alignment vertical="center"/>
    </xf>
    <xf numFmtId="180" fontId="0" fillId="0" borderId="15" xfId="0" applyBorder="1" applyAlignment="1">
      <alignment vertical="center"/>
    </xf>
    <xf numFmtId="206" fontId="34" fillId="0" borderId="0" xfId="0" applyNumberFormat="1" applyFont="1" applyFill="1" applyBorder="1" applyAlignment="1">
      <alignment horizontal="center" vertical="top"/>
    </xf>
    <xf numFmtId="40" fontId="34" fillId="0" borderId="0" xfId="2" applyNumberFormat="1" applyFont="1" applyFill="1" applyBorder="1" applyAlignment="1">
      <alignment horizontal="center" vertical="top"/>
    </xf>
    <xf numFmtId="206" fontId="34" fillId="0" borderId="0" xfId="0" applyNumberFormat="1" applyFont="1" applyFill="1" applyBorder="1" applyAlignment="1">
      <alignment horizontal="center" vertical="top" shrinkToFit="1"/>
    </xf>
    <xf numFmtId="180" fontId="34" fillId="0" borderId="17" xfId="0" applyFont="1" applyBorder="1" applyAlignment="1">
      <alignment horizontal="center" vertical="center" shrinkToFit="1"/>
    </xf>
    <xf numFmtId="180" fontId="34" fillId="0" borderId="34" xfId="0" applyFont="1" applyBorder="1" applyAlignment="1">
      <alignment horizontal="center" vertical="center" shrinkToFit="1"/>
    </xf>
    <xf numFmtId="180" fontId="3" fillId="0" borderId="14" xfId="0" applyFont="1" applyFill="1" applyBorder="1" applyAlignment="1">
      <alignment horizontal="right" vertical="center"/>
    </xf>
    <xf numFmtId="180" fontId="3" fillId="0" borderId="13" xfId="0" applyFont="1" applyFill="1" applyBorder="1" applyAlignment="1">
      <alignment horizontal="right" vertical="center"/>
    </xf>
    <xf numFmtId="180" fontId="3" fillId="0" borderId="17" xfId="0" applyFont="1" applyFill="1" applyBorder="1" applyAlignment="1">
      <alignment horizontal="right" vertical="center"/>
    </xf>
    <xf numFmtId="180" fontId="3" fillId="0" borderId="16" xfId="0" applyFont="1" applyFill="1" applyBorder="1" applyAlignment="1">
      <alignment horizontal="right" vertical="center"/>
    </xf>
    <xf numFmtId="180" fontId="3" fillId="0" borderId="34" xfId="0" applyFont="1" applyFill="1" applyBorder="1" applyAlignment="1">
      <alignment horizontal="right" vertical="center"/>
    </xf>
    <xf numFmtId="38" fontId="14" fillId="0" borderId="28" xfId="2" applyFont="1" applyBorder="1" applyAlignment="1">
      <alignment vertical="center"/>
    </xf>
    <xf numFmtId="40" fontId="14" fillId="4" borderId="17" xfId="0" applyNumberFormat="1" applyFont="1" applyFill="1" applyBorder="1" applyAlignment="1">
      <alignment horizontal="right" vertical="center"/>
    </xf>
    <xf numFmtId="40" fontId="14" fillId="4" borderId="16" xfId="0" applyNumberFormat="1" applyFont="1" applyFill="1" applyBorder="1" applyAlignment="1">
      <alignment horizontal="right" vertical="center"/>
    </xf>
    <xf numFmtId="180" fontId="3" fillId="0" borderId="32" xfId="0" applyFont="1" applyFill="1" applyBorder="1" applyAlignment="1">
      <alignment horizontal="right" vertical="center"/>
    </xf>
    <xf numFmtId="180" fontId="14" fillId="0" borderId="14" xfId="0" applyFont="1" applyBorder="1" applyAlignment="1">
      <alignment horizontal="right" vertical="center"/>
    </xf>
    <xf numFmtId="180" fontId="14" fillId="0" borderId="13" xfId="0" applyFont="1" applyBorder="1" applyAlignment="1">
      <alignment horizontal="right" vertical="center"/>
    </xf>
    <xf numFmtId="180" fontId="14" fillId="0" borderId="15" xfId="0" applyFont="1" applyBorder="1" applyAlignment="1">
      <alignment horizontal="right" vertical="center"/>
    </xf>
    <xf numFmtId="180" fontId="0" fillId="0" borderId="17" xfId="0" applyBorder="1" applyAlignment="1">
      <alignment vertical="center"/>
    </xf>
    <xf numFmtId="180" fontId="0" fillId="0" borderId="23" xfId="0" applyBorder="1" applyAlignment="1">
      <alignment vertical="center"/>
    </xf>
    <xf numFmtId="40" fontId="0" fillId="4" borderId="69" xfId="0" applyNumberFormat="1" applyFill="1" applyBorder="1" applyAlignment="1">
      <alignment horizontal="center" vertical="center"/>
    </xf>
    <xf numFmtId="40" fontId="0" fillId="4" borderId="71" xfId="0" applyNumberFormat="1" applyFill="1" applyBorder="1" applyAlignment="1">
      <alignment horizontal="center" vertical="center"/>
    </xf>
    <xf numFmtId="188" fontId="34" fillId="0" borderId="0" xfId="0" applyNumberFormat="1" applyFont="1" applyFill="1" applyBorder="1" applyAlignment="1">
      <alignment horizontal="center" vertical="top"/>
    </xf>
    <xf numFmtId="38" fontId="14" fillId="9" borderId="182" xfId="2" applyFont="1" applyFill="1" applyBorder="1" applyAlignment="1">
      <alignment vertical="center"/>
    </xf>
    <xf numFmtId="38" fontId="14" fillId="9" borderId="198" xfId="2" applyFont="1" applyFill="1" applyBorder="1" applyAlignment="1">
      <alignment vertical="center"/>
    </xf>
    <xf numFmtId="38" fontId="14" fillId="9" borderId="184" xfId="2" applyFont="1" applyFill="1" applyBorder="1" applyAlignment="1">
      <alignment vertical="center"/>
    </xf>
    <xf numFmtId="38" fontId="14" fillId="9" borderId="199" xfId="2" applyFont="1" applyFill="1" applyBorder="1" applyAlignment="1">
      <alignment vertical="center"/>
    </xf>
    <xf numFmtId="180" fontId="0" fillId="0" borderId="0" xfId="0" applyBorder="1" applyAlignment="1">
      <alignment horizontal="center" vertical="center"/>
    </xf>
    <xf numFmtId="188" fontId="0" fillId="9" borderId="0" xfId="0" applyNumberFormat="1" applyFill="1" applyBorder="1" applyAlignment="1">
      <alignment vertical="center"/>
    </xf>
    <xf numFmtId="40" fontId="0" fillId="4" borderId="70" xfId="0" applyNumberFormat="1" applyFill="1" applyBorder="1" applyAlignment="1">
      <alignment horizontal="center" vertical="center"/>
    </xf>
    <xf numFmtId="40" fontId="3" fillId="0" borderId="68" xfId="0" applyNumberFormat="1" applyFont="1" applyFill="1" applyBorder="1" applyAlignment="1">
      <alignment horizontal="center" vertical="center"/>
    </xf>
    <xf numFmtId="40" fontId="0" fillId="0" borderId="67" xfId="0" applyNumberFormat="1" applyFill="1" applyBorder="1" applyAlignment="1">
      <alignment horizontal="center" vertical="center"/>
    </xf>
    <xf numFmtId="180" fontId="0" fillId="0" borderId="26" xfId="0" applyBorder="1" applyAlignment="1">
      <alignment horizontal="center" vertical="center"/>
    </xf>
    <xf numFmtId="180" fontId="0" fillId="0" borderId="27" xfId="0" applyBorder="1" applyAlignment="1">
      <alignment horizontal="center" vertical="center"/>
    </xf>
    <xf numFmtId="180" fontId="0" fillId="0" borderId="28" xfId="0" applyBorder="1" applyAlignment="1">
      <alignment horizontal="center" vertical="center"/>
    </xf>
    <xf numFmtId="223" fontId="14" fillId="0" borderId="14" xfId="0" applyNumberFormat="1" applyFont="1" applyFill="1" applyBorder="1" applyAlignment="1">
      <alignment vertical="center"/>
    </xf>
    <xf numFmtId="223" fontId="14" fillId="0" borderId="13" xfId="0" applyNumberFormat="1" applyFont="1" applyFill="1" applyBorder="1" applyAlignment="1">
      <alignment vertical="center"/>
    </xf>
    <xf numFmtId="40" fontId="0" fillId="0" borderId="64" xfId="0" applyNumberFormat="1" applyFill="1" applyBorder="1" applyAlignment="1">
      <alignment horizontal="center" vertical="center"/>
    </xf>
    <xf numFmtId="40" fontId="0" fillId="0" borderId="51" xfId="0" applyNumberFormat="1" applyFill="1" applyBorder="1" applyAlignment="1">
      <alignment horizontal="center" vertical="center"/>
    </xf>
    <xf numFmtId="40" fontId="0" fillId="0" borderId="52" xfId="0" applyNumberFormat="1" applyFill="1" applyBorder="1" applyAlignment="1">
      <alignment horizontal="center" vertical="center"/>
    </xf>
    <xf numFmtId="40" fontId="3" fillId="0" borderId="65" xfId="0" applyNumberFormat="1" applyFont="1" applyFill="1" applyBorder="1" applyAlignment="1">
      <alignment horizontal="center" vertical="center"/>
    </xf>
    <xf numFmtId="180" fontId="14" fillId="4" borderId="17" xfId="0" applyFont="1" applyFill="1" applyBorder="1" applyAlignment="1">
      <alignment horizontal="center" vertical="center"/>
    </xf>
    <xf numFmtId="180" fontId="14" fillId="4" borderId="23" xfId="0" applyFont="1" applyFill="1" applyBorder="1" applyAlignment="1">
      <alignment horizontal="center" vertical="center"/>
    </xf>
    <xf numFmtId="180" fontId="14" fillId="0" borderId="17" xfId="0" applyFont="1" applyBorder="1" applyAlignment="1">
      <alignment horizontal="right" vertical="center"/>
    </xf>
    <xf numFmtId="180" fontId="14" fillId="0" borderId="16" xfId="0" applyFont="1" applyBorder="1" applyAlignment="1">
      <alignment horizontal="right" vertical="center"/>
    </xf>
    <xf numFmtId="180" fontId="14" fillId="0" borderId="23" xfId="0" applyFont="1" applyBorder="1" applyAlignment="1">
      <alignment horizontal="right" vertical="center"/>
    </xf>
    <xf numFmtId="40" fontId="3" fillId="0" borderId="17" xfId="0" applyNumberFormat="1" applyFont="1" applyFill="1" applyBorder="1" applyAlignment="1">
      <alignment horizontal="right" vertical="center"/>
    </xf>
    <xf numFmtId="40" fontId="3" fillId="0" borderId="16" xfId="0" applyNumberFormat="1" applyFont="1" applyFill="1" applyBorder="1" applyAlignment="1">
      <alignment horizontal="right" vertical="center"/>
    </xf>
    <xf numFmtId="180" fontId="21" fillId="0" borderId="58" xfId="0" applyFont="1" applyBorder="1" applyAlignment="1">
      <alignment vertical="center"/>
    </xf>
    <xf numFmtId="180" fontId="21" fillId="0" borderId="0" xfId="0" applyFont="1" applyBorder="1" applyAlignment="1">
      <alignment vertical="center"/>
    </xf>
    <xf numFmtId="180" fontId="21" fillId="0" borderId="175" xfId="0" applyFont="1" applyBorder="1" applyAlignment="1">
      <alignment vertical="center"/>
    </xf>
    <xf numFmtId="40" fontId="3" fillId="0" borderId="14" xfId="0" applyNumberFormat="1" applyFont="1" applyFill="1" applyBorder="1" applyAlignment="1">
      <alignment horizontal="right" vertical="center"/>
    </xf>
    <xf numFmtId="40" fontId="3" fillId="0" borderId="13" xfId="0" applyNumberFormat="1" applyFont="1" applyFill="1" applyBorder="1" applyAlignment="1">
      <alignment horizontal="right" vertical="center"/>
    </xf>
    <xf numFmtId="40" fontId="3" fillId="0" borderId="26" xfId="0" applyNumberFormat="1" applyFont="1" applyFill="1" applyBorder="1" applyAlignment="1">
      <alignment horizontal="right" vertical="center"/>
    </xf>
    <xf numFmtId="40" fontId="3" fillId="0" borderId="27" xfId="0" applyNumberFormat="1" applyFont="1" applyFill="1" applyBorder="1" applyAlignment="1">
      <alignment horizontal="right" vertical="center"/>
    </xf>
    <xf numFmtId="180" fontId="21" fillId="0" borderId="59" xfId="0" applyFont="1" applyBorder="1" applyAlignment="1">
      <alignment vertical="center"/>
    </xf>
    <xf numFmtId="180" fontId="21" fillId="0" borderId="60" xfId="0" applyFont="1" applyBorder="1" applyAlignment="1">
      <alignment vertical="center"/>
    </xf>
    <xf numFmtId="180" fontId="21" fillId="0" borderId="177" xfId="0" applyFont="1" applyBorder="1" applyAlignment="1">
      <alignment vertical="center"/>
    </xf>
    <xf numFmtId="40" fontId="14" fillId="0" borderId="17" xfId="0" applyNumberFormat="1" applyFont="1" applyFill="1" applyBorder="1" applyAlignment="1">
      <alignment horizontal="right" vertical="center"/>
    </xf>
    <xf numFmtId="40" fontId="14" fillId="0" borderId="16" xfId="0" applyNumberFormat="1" applyFont="1" applyFill="1" applyBorder="1" applyAlignment="1">
      <alignment horizontal="right" vertical="center"/>
    </xf>
    <xf numFmtId="40" fontId="14" fillId="0" borderId="23" xfId="0" applyNumberFormat="1" applyFont="1" applyFill="1" applyBorder="1" applyAlignment="1">
      <alignment horizontal="right" vertical="center"/>
    </xf>
    <xf numFmtId="40" fontId="14" fillId="0" borderId="17" xfId="0" applyNumberFormat="1" applyFont="1" applyBorder="1" applyAlignment="1">
      <alignment horizontal="right" vertical="center"/>
    </xf>
    <xf numFmtId="40" fontId="14" fillId="0" borderId="16" xfId="0" applyNumberFormat="1" applyFont="1" applyBorder="1" applyAlignment="1">
      <alignment horizontal="right" vertical="center"/>
    </xf>
    <xf numFmtId="40" fontId="14" fillId="0" borderId="23" xfId="0" applyNumberFormat="1" applyFont="1" applyBorder="1" applyAlignment="1">
      <alignment horizontal="right" vertical="center"/>
    </xf>
    <xf numFmtId="180" fontId="3" fillId="0" borderId="30" xfId="0" applyFont="1" applyFill="1" applyBorder="1" applyAlignment="1">
      <alignment horizontal="right" vertical="center"/>
    </xf>
    <xf numFmtId="180" fontId="14" fillId="0" borderId="149" xfId="0" applyFont="1" applyBorder="1" applyAlignment="1">
      <alignment vertical="center"/>
    </xf>
    <xf numFmtId="180" fontId="14" fillId="0" borderId="139" xfId="0" applyFont="1" applyBorder="1" applyAlignment="1">
      <alignment vertical="center"/>
    </xf>
    <xf numFmtId="180" fontId="14" fillId="0" borderId="94" xfId="0" applyFont="1" applyBorder="1" applyAlignment="1">
      <alignment vertical="center"/>
    </xf>
    <xf numFmtId="40" fontId="14" fillId="0" borderId="133" xfId="0" applyNumberFormat="1" applyFont="1" applyBorder="1">
      <alignment vertical="center"/>
    </xf>
    <xf numFmtId="40" fontId="14" fillId="0" borderId="42" xfId="0" applyNumberFormat="1" applyFont="1" applyBorder="1">
      <alignment vertical="center"/>
    </xf>
    <xf numFmtId="40" fontId="14" fillId="0" borderId="131" xfId="0" applyNumberFormat="1" applyFont="1" applyBorder="1">
      <alignment vertical="center"/>
    </xf>
    <xf numFmtId="180" fontId="21" fillId="0" borderId="56" xfId="0" applyFont="1" applyBorder="1" applyAlignment="1">
      <alignment vertical="center"/>
    </xf>
    <xf numFmtId="180" fontId="21" fillId="0" borderId="57" xfId="0" applyFont="1" applyBorder="1" applyAlignment="1">
      <alignment vertical="center"/>
    </xf>
    <xf numFmtId="180" fontId="21" fillId="0" borderId="176" xfId="0" applyFont="1" applyBorder="1" applyAlignment="1">
      <alignment vertical="center"/>
    </xf>
    <xf numFmtId="38" fontId="14" fillId="4" borderId="40" xfId="2" applyFont="1" applyFill="1" applyBorder="1" applyAlignment="1">
      <alignment vertical="center"/>
    </xf>
    <xf numFmtId="38" fontId="14" fillId="4" borderId="38" xfId="2" applyFont="1" applyFill="1" applyBorder="1" applyAlignment="1">
      <alignment vertical="center"/>
    </xf>
    <xf numFmtId="38" fontId="14" fillId="4" borderId="39" xfId="2" applyFont="1" applyFill="1" applyBorder="1" applyAlignment="1">
      <alignment vertical="center"/>
    </xf>
    <xf numFmtId="38" fontId="14" fillId="0" borderId="13" xfId="2" applyFont="1" applyBorder="1" applyAlignment="1">
      <alignment vertical="center"/>
    </xf>
    <xf numFmtId="38" fontId="14" fillId="0" borderId="0" xfId="2" applyFont="1" applyFill="1" applyBorder="1" applyAlignment="1">
      <alignment vertical="center" shrinkToFit="1"/>
    </xf>
    <xf numFmtId="180" fontId="9" fillId="3" borderId="41" xfId="0" applyFont="1" applyFill="1" applyBorder="1" applyAlignment="1">
      <alignment horizontal="center" vertical="center"/>
    </xf>
    <xf numFmtId="180" fontId="9" fillId="3" borderId="42" xfId="0" applyFont="1" applyFill="1" applyBorder="1" applyAlignment="1">
      <alignment horizontal="center" vertical="center"/>
    </xf>
    <xf numFmtId="180" fontId="9" fillId="3" borderId="131" xfId="0" applyFont="1" applyFill="1" applyBorder="1" applyAlignment="1">
      <alignment horizontal="center" vertical="center"/>
    </xf>
    <xf numFmtId="38" fontId="14" fillId="0" borderId="13" xfId="2" applyFont="1" applyBorder="1" applyAlignment="1">
      <alignment vertical="center" shrinkToFit="1"/>
    </xf>
    <xf numFmtId="38" fontId="14" fillId="0" borderId="15" xfId="2" applyFont="1" applyBorder="1" applyAlignment="1">
      <alignment vertical="center" shrinkToFit="1"/>
    </xf>
    <xf numFmtId="180" fontId="14" fillId="4" borderId="27" xfId="0" applyFont="1" applyFill="1" applyBorder="1">
      <alignment vertical="center"/>
    </xf>
    <xf numFmtId="180" fontId="14" fillId="4" borderId="28" xfId="0" applyFont="1" applyFill="1" applyBorder="1">
      <alignment vertical="center"/>
    </xf>
    <xf numFmtId="38" fontId="14" fillId="4" borderId="40" xfId="2" applyFont="1" applyFill="1" applyBorder="1" applyAlignment="1">
      <alignment vertical="center" shrinkToFit="1"/>
    </xf>
    <xf numFmtId="40" fontId="14" fillId="0" borderId="14" xfId="0" applyNumberFormat="1" applyFont="1" applyFill="1" applyBorder="1" applyAlignment="1">
      <alignment vertical="center"/>
    </xf>
    <xf numFmtId="40" fontId="14" fillId="0" borderId="13" xfId="0" applyNumberFormat="1" applyFont="1" applyFill="1" applyBorder="1" applyAlignment="1">
      <alignment vertical="center"/>
    </xf>
    <xf numFmtId="40" fontId="14" fillId="0" borderId="15" xfId="0" applyNumberFormat="1" applyFont="1" applyFill="1" applyBorder="1" applyAlignment="1">
      <alignment vertical="center"/>
    </xf>
    <xf numFmtId="38" fontId="14" fillId="0" borderId="48" xfId="2" applyFont="1" applyFill="1" applyBorder="1" applyAlignment="1">
      <alignment vertical="center" shrinkToFit="1"/>
    </xf>
    <xf numFmtId="180" fontId="14" fillId="4" borderId="16" xfId="0" applyFont="1" applyFill="1" applyBorder="1" applyAlignment="1">
      <alignment vertical="center" shrinkToFit="1"/>
    </xf>
    <xf numFmtId="180" fontId="14" fillId="4" borderId="23" xfId="0" applyFont="1" applyFill="1" applyBorder="1" applyAlignment="1">
      <alignment vertical="center" shrinkToFit="1"/>
    </xf>
    <xf numFmtId="180" fontId="14" fillId="0" borderId="38" xfId="0" applyFont="1" applyFill="1" applyBorder="1">
      <alignment vertical="center"/>
    </xf>
    <xf numFmtId="180" fontId="14" fillId="0" borderId="39" xfId="0" applyFont="1" applyFill="1" applyBorder="1">
      <alignment vertical="center"/>
    </xf>
    <xf numFmtId="180" fontId="14" fillId="0" borderId="40" xfId="0" applyFont="1" applyFill="1" applyBorder="1" applyAlignment="1">
      <alignment horizontal="right" vertical="center" shrinkToFit="1"/>
    </xf>
    <xf numFmtId="180" fontId="14" fillId="0" borderId="13" xfId="0" applyFont="1" applyFill="1" applyBorder="1">
      <alignment vertical="center"/>
    </xf>
    <xf numFmtId="180" fontId="14" fillId="0" borderId="15" xfId="0" applyFont="1" applyFill="1" applyBorder="1">
      <alignment vertical="center"/>
    </xf>
    <xf numFmtId="38" fontId="14" fillId="0" borderId="50" xfId="2" applyFont="1" applyFill="1" applyBorder="1" applyAlignment="1">
      <alignment vertical="center" shrinkToFit="1"/>
    </xf>
    <xf numFmtId="180" fontId="14" fillId="0" borderId="13" xfId="0" applyFont="1" applyFill="1" applyBorder="1" applyAlignment="1">
      <alignment horizontal="left" vertical="center" shrinkToFit="1"/>
    </xf>
    <xf numFmtId="180" fontId="14" fillId="4" borderId="40" xfId="0" applyFont="1" applyFill="1" applyBorder="1" applyAlignment="1">
      <alignment horizontal="right" vertical="center" shrinkToFit="1"/>
    </xf>
    <xf numFmtId="180" fontId="14" fillId="4" borderId="38" xfId="0" applyFont="1" applyFill="1" applyBorder="1" applyAlignment="1">
      <alignment horizontal="right" vertical="center" shrinkToFit="1"/>
    </xf>
    <xf numFmtId="180" fontId="14" fillId="4" borderId="39" xfId="0" applyFont="1" applyFill="1" applyBorder="1" applyAlignment="1">
      <alignment horizontal="right" vertical="center" shrinkToFit="1"/>
    </xf>
    <xf numFmtId="180" fontId="14" fillId="0" borderId="13" xfId="0" applyFont="1" applyBorder="1" applyAlignment="1">
      <alignment vertical="center" shrinkToFit="1"/>
    </xf>
    <xf numFmtId="180" fontId="14" fillId="0" borderId="15" xfId="0" applyFont="1" applyBorder="1" applyAlignment="1">
      <alignment vertical="center" shrinkToFit="1"/>
    </xf>
    <xf numFmtId="38" fontId="14" fillId="0" borderId="29" xfId="2" applyFont="1" applyFill="1" applyBorder="1" applyAlignment="1">
      <alignment vertical="center" shrinkToFit="1"/>
    </xf>
    <xf numFmtId="180" fontId="14" fillId="4" borderId="17" xfId="0" applyFont="1" applyFill="1" applyBorder="1" applyAlignment="1">
      <alignment horizontal="right" vertical="center" shrinkToFit="1"/>
    </xf>
    <xf numFmtId="180" fontId="0" fillId="0" borderId="32" xfId="0" applyBorder="1" applyAlignment="1">
      <alignment vertical="center"/>
    </xf>
    <xf numFmtId="180" fontId="14" fillId="4" borderId="14" xfId="0" applyFont="1" applyFill="1" applyBorder="1" applyAlignment="1">
      <alignment horizontal="right" vertical="center" shrinkToFit="1"/>
    </xf>
    <xf numFmtId="180" fontId="14" fillId="0" borderId="26" xfId="0" applyFont="1" applyBorder="1">
      <alignment vertical="center"/>
    </xf>
    <xf numFmtId="180" fontId="14" fillId="0" borderId="27" xfId="0" applyFont="1" applyBorder="1">
      <alignment vertical="center"/>
    </xf>
    <xf numFmtId="180" fontId="14" fillId="0" borderId="28" xfId="0" applyFont="1" applyBorder="1">
      <alignment vertical="center"/>
    </xf>
    <xf numFmtId="38" fontId="25" fillId="0" borderId="106" xfId="0" applyNumberFormat="1" applyFont="1" applyFill="1" applyBorder="1" applyAlignment="1">
      <alignment vertical="center" shrinkToFit="1"/>
    </xf>
    <xf numFmtId="38" fontId="25" fillId="0" borderId="76" xfId="0" applyNumberFormat="1" applyFont="1" applyFill="1" applyBorder="1" applyAlignment="1">
      <alignment vertical="center" shrinkToFit="1"/>
    </xf>
    <xf numFmtId="38" fontId="25" fillId="0" borderId="103" xfId="0" applyNumberFormat="1" applyFont="1" applyFill="1" applyBorder="1" applyAlignment="1">
      <alignment vertical="center" shrinkToFit="1"/>
    </xf>
    <xf numFmtId="38" fontId="25" fillId="0" borderId="44" xfId="0" applyNumberFormat="1" applyFont="1" applyFill="1" applyBorder="1" applyAlignment="1">
      <alignment vertical="center" shrinkToFit="1"/>
    </xf>
    <xf numFmtId="180" fontId="14" fillId="0" borderId="14" xfId="0" applyFont="1" applyBorder="1">
      <alignment vertical="center"/>
    </xf>
    <xf numFmtId="38" fontId="14" fillId="4" borderId="39" xfId="2" applyFont="1" applyFill="1" applyBorder="1" applyAlignment="1">
      <alignment vertical="center" shrinkToFit="1"/>
    </xf>
    <xf numFmtId="38" fontId="25" fillId="0" borderId="3" xfId="0" applyNumberFormat="1" applyFont="1" applyFill="1" applyBorder="1" applyAlignment="1">
      <alignment vertical="center" shrinkToFit="1"/>
    </xf>
    <xf numFmtId="38" fontId="25" fillId="0" borderId="4" xfId="0" applyNumberFormat="1" applyFont="1" applyFill="1" applyBorder="1" applyAlignment="1">
      <alignment vertical="center" shrinkToFit="1"/>
    </xf>
    <xf numFmtId="40" fontId="14" fillId="0" borderId="17" xfId="0" applyNumberFormat="1" applyFont="1" applyFill="1" applyBorder="1" applyAlignment="1">
      <alignment vertical="center"/>
    </xf>
    <xf numFmtId="40" fontId="14" fillId="0" borderId="16" xfId="0" applyNumberFormat="1" applyFont="1" applyFill="1" applyBorder="1" applyAlignment="1">
      <alignment vertical="center"/>
    </xf>
    <xf numFmtId="180" fontId="14" fillId="6" borderId="14" xfId="0" applyFont="1" applyFill="1" applyBorder="1" applyAlignment="1">
      <alignment horizontal="center" vertical="center" shrinkToFit="1"/>
    </xf>
    <xf numFmtId="180" fontId="14" fillId="6" borderId="13" xfId="0" applyFont="1" applyFill="1" applyBorder="1" applyAlignment="1">
      <alignment horizontal="center" vertical="center" shrinkToFit="1"/>
    </xf>
    <xf numFmtId="180" fontId="14" fillId="6" borderId="30" xfId="0" applyFont="1" applyFill="1" applyBorder="1" applyAlignment="1">
      <alignment horizontal="center" vertical="center" shrinkToFit="1"/>
    </xf>
    <xf numFmtId="180" fontId="14" fillId="0" borderId="137" xfId="0" applyFont="1" applyFill="1" applyBorder="1" applyAlignment="1">
      <alignment vertical="center"/>
    </xf>
    <xf numFmtId="180" fontId="14" fillId="0" borderId="18" xfId="0" applyFont="1" applyFill="1" applyBorder="1" applyAlignment="1">
      <alignment vertical="center"/>
    </xf>
    <xf numFmtId="38" fontId="25" fillId="0" borderId="22" xfId="0" applyNumberFormat="1" applyFont="1" applyFill="1" applyBorder="1" applyAlignment="1">
      <alignment vertical="center" shrinkToFit="1"/>
    </xf>
    <xf numFmtId="38" fontId="25" fillId="0" borderId="0" xfId="0" applyNumberFormat="1" applyFont="1" applyFill="1" applyBorder="1" applyAlignment="1">
      <alignment vertical="center" shrinkToFit="1"/>
    </xf>
    <xf numFmtId="235" fontId="10" fillId="12" borderId="0" xfId="0" applyNumberFormat="1" applyFont="1" applyFill="1" applyBorder="1" applyAlignment="1">
      <alignment horizontal="center" vertical="center" shrinkToFit="1"/>
    </xf>
    <xf numFmtId="235" fontId="10" fillId="12" borderId="29" xfId="0" applyNumberFormat="1" applyFont="1" applyFill="1" applyBorder="1" applyAlignment="1">
      <alignment horizontal="center" vertical="center" shrinkToFit="1"/>
    </xf>
    <xf numFmtId="40" fontId="10" fillId="3" borderId="4" xfId="0" applyNumberFormat="1" applyFont="1" applyFill="1" applyBorder="1" applyAlignment="1">
      <alignment horizontal="center" vertical="center" shrinkToFit="1"/>
    </xf>
    <xf numFmtId="40" fontId="10" fillId="3" borderId="5" xfId="0" applyNumberFormat="1" applyFont="1" applyFill="1" applyBorder="1" applyAlignment="1">
      <alignment horizontal="center" vertical="center" shrinkToFit="1"/>
    </xf>
    <xf numFmtId="180" fontId="14" fillId="0" borderId="138" xfId="0" applyFont="1" applyFill="1" applyBorder="1" applyAlignment="1">
      <alignment vertical="center"/>
    </xf>
    <xf numFmtId="180" fontId="14" fillId="0" borderId="139" xfId="0" applyFont="1" applyFill="1" applyBorder="1" applyAlignment="1">
      <alignment vertical="center"/>
    </xf>
    <xf numFmtId="180" fontId="14" fillId="0" borderId="140" xfId="0" applyFont="1" applyFill="1" applyBorder="1" applyAlignment="1">
      <alignment vertical="center"/>
    </xf>
    <xf numFmtId="40" fontId="14" fillId="0" borderId="13" xfId="0" applyNumberFormat="1" applyFont="1" applyBorder="1">
      <alignment vertical="center"/>
    </xf>
    <xf numFmtId="40" fontId="14" fillId="0" borderId="15" xfId="0" applyNumberFormat="1" applyFont="1" applyBorder="1">
      <alignment vertical="center"/>
    </xf>
    <xf numFmtId="180" fontId="14" fillId="6" borderId="17" xfId="0" applyFont="1" applyFill="1" applyBorder="1" applyAlignment="1">
      <alignment horizontal="center" vertical="center" shrinkToFit="1"/>
    </xf>
    <xf numFmtId="180" fontId="14" fillId="6" borderId="16" xfId="0" applyFont="1" applyFill="1" applyBorder="1" applyAlignment="1">
      <alignment horizontal="center" vertical="center" shrinkToFit="1"/>
    </xf>
    <xf numFmtId="180" fontId="14" fillId="6" borderId="34" xfId="0" applyFont="1" applyFill="1" applyBorder="1" applyAlignment="1">
      <alignment horizontal="center" vertical="center" shrinkToFit="1"/>
    </xf>
    <xf numFmtId="40" fontId="14" fillId="0" borderId="17" xfId="0" applyNumberFormat="1" applyFont="1" applyBorder="1">
      <alignment vertical="center"/>
    </xf>
    <xf numFmtId="40" fontId="14" fillId="0" borderId="16" xfId="0" applyNumberFormat="1" applyFont="1" applyBorder="1">
      <alignment vertical="center"/>
    </xf>
    <xf numFmtId="40" fontId="14" fillId="0" borderId="23" xfId="0" applyNumberFormat="1" applyFont="1" applyBorder="1">
      <alignment vertical="center"/>
    </xf>
    <xf numFmtId="180" fontId="14" fillId="0" borderId="32" xfId="0" applyFont="1" applyBorder="1" applyAlignment="1">
      <alignment vertical="center"/>
    </xf>
    <xf numFmtId="0" fontId="14" fillId="4" borderId="17" xfId="0" applyNumberFormat="1" applyFont="1" applyFill="1" applyBorder="1" applyAlignment="1">
      <alignment vertical="center"/>
    </xf>
    <xf numFmtId="0" fontId="14" fillId="4" borderId="16" xfId="0" applyNumberFormat="1" applyFont="1" applyFill="1" applyBorder="1" applyAlignment="1">
      <alignment vertical="center"/>
    </xf>
    <xf numFmtId="0" fontId="14" fillId="4" borderId="23" xfId="0" applyNumberFormat="1" applyFont="1" applyFill="1" applyBorder="1" applyAlignment="1">
      <alignment vertical="center"/>
    </xf>
    <xf numFmtId="40" fontId="14" fillId="4" borderId="17" xfId="0" applyNumberFormat="1" applyFont="1" applyFill="1" applyBorder="1" applyAlignment="1">
      <alignment vertical="center"/>
    </xf>
    <xf numFmtId="40" fontId="14" fillId="4" borderId="16" xfId="0" applyNumberFormat="1" applyFont="1" applyFill="1" applyBorder="1" applyAlignment="1">
      <alignment vertical="center"/>
    </xf>
    <xf numFmtId="40" fontId="14" fillId="4" borderId="23" xfId="0" applyNumberFormat="1" applyFont="1" applyFill="1" applyBorder="1" applyAlignment="1">
      <alignment vertical="center"/>
    </xf>
    <xf numFmtId="40" fontId="14" fillId="0" borderId="143" xfId="0" applyNumberFormat="1" applyFont="1" applyFill="1" applyBorder="1" applyAlignment="1">
      <alignment vertical="center"/>
    </xf>
    <xf numFmtId="40" fontId="14" fillId="0" borderId="144" xfId="0" applyNumberFormat="1" applyFont="1" applyFill="1" applyBorder="1" applyAlignment="1">
      <alignment vertical="center"/>
    </xf>
    <xf numFmtId="40" fontId="14" fillId="0" borderId="145" xfId="0" applyNumberFormat="1" applyFont="1" applyFill="1" applyBorder="1" applyAlignment="1">
      <alignment vertical="center"/>
    </xf>
    <xf numFmtId="180" fontId="14" fillId="6" borderId="26" xfId="0" applyFont="1" applyFill="1" applyBorder="1" applyAlignment="1">
      <alignment horizontal="center" vertical="center"/>
    </xf>
    <xf numFmtId="180" fontId="14" fillId="6" borderId="32" xfId="0" applyFont="1" applyFill="1" applyBorder="1" applyAlignment="1">
      <alignment horizontal="center" vertical="center"/>
    </xf>
    <xf numFmtId="180" fontId="3" fillId="3" borderId="53" xfId="0" applyFont="1" applyFill="1" applyBorder="1" applyAlignment="1">
      <alignment horizontal="center" vertical="center" shrinkToFit="1"/>
    </xf>
    <xf numFmtId="0" fontId="14" fillId="4" borderId="26" xfId="0" applyNumberFormat="1" applyFont="1" applyFill="1" applyBorder="1" applyAlignment="1">
      <alignment vertical="center"/>
    </xf>
    <xf numFmtId="0" fontId="14" fillId="4" borderId="27" xfId="0" applyNumberFormat="1" applyFont="1" applyFill="1" applyBorder="1" applyAlignment="1">
      <alignment vertical="center"/>
    </xf>
    <xf numFmtId="0" fontId="14" fillId="4" borderId="28" xfId="0" applyNumberFormat="1" applyFont="1" applyFill="1" applyBorder="1" applyAlignment="1">
      <alignment vertical="center"/>
    </xf>
    <xf numFmtId="221" fontId="11" fillId="0" borderId="119" xfId="0" applyNumberFormat="1" applyFont="1" applyFill="1" applyBorder="1" applyAlignment="1">
      <alignment horizontal="center" vertical="center" shrinkToFit="1"/>
    </xf>
    <xf numFmtId="221" fontId="11" fillId="0" borderId="2" xfId="0" applyNumberFormat="1" applyFont="1" applyFill="1" applyBorder="1" applyAlignment="1">
      <alignment horizontal="center" vertical="center" shrinkToFit="1"/>
    </xf>
    <xf numFmtId="221" fontId="11" fillId="0" borderId="19" xfId="0" applyNumberFormat="1" applyFont="1" applyFill="1" applyBorder="1" applyAlignment="1">
      <alignment horizontal="center" vertical="center" shrinkToFit="1"/>
    </xf>
    <xf numFmtId="221" fontId="11" fillId="0" borderId="62" xfId="0" applyNumberFormat="1" applyFont="1" applyFill="1" applyBorder="1" applyAlignment="1">
      <alignment horizontal="center" vertical="center" shrinkToFit="1"/>
    </xf>
    <xf numFmtId="221" fontId="11" fillId="0" borderId="8" xfId="0" applyNumberFormat="1" applyFont="1" applyFill="1" applyBorder="1" applyAlignment="1">
      <alignment horizontal="center" vertical="center" shrinkToFit="1"/>
    </xf>
    <xf numFmtId="221" fontId="11" fillId="0" borderId="25" xfId="0" applyNumberFormat="1" applyFont="1" applyFill="1" applyBorder="1" applyAlignment="1">
      <alignment horizontal="center" vertical="center" shrinkToFit="1"/>
    </xf>
    <xf numFmtId="40" fontId="14" fillId="6" borderId="182" xfId="0" applyNumberFormat="1" applyFont="1" applyFill="1" applyBorder="1" applyAlignment="1">
      <alignment horizontal="center" vertical="center"/>
    </xf>
    <xf numFmtId="40" fontId="14" fillId="6" borderId="202" xfId="0" applyNumberFormat="1" applyFont="1" applyFill="1" applyBorder="1" applyAlignment="1">
      <alignment horizontal="center" vertical="center"/>
    </xf>
    <xf numFmtId="40" fontId="14" fillId="6" borderId="22" xfId="0" applyNumberFormat="1" applyFont="1" applyFill="1" applyBorder="1" applyAlignment="1">
      <alignment horizontal="center" vertical="center"/>
    </xf>
    <xf numFmtId="40" fontId="14" fillId="6" borderId="155" xfId="0" applyNumberFormat="1" applyFont="1" applyFill="1" applyBorder="1" applyAlignment="1">
      <alignment horizontal="center" vertical="center"/>
    </xf>
    <xf numFmtId="40" fontId="14" fillId="6" borderId="184" xfId="0" applyNumberFormat="1" applyFont="1" applyFill="1" applyBorder="1" applyAlignment="1">
      <alignment horizontal="center" vertical="center"/>
    </xf>
    <xf numFmtId="40" fontId="14" fillId="6" borderId="203" xfId="0" applyNumberFormat="1" applyFont="1" applyFill="1" applyBorder="1" applyAlignment="1">
      <alignment horizontal="center" vertical="center"/>
    </xf>
    <xf numFmtId="40" fontId="14" fillId="0" borderId="119" xfId="0" applyNumberFormat="1" applyFont="1" applyFill="1" applyBorder="1" applyAlignment="1">
      <alignment horizontal="right" vertical="center"/>
    </xf>
    <xf numFmtId="40" fontId="14" fillId="0" borderId="183" xfId="0" applyNumberFormat="1" applyFont="1" applyFill="1" applyBorder="1" applyAlignment="1">
      <alignment horizontal="right" vertical="center"/>
    </xf>
    <xf numFmtId="40" fontId="14" fillId="0" borderId="120" xfId="0" applyNumberFormat="1" applyFont="1" applyFill="1" applyBorder="1" applyAlignment="1">
      <alignment horizontal="right" vertical="center"/>
    </xf>
    <xf numFmtId="40" fontId="14" fillId="0" borderId="174" xfId="0" applyNumberFormat="1" applyFont="1" applyFill="1" applyBorder="1" applyAlignment="1">
      <alignment horizontal="right" vertical="center"/>
    </xf>
    <xf numFmtId="40" fontId="14" fillId="0" borderId="62" xfId="0" applyNumberFormat="1" applyFont="1" applyFill="1" applyBorder="1" applyAlignment="1">
      <alignment horizontal="right" vertical="center"/>
    </xf>
    <xf numFmtId="40" fontId="14" fillId="0" borderId="185" xfId="0" applyNumberFormat="1" applyFont="1" applyFill="1" applyBorder="1" applyAlignment="1">
      <alignment horizontal="right" vertical="center"/>
    </xf>
    <xf numFmtId="40" fontId="14" fillId="0" borderId="182" xfId="0" applyNumberFormat="1" applyFont="1" applyFill="1" applyBorder="1" applyAlignment="1">
      <alignment horizontal="right" vertical="center"/>
    </xf>
    <xf numFmtId="40" fontId="14" fillId="0" borderId="198" xfId="0" applyNumberFormat="1" applyFont="1" applyFill="1" applyBorder="1" applyAlignment="1">
      <alignment horizontal="right" vertical="center"/>
    </xf>
    <xf numFmtId="40" fontId="14" fillId="0" borderId="22" xfId="0" applyNumberFormat="1" applyFont="1" applyFill="1" applyBorder="1" applyAlignment="1">
      <alignment horizontal="right" vertical="center"/>
    </xf>
    <xf numFmtId="40" fontId="14" fillId="0" borderId="0" xfId="0" applyNumberFormat="1" applyFont="1" applyFill="1" applyBorder="1" applyAlignment="1">
      <alignment horizontal="right" vertical="center"/>
    </xf>
    <xf numFmtId="40" fontId="14" fillId="0" borderId="184" xfId="0" applyNumberFormat="1" applyFont="1" applyFill="1" applyBorder="1" applyAlignment="1">
      <alignment horizontal="right" vertical="center"/>
    </xf>
    <xf numFmtId="40" fontId="14" fillId="0" borderId="199" xfId="0" applyNumberFormat="1" applyFont="1" applyFill="1" applyBorder="1" applyAlignment="1">
      <alignment horizontal="right" vertical="center"/>
    </xf>
    <xf numFmtId="180" fontId="14" fillId="4" borderId="38" xfId="0" applyFont="1" applyFill="1" applyBorder="1">
      <alignment vertical="center"/>
    </xf>
    <xf numFmtId="180" fontId="14" fillId="4" borderId="39" xfId="0" applyFont="1" applyFill="1" applyBorder="1">
      <alignment vertical="center"/>
    </xf>
    <xf numFmtId="180" fontId="12" fillId="0" borderId="0" xfId="0" applyFont="1" applyFill="1" applyBorder="1" applyAlignment="1">
      <alignment horizontal="center" vertical="center" shrinkToFit="1"/>
    </xf>
    <xf numFmtId="180" fontId="12" fillId="0" borderId="8" xfId="0" applyFont="1" applyFill="1" applyBorder="1" applyAlignment="1">
      <alignment horizontal="center" vertical="center" shrinkToFit="1"/>
    </xf>
    <xf numFmtId="180" fontId="11" fillId="6" borderId="22" xfId="0" applyFont="1" applyFill="1" applyBorder="1" applyAlignment="1">
      <alignment horizontal="center" vertical="center" shrinkToFit="1"/>
    </xf>
    <xf numFmtId="180" fontId="11" fillId="6" borderId="0" xfId="0" applyFont="1" applyFill="1" applyBorder="1" applyAlignment="1">
      <alignment horizontal="center" vertical="center" shrinkToFit="1"/>
    </xf>
    <xf numFmtId="180" fontId="11" fillId="6" borderId="7" xfId="0" applyFont="1" applyFill="1" applyBorder="1" applyAlignment="1">
      <alignment horizontal="center" vertical="center" shrinkToFit="1"/>
    </xf>
    <xf numFmtId="180" fontId="11" fillId="6" borderId="8" xfId="0" applyFont="1" applyFill="1" applyBorder="1" applyAlignment="1">
      <alignment horizontal="center" vertical="center" shrinkToFit="1"/>
    </xf>
    <xf numFmtId="180" fontId="14" fillId="0" borderId="14" xfId="0" applyFont="1" applyFill="1" applyBorder="1" applyAlignment="1">
      <alignment horizontal="center" vertical="center"/>
    </xf>
    <xf numFmtId="180" fontId="14" fillId="0" borderId="13" xfId="0" applyFont="1" applyFill="1" applyBorder="1" applyAlignment="1">
      <alignment horizontal="center" vertical="center"/>
    </xf>
    <xf numFmtId="180" fontId="14" fillId="0" borderId="15" xfId="0" applyFont="1" applyFill="1" applyBorder="1" applyAlignment="1">
      <alignment horizontal="center" vertical="center"/>
    </xf>
    <xf numFmtId="180" fontId="11" fillId="6" borderId="3" xfId="0" applyFont="1" applyFill="1" applyBorder="1" applyAlignment="1">
      <alignment horizontal="distributed" vertical="center" indent="3" shrinkToFit="1"/>
    </xf>
    <xf numFmtId="180" fontId="11" fillId="6" borderId="189" xfId="0" applyFont="1" applyFill="1" applyBorder="1" applyAlignment="1">
      <alignment horizontal="distributed" vertical="center" indent="3" shrinkToFit="1"/>
    </xf>
    <xf numFmtId="180" fontId="11" fillId="6" borderId="190" xfId="0" applyFont="1" applyFill="1" applyBorder="1" applyAlignment="1">
      <alignment horizontal="distributed" vertical="center" indent="3" shrinkToFit="1"/>
    </xf>
    <xf numFmtId="180" fontId="4" fillId="8" borderId="3" xfId="1" applyNumberFormat="1" applyFill="1" applyBorder="1" applyAlignment="1" applyProtection="1">
      <alignment horizontal="center" vertical="center"/>
    </xf>
    <xf numFmtId="180" fontId="9" fillId="3" borderId="3" xfId="0" applyFont="1" applyFill="1" applyBorder="1" applyAlignment="1">
      <alignment horizontal="center" vertical="center" shrinkToFit="1"/>
    </xf>
    <xf numFmtId="180" fontId="9" fillId="3" borderId="4" xfId="0" applyFont="1" applyFill="1" applyBorder="1" applyAlignment="1">
      <alignment horizontal="center" vertical="center" shrinkToFit="1"/>
    </xf>
    <xf numFmtId="180" fontId="9" fillId="3" borderId="5" xfId="0" applyFont="1" applyFill="1" applyBorder="1" applyAlignment="1">
      <alignment horizontal="center" vertical="center" shrinkToFit="1"/>
    </xf>
    <xf numFmtId="40" fontId="14" fillId="0" borderId="1" xfId="0" applyNumberFormat="1" applyFont="1" applyFill="1" applyBorder="1" applyAlignment="1">
      <alignment horizontal="center" vertical="center" shrinkToFit="1"/>
    </xf>
    <xf numFmtId="40" fontId="14" fillId="0" borderId="2" xfId="0" applyNumberFormat="1" applyFont="1" applyFill="1" applyBorder="1" applyAlignment="1">
      <alignment horizontal="center" vertical="center" shrinkToFit="1"/>
    </xf>
    <xf numFmtId="40" fontId="14" fillId="0" borderId="19" xfId="0" applyNumberFormat="1" applyFont="1" applyFill="1" applyBorder="1" applyAlignment="1">
      <alignment horizontal="center" vertical="center" shrinkToFit="1"/>
    </xf>
    <xf numFmtId="220" fontId="11" fillId="0" borderId="0" xfId="0" applyNumberFormat="1" applyFont="1" applyFill="1" applyBorder="1" applyAlignment="1">
      <alignment horizontal="center" vertical="center" shrinkToFit="1"/>
    </xf>
    <xf numFmtId="220" fontId="11" fillId="0" borderId="8" xfId="0" applyNumberFormat="1" applyFont="1" applyFill="1" applyBorder="1" applyAlignment="1">
      <alignment horizontal="center" vertical="center" shrinkToFit="1"/>
    </xf>
    <xf numFmtId="180" fontId="34" fillId="0" borderId="0" xfId="0" applyFont="1" applyBorder="1" applyAlignment="1">
      <alignment vertical="center" wrapText="1"/>
    </xf>
    <xf numFmtId="180" fontId="0" fillId="0" borderId="14" xfId="0" applyFont="1" applyBorder="1" applyAlignment="1">
      <alignment horizontal="center" vertical="center"/>
    </xf>
    <xf numFmtId="180" fontId="0" fillId="0" borderId="13" xfId="0" applyFont="1" applyBorder="1" applyAlignment="1">
      <alignment horizontal="center" vertical="center"/>
    </xf>
    <xf numFmtId="180" fontId="0" fillId="0" borderId="15" xfId="0" applyFont="1" applyBorder="1" applyAlignment="1">
      <alignment horizontal="center" vertical="center"/>
    </xf>
    <xf numFmtId="38" fontId="14" fillId="0" borderId="17" xfId="2" applyFont="1" applyFill="1" applyBorder="1" applyAlignment="1">
      <alignment vertical="center"/>
    </xf>
    <xf numFmtId="38" fontId="14" fillId="0" borderId="16" xfId="2" applyFont="1" applyFill="1" applyBorder="1" applyAlignment="1">
      <alignment vertical="center"/>
    </xf>
    <xf numFmtId="38" fontId="14" fillId="0" borderId="23" xfId="2" applyFont="1" applyFill="1" applyBorder="1" applyAlignment="1">
      <alignment vertical="center"/>
    </xf>
    <xf numFmtId="180" fontId="14" fillId="0" borderId="1" xfId="0" applyFont="1" applyFill="1" applyBorder="1" applyAlignment="1">
      <alignment horizontal="right" vertical="center"/>
    </xf>
    <xf numFmtId="180" fontId="14" fillId="0" borderId="210" xfId="0" applyFont="1" applyFill="1" applyBorder="1" applyAlignment="1">
      <alignment horizontal="right" vertical="center"/>
    </xf>
    <xf numFmtId="40" fontId="0" fillId="0" borderId="83" xfId="0" applyNumberFormat="1" applyFont="1" applyFill="1" applyBorder="1" applyAlignment="1">
      <alignment horizontal="center" vertical="center"/>
    </xf>
    <xf numFmtId="185" fontId="0" fillId="0" borderId="17" xfId="0" applyNumberFormat="1" applyFont="1" applyFill="1" applyBorder="1" applyAlignment="1">
      <alignment horizontal="right" vertical="center"/>
    </xf>
    <xf numFmtId="185" fontId="0" fillId="0" borderId="16" xfId="0" applyNumberFormat="1" applyFont="1" applyFill="1" applyBorder="1" applyAlignment="1">
      <alignment horizontal="right" vertical="center"/>
    </xf>
    <xf numFmtId="185" fontId="0" fillId="0" borderId="23" xfId="0" applyNumberFormat="1" applyFont="1" applyFill="1" applyBorder="1" applyAlignment="1">
      <alignment horizontal="right" vertical="center"/>
    </xf>
    <xf numFmtId="38" fontId="14" fillId="0" borderId="15" xfId="2" applyFont="1" applyBorder="1" applyAlignment="1">
      <alignment vertical="center"/>
    </xf>
    <xf numFmtId="180" fontId="14" fillId="4" borderId="27" xfId="0" applyFont="1" applyFill="1" applyBorder="1" applyAlignment="1">
      <alignment vertical="center"/>
    </xf>
    <xf numFmtId="180" fontId="14" fillId="4" borderId="28" xfId="0" applyFont="1" applyFill="1" applyBorder="1" applyAlignment="1">
      <alignment vertical="center"/>
    </xf>
    <xf numFmtId="38" fontId="14" fillId="4" borderId="26" xfId="2" applyFont="1" applyFill="1" applyBorder="1" applyAlignment="1">
      <alignment vertical="center"/>
    </xf>
    <xf numFmtId="180" fontId="9" fillId="3" borderId="87" xfId="0" applyFont="1" applyFill="1" applyBorder="1" applyAlignment="1">
      <alignment horizontal="center" vertical="center" wrapText="1"/>
    </xf>
    <xf numFmtId="180" fontId="9" fillId="3" borderId="53" xfId="0" applyFont="1" applyFill="1" applyBorder="1" applyAlignment="1">
      <alignment horizontal="center" vertical="center" wrapText="1"/>
    </xf>
    <xf numFmtId="180" fontId="14" fillId="6" borderId="26" xfId="0" applyFont="1" applyFill="1" applyBorder="1">
      <alignment vertical="center"/>
    </xf>
    <xf numFmtId="180" fontId="14" fillId="6" borderId="27" xfId="0" applyFont="1" applyFill="1" applyBorder="1">
      <alignment vertical="center"/>
    </xf>
    <xf numFmtId="180" fontId="14" fillId="6" borderId="17" xfId="0" applyFont="1" applyFill="1" applyBorder="1">
      <alignment vertical="center"/>
    </xf>
    <xf numFmtId="180" fontId="14" fillId="6" borderId="16" xfId="0" applyFont="1" applyFill="1" applyBorder="1">
      <alignment vertical="center"/>
    </xf>
    <xf numFmtId="180" fontId="14" fillId="6" borderId="48" xfId="0" applyFont="1" applyFill="1" applyBorder="1">
      <alignment vertical="center"/>
    </xf>
    <xf numFmtId="180" fontId="14" fillId="6" borderId="49" xfId="0" applyFont="1" applyFill="1" applyBorder="1">
      <alignment vertical="center"/>
    </xf>
    <xf numFmtId="180" fontId="14" fillId="6" borderId="28" xfId="0" applyFont="1" applyFill="1" applyBorder="1">
      <alignment vertical="center"/>
    </xf>
    <xf numFmtId="180" fontId="14" fillId="6" borderId="23" xfId="0" applyFont="1" applyFill="1" applyBorder="1">
      <alignment vertical="center"/>
    </xf>
    <xf numFmtId="180" fontId="9" fillId="3" borderId="87" xfId="0" applyFont="1" applyFill="1" applyBorder="1" applyAlignment="1">
      <alignment horizontal="center" vertical="center"/>
    </xf>
    <xf numFmtId="180" fontId="9" fillId="3" borderId="53" xfId="0" applyFont="1" applyFill="1" applyBorder="1" applyAlignment="1">
      <alignment horizontal="center" vertical="center"/>
    </xf>
    <xf numFmtId="180" fontId="14" fillId="6" borderId="50" xfId="0" applyFont="1" applyFill="1" applyBorder="1">
      <alignment vertical="center"/>
    </xf>
    <xf numFmtId="180" fontId="14" fillId="6" borderId="7" xfId="0" applyFont="1" applyFill="1" applyBorder="1">
      <alignment vertical="center"/>
    </xf>
    <xf numFmtId="180" fontId="14" fillId="6" borderId="25" xfId="0" applyFont="1" applyFill="1" applyBorder="1">
      <alignment vertical="center"/>
    </xf>
    <xf numFmtId="180" fontId="14" fillId="6" borderId="14" xfId="0" applyFont="1" applyFill="1" applyBorder="1">
      <alignment vertical="center"/>
    </xf>
    <xf numFmtId="180" fontId="14" fillId="6" borderId="15" xfId="0" applyFont="1" applyFill="1" applyBorder="1">
      <alignment vertical="center"/>
    </xf>
    <xf numFmtId="180" fontId="14" fillId="6" borderId="3" xfId="0" applyFont="1" applyFill="1" applyBorder="1">
      <alignment vertical="center"/>
    </xf>
    <xf numFmtId="180" fontId="14" fillId="6" borderId="5" xfId="0" applyFont="1" applyFill="1" applyBorder="1">
      <alignment vertical="center"/>
    </xf>
    <xf numFmtId="180" fontId="11" fillId="3" borderId="188" xfId="0" applyFont="1" applyFill="1" applyBorder="1" applyAlignment="1">
      <alignment horizontal="center" vertical="center"/>
    </xf>
    <xf numFmtId="180" fontId="11" fillId="3" borderId="5" xfId="0" applyFont="1" applyFill="1" applyBorder="1" applyAlignment="1">
      <alignment horizontal="center" vertical="center"/>
    </xf>
    <xf numFmtId="180" fontId="9" fillId="3" borderId="79" xfId="0" applyFont="1" applyFill="1" applyBorder="1" applyAlignment="1">
      <alignment horizontal="center" vertical="center"/>
    </xf>
    <xf numFmtId="180" fontId="9" fillId="3" borderId="80" xfId="0" applyFont="1" applyFill="1" applyBorder="1" applyAlignment="1">
      <alignment horizontal="center" vertical="center"/>
    </xf>
    <xf numFmtId="180" fontId="9" fillId="3" borderId="83" xfId="0" applyFont="1" applyFill="1" applyBorder="1" applyAlignment="1">
      <alignment horizontal="center" vertical="center"/>
    </xf>
    <xf numFmtId="180" fontId="14" fillId="0" borderId="22" xfId="0" applyFont="1" applyBorder="1">
      <alignment vertical="center"/>
    </xf>
    <xf numFmtId="180" fontId="14" fillId="0" borderId="0" xfId="0" applyFont="1" applyBorder="1">
      <alignment vertical="center"/>
    </xf>
    <xf numFmtId="180" fontId="14" fillId="0" borderId="29" xfId="0" applyFont="1" applyBorder="1">
      <alignment vertical="center"/>
    </xf>
    <xf numFmtId="180" fontId="14" fillId="0" borderId="7" xfId="0" applyFont="1" applyBorder="1">
      <alignment vertical="center"/>
    </xf>
    <xf numFmtId="180" fontId="14" fillId="0" borderId="25" xfId="0" applyFont="1" applyBorder="1">
      <alignment vertical="center"/>
    </xf>
    <xf numFmtId="180" fontId="14" fillId="0" borderId="1" xfId="0" applyFont="1" applyBorder="1">
      <alignment vertical="center"/>
    </xf>
    <xf numFmtId="180" fontId="14" fillId="0" borderId="2" xfId="0" applyFont="1" applyBorder="1">
      <alignment vertical="center"/>
    </xf>
    <xf numFmtId="180" fontId="14" fillId="0" borderId="19" xfId="0" applyFont="1" applyBorder="1">
      <alignment vertical="center"/>
    </xf>
    <xf numFmtId="180" fontId="4" fillId="5" borderId="1" xfId="1" applyNumberFormat="1" applyFill="1" applyBorder="1" applyAlignment="1" applyProtection="1">
      <alignment horizontal="center" vertical="center"/>
    </xf>
    <xf numFmtId="180" fontId="13" fillId="5" borderId="2" xfId="0" applyFont="1" applyFill="1" applyBorder="1" applyAlignment="1">
      <alignment horizontal="center" vertical="center"/>
    </xf>
    <xf numFmtId="180" fontId="13" fillId="5" borderId="19" xfId="0" applyFont="1" applyFill="1" applyBorder="1" applyAlignment="1">
      <alignment horizontal="center" vertical="center"/>
    </xf>
    <xf numFmtId="180" fontId="4" fillId="5" borderId="22" xfId="1" applyNumberFormat="1" applyFill="1" applyBorder="1" applyAlignment="1" applyProtection="1">
      <alignment horizontal="center" vertical="center"/>
    </xf>
    <xf numFmtId="180" fontId="13" fillId="5" borderId="0" xfId="0" applyFont="1" applyFill="1" applyBorder="1" applyAlignment="1">
      <alignment horizontal="center" vertical="center"/>
    </xf>
    <xf numFmtId="180" fontId="13" fillId="5" borderId="29" xfId="0" applyFont="1" applyFill="1" applyBorder="1" applyAlignment="1">
      <alignment horizontal="center" vertical="center"/>
    </xf>
    <xf numFmtId="180" fontId="13" fillId="5" borderId="7" xfId="0" applyFont="1" applyFill="1" applyBorder="1" applyAlignment="1">
      <alignment horizontal="center" vertical="center"/>
    </xf>
    <xf numFmtId="180" fontId="13" fillId="5" borderId="8" xfId="0" applyFont="1" applyFill="1" applyBorder="1" applyAlignment="1">
      <alignment horizontal="center" vertical="center"/>
    </xf>
    <xf numFmtId="180" fontId="13" fillId="5" borderId="25" xfId="0" applyFont="1" applyFill="1" applyBorder="1" applyAlignment="1">
      <alignment horizontal="center" vertical="center"/>
    </xf>
    <xf numFmtId="0" fontId="14" fillId="6" borderId="17" xfId="7" applyFont="1" applyFill="1" applyBorder="1" applyAlignment="1">
      <alignment vertical="center" shrinkToFit="1"/>
    </xf>
    <xf numFmtId="0" fontId="14" fillId="6" borderId="16" xfId="7" applyFont="1" applyFill="1" applyBorder="1" applyAlignment="1">
      <alignment vertical="center" shrinkToFit="1"/>
    </xf>
    <xf numFmtId="0" fontId="14" fillId="6" borderId="23" xfId="7" applyFont="1" applyFill="1" applyBorder="1" applyAlignment="1">
      <alignment vertical="center" shrinkToFit="1"/>
    </xf>
    <xf numFmtId="0" fontId="14" fillId="6" borderId="14" xfId="7" applyFont="1" applyFill="1" applyBorder="1" applyAlignment="1">
      <alignment vertical="center" shrinkToFit="1"/>
    </xf>
    <xf numFmtId="0" fontId="14" fillId="6" borderId="13" xfId="7" applyFont="1" applyFill="1" applyBorder="1" applyAlignment="1">
      <alignment vertical="center" shrinkToFit="1"/>
    </xf>
    <xf numFmtId="0" fontId="14" fillId="6" borderId="15" xfId="7" applyFont="1" applyFill="1" applyBorder="1" applyAlignment="1">
      <alignment vertical="center" shrinkToFit="1"/>
    </xf>
    <xf numFmtId="40" fontId="14" fillId="0" borderId="189" xfId="0" applyNumberFormat="1" applyFont="1" applyBorder="1">
      <alignment vertical="center"/>
    </xf>
    <xf numFmtId="40" fontId="14" fillId="0" borderId="190" xfId="0" applyNumberFormat="1" applyFont="1" applyBorder="1">
      <alignment vertical="center"/>
    </xf>
    <xf numFmtId="40" fontId="14" fillId="0" borderId="188" xfId="0" applyNumberFormat="1" applyFont="1" applyBorder="1">
      <alignment vertical="center"/>
    </xf>
    <xf numFmtId="40" fontId="14" fillId="0" borderId="3" xfId="0" applyNumberFormat="1" applyFont="1" applyBorder="1">
      <alignment vertical="center"/>
    </xf>
    <xf numFmtId="40" fontId="14" fillId="0" borderId="4" xfId="0" applyNumberFormat="1" applyFont="1" applyBorder="1">
      <alignment vertical="center"/>
    </xf>
    <xf numFmtId="40" fontId="14" fillId="0" borderId="5" xfId="0" applyNumberFormat="1" applyFont="1" applyBorder="1">
      <alignment vertical="center"/>
    </xf>
    <xf numFmtId="40" fontId="14" fillId="4" borderId="5" xfId="0" applyNumberFormat="1" applyFont="1" applyFill="1" applyBorder="1">
      <alignment vertical="center"/>
    </xf>
    <xf numFmtId="0" fontId="14" fillId="6" borderId="3" xfId="7" applyFont="1" applyFill="1" applyBorder="1" applyAlignment="1">
      <alignment vertical="center" shrinkToFit="1"/>
    </xf>
    <xf numFmtId="0" fontId="14" fillId="6" borderId="4" xfId="7" applyFont="1" applyFill="1" applyBorder="1" applyAlignment="1">
      <alignment vertical="center" shrinkToFit="1"/>
    </xf>
    <xf numFmtId="0" fontId="14" fillId="6" borderId="5" xfId="7" applyFont="1" applyFill="1" applyBorder="1" applyAlignment="1">
      <alignment vertical="center" shrinkToFit="1"/>
    </xf>
    <xf numFmtId="177" fontId="14" fillId="4" borderId="17" xfId="0" applyNumberFormat="1" applyFont="1" applyFill="1" applyBorder="1">
      <alignment vertical="center"/>
    </xf>
    <xf numFmtId="177" fontId="14" fillId="4" borderId="34" xfId="0" applyNumberFormat="1" applyFont="1" applyFill="1" applyBorder="1">
      <alignment vertical="center"/>
    </xf>
    <xf numFmtId="177" fontId="14" fillId="4" borderId="35" xfId="0" applyNumberFormat="1" applyFont="1" applyFill="1" applyBorder="1">
      <alignment vertical="center"/>
    </xf>
    <xf numFmtId="177" fontId="14" fillId="4" borderId="23" xfId="0" applyNumberFormat="1" applyFont="1" applyFill="1" applyBorder="1">
      <alignment vertical="center"/>
    </xf>
    <xf numFmtId="177" fontId="14" fillId="4" borderId="40" xfId="0" applyNumberFormat="1" applyFont="1" applyFill="1" applyBorder="1">
      <alignment vertical="center"/>
    </xf>
    <xf numFmtId="177" fontId="14" fillId="4" borderId="129" xfId="0" applyNumberFormat="1" applyFont="1" applyFill="1" applyBorder="1">
      <alignment vertical="center"/>
    </xf>
    <xf numFmtId="177" fontId="14" fillId="4" borderId="38" xfId="0" applyNumberFormat="1" applyFont="1" applyFill="1" applyBorder="1">
      <alignment vertical="center"/>
    </xf>
    <xf numFmtId="177" fontId="14" fillId="4" borderId="39" xfId="0" applyNumberFormat="1" applyFont="1" applyFill="1" applyBorder="1">
      <alignment vertical="center"/>
    </xf>
    <xf numFmtId="177" fontId="14" fillId="4" borderId="27" xfId="0" applyNumberFormat="1" applyFont="1" applyFill="1" applyBorder="1">
      <alignment vertical="center"/>
    </xf>
    <xf numFmtId="177" fontId="14" fillId="4" borderId="32" xfId="0" applyNumberFormat="1" applyFont="1" applyFill="1" applyBorder="1">
      <alignment vertical="center"/>
    </xf>
    <xf numFmtId="177" fontId="14" fillId="4" borderId="33" xfId="0" applyNumberFormat="1" applyFont="1" applyFill="1" applyBorder="1">
      <alignment vertical="center"/>
    </xf>
    <xf numFmtId="177" fontId="14" fillId="4" borderId="28" xfId="0" applyNumberFormat="1" applyFont="1" applyFill="1" applyBorder="1">
      <alignment vertical="center"/>
    </xf>
    <xf numFmtId="40" fontId="14" fillId="0" borderId="26" xfId="0" applyNumberFormat="1" applyFont="1" applyBorder="1">
      <alignment vertical="center"/>
    </xf>
    <xf numFmtId="40" fontId="14" fillId="0" borderId="28" xfId="0" applyNumberFormat="1" applyFont="1" applyBorder="1">
      <alignment vertical="center"/>
    </xf>
    <xf numFmtId="177" fontId="14" fillId="4" borderId="26" xfId="0" applyNumberFormat="1" applyFont="1" applyFill="1" applyBorder="1">
      <alignment vertical="center"/>
    </xf>
    <xf numFmtId="177" fontId="14" fillId="4" borderId="16" xfId="0" applyNumberFormat="1" applyFont="1" applyFill="1" applyBorder="1">
      <alignment vertical="center"/>
    </xf>
    <xf numFmtId="180" fontId="0" fillId="3" borderId="36" xfId="0" applyFill="1" applyBorder="1" applyAlignment="1">
      <alignment horizontal="center" vertical="center" wrapText="1"/>
    </xf>
    <xf numFmtId="180" fontId="0" fillId="3" borderId="87" xfId="0" applyFill="1" applyBorder="1" applyAlignment="1">
      <alignment horizontal="center" vertical="center"/>
    </xf>
    <xf numFmtId="180" fontId="0" fillId="3" borderId="53" xfId="0" applyFill="1" applyBorder="1" applyAlignment="1">
      <alignment horizontal="center" vertical="center"/>
    </xf>
    <xf numFmtId="180" fontId="14" fillId="4" borderId="3" xfId="0" applyFont="1" applyFill="1" applyBorder="1" applyAlignment="1">
      <alignment horizontal="center" vertical="center"/>
    </xf>
    <xf numFmtId="180" fontId="14" fillId="4" borderId="4" xfId="0" applyFont="1" applyFill="1" applyBorder="1" applyAlignment="1">
      <alignment horizontal="center" vertical="center"/>
    </xf>
    <xf numFmtId="180" fontId="14" fillId="4" borderId="5" xfId="0" applyFont="1" applyFill="1" applyBorder="1" applyAlignment="1">
      <alignment horizontal="center" vertical="center"/>
    </xf>
    <xf numFmtId="177" fontId="14" fillId="4" borderId="13" xfId="0" applyNumberFormat="1" applyFont="1" applyFill="1" applyBorder="1">
      <alignment vertical="center"/>
    </xf>
    <xf numFmtId="177" fontId="14" fillId="4" borderId="30" xfId="0" applyNumberFormat="1" applyFont="1" applyFill="1" applyBorder="1">
      <alignment vertical="center"/>
    </xf>
    <xf numFmtId="177" fontId="14" fillId="4" borderId="31" xfId="0" applyNumberFormat="1" applyFont="1" applyFill="1" applyBorder="1">
      <alignment vertical="center"/>
    </xf>
    <xf numFmtId="177" fontId="14" fillId="4" borderId="15" xfId="0" applyNumberFormat="1" applyFont="1" applyFill="1" applyBorder="1">
      <alignment vertical="center"/>
    </xf>
    <xf numFmtId="40" fontId="14" fillId="0" borderId="14" xfId="0" applyNumberFormat="1" applyFont="1" applyBorder="1">
      <alignment vertical="center"/>
    </xf>
    <xf numFmtId="40" fontId="14" fillId="0" borderId="48" xfId="0" applyNumberFormat="1" applyFont="1" applyBorder="1">
      <alignment vertical="center"/>
    </xf>
    <xf numFmtId="40" fontId="14" fillId="0" borderId="50" xfId="0" applyNumberFormat="1" applyFont="1" applyBorder="1">
      <alignment vertical="center"/>
    </xf>
    <xf numFmtId="177" fontId="14" fillId="4" borderId="14" xfId="0" applyNumberFormat="1" applyFont="1" applyFill="1" applyBorder="1">
      <alignment vertical="center"/>
    </xf>
    <xf numFmtId="180" fontId="0" fillId="3" borderId="36" xfId="0" applyFill="1" applyBorder="1" applyAlignment="1">
      <alignment horizontal="center" vertical="center"/>
    </xf>
    <xf numFmtId="40" fontId="14" fillId="0" borderId="205" xfId="0" applyNumberFormat="1" applyFont="1" applyBorder="1">
      <alignment vertical="center"/>
    </xf>
    <xf numFmtId="40" fontId="14" fillId="4" borderId="27" xfId="0" applyNumberFormat="1" applyFont="1" applyFill="1" applyBorder="1">
      <alignment vertical="center"/>
    </xf>
    <xf numFmtId="40" fontId="14" fillId="4" borderId="49" xfId="0" applyNumberFormat="1" applyFont="1" applyFill="1" applyBorder="1">
      <alignment vertical="center"/>
    </xf>
    <xf numFmtId="180" fontId="0" fillId="3" borderId="20" xfId="0" applyFill="1" applyBorder="1" applyAlignment="1">
      <alignment horizontal="center" vertical="center" wrapText="1"/>
    </xf>
    <xf numFmtId="180" fontId="0" fillId="3" borderId="20" xfId="0" applyFill="1" applyBorder="1" applyAlignment="1">
      <alignment horizontal="center" vertical="center"/>
    </xf>
    <xf numFmtId="180" fontId="14" fillId="4" borderId="4" xfId="0" applyFont="1" applyFill="1" applyBorder="1">
      <alignment vertical="center"/>
    </xf>
    <xf numFmtId="180" fontId="14" fillId="4" borderId="3" xfId="0" applyFont="1" applyFill="1" applyBorder="1">
      <alignment vertical="center"/>
    </xf>
    <xf numFmtId="40" fontId="14" fillId="0" borderId="156" xfId="0" applyNumberFormat="1" applyFont="1" applyFill="1" applyBorder="1">
      <alignment vertical="center"/>
    </xf>
    <xf numFmtId="40" fontId="14" fillId="0" borderId="157" xfId="0" applyNumberFormat="1" applyFont="1" applyFill="1" applyBorder="1">
      <alignment vertical="center"/>
    </xf>
    <xf numFmtId="40" fontId="14" fillId="0" borderId="0" xfId="0" applyNumberFormat="1" applyFont="1" applyBorder="1" applyAlignment="1">
      <alignment horizontal="center" vertical="center"/>
    </xf>
    <xf numFmtId="40" fontId="14" fillId="0" borderId="8" xfId="0" applyNumberFormat="1" applyFont="1" applyBorder="1" applyAlignment="1">
      <alignment horizontal="center" vertical="center"/>
    </xf>
    <xf numFmtId="40" fontId="14" fillId="4" borderId="48" xfId="0" applyNumberFormat="1" applyFont="1" applyFill="1" applyBorder="1">
      <alignment vertical="center"/>
    </xf>
    <xf numFmtId="40" fontId="14" fillId="4" borderId="26" xfId="0" applyNumberFormat="1" applyFont="1" applyFill="1" applyBorder="1">
      <alignment vertical="center"/>
    </xf>
    <xf numFmtId="0" fontId="14" fillId="6" borderId="83" xfId="7" applyFont="1" applyFill="1" applyBorder="1" applyAlignment="1">
      <alignment vertical="center" shrinkToFit="1"/>
    </xf>
    <xf numFmtId="177" fontId="14" fillId="4" borderId="80" xfId="0" applyNumberFormat="1" applyFont="1" applyFill="1" applyBorder="1">
      <alignment vertical="center"/>
    </xf>
    <xf numFmtId="0" fontId="14" fillId="4" borderId="20" xfId="7" applyFont="1" applyFill="1" applyBorder="1">
      <alignment vertical="center"/>
    </xf>
    <xf numFmtId="0" fontId="14" fillId="6" borderId="20" xfId="7" applyFont="1" applyFill="1" applyBorder="1" applyAlignment="1">
      <alignment vertical="center" shrinkToFit="1"/>
    </xf>
    <xf numFmtId="0" fontId="14" fillId="6" borderId="82" xfId="7" applyFont="1" applyFill="1" applyBorder="1" applyAlignment="1">
      <alignment vertical="center" shrinkToFit="1"/>
    </xf>
    <xf numFmtId="177" fontId="14" fillId="4" borderId="79" xfId="0" applyNumberFormat="1" applyFont="1" applyFill="1" applyBorder="1">
      <alignment vertical="center"/>
    </xf>
    <xf numFmtId="180" fontId="14" fillId="4" borderId="81" xfId="0" applyFont="1" applyFill="1" applyBorder="1">
      <alignment vertical="center"/>
    </xf>
    <xf numFmtId="177" fontId="14" fillId="4" borderId="81" xfId="0" applyNumberFormat="1" applyFont="1" applyFill="1" applyBorder="1">
      <alignment vertical="center"/>
    </xf>
    <xf numFmtId="0" fontId="14" fillId="6" borderId="20" xfId="7" applyFont="1" applyFill="1" applyBorder="1" applyAlignment="1">
      <alignment horizontal="right" vertical="center" shrinkToFit="1"/>
    </xf>
    <xf numFmtId="40" fontId="14" fillId="0" borderId="20" xfId="0" applyNumberFormat="1" applyFont="1" applyBorder="1">
      <alignment vertical="center"/>
    </xf>
    <xf numFmtId="40" fontId="14" fillId="4" borderId="20" xfId="0" applyNumberFormat="1" applyFont="1" applyFill="1" applyBorder="1">
      <alignment vertical="center"/>
    </xf>
    <xf numFmtId="180" fontId="14" fillId="4" borderId="82" xfId="0" applyFont="1" applyFill="1" applyBorder="1">
      <alignment vertical="center"/>
    </xf>
    <xf numFmtId="40" fontId="14" fillId="4" borderId="81" xfId="0" applyNumberFormat="1" applyFont="1" applyFill="1" applyBorder="1">
      <alignment vertical="center"/>
    </xf>
    <xf numFmtId="40" fontId="14" fillId="4" borderId="82" xfId="0" applyNumberFormat="1" applyFont="1" applyFill="1" applyBorder="1">
      <alignment vertical="center"/>
    </xf>
    <xf numFmtId="177" fontId="14" fillId="4" borderId="82" xfId="0" applyNumberFormat="1" applyFont="1" applyFill="1" applyBorder="1">
      <alignment vertical="center"/>
    </xf>
    <xf numFmtId="0" fontId="3" fillId="3" borderId="158" xfId="7" applyFont="1" applyFill="1" applyBorder="1" applyAlignment="1">
      <alignment horizontal="center" vertical="center"/>
    </xf>
    <xf numFmtId="0" fontId="3" fillId="3" borderId="141" xfId="7" applyFont="1" applyFill="1" applyBorder="1" applyAlignment="1">
      <alignment horizontal="center" vertical="center"/>
    </xf>
    <xf numFmtId="40" fontId="14" fillId="0" borderId="133" xfId="0" applyNumberFormat="1" applyFont="1" applyFill="1" applyBorder="1">
      <alignment vertical="center"/>
    </xf>
    <xf numFmtId="40" fontId="14" fillId="0" borderId="132" xfId="0" applyNumberFormat="1" applyFont="1" applyFill="1" applyBorder="1">
      <alignment vertical="center"/>
    </xf>
    <xf numFmtId="40" fontId="14" fillId="0" borderId="20" xfId="0" applyNumberFormat="1" applyFont="1" applyFill="1" applyBorder="1">
      <alignment vertical="center"/>
    </xf>
    <xf numFmtId="180" fontId="14" fillId="4" borderId="20" xfId="0" applyFont="1" applyFill="1" applyBorder="1">
      <alignment vertical="center"/>
    </xf>
    <xf numFmtId="0" fontId="3" fillId="4" borderId="3" xfId="7" applyFont="1" applyFill="1" applyBorder="1" applyAlignment="1">
      <alignment horizontal="center" vertical="center"/>
    </xf>
    <xf numFmtId="0" fontId="3" fillId="4" borderId="4" xfId="7" applyFont="1" applyFill="1" applyBorder="1" applyAlignment="1">
      <alignment horizontal="center" vertical="center"/>
    </xf>
    <xf numFmtId="0" fontId="3" fillId="4" borderId="5" xfId="7" applyFont="1" applyFill="1" applyBorder="1" applyAlignment="1">
      <alignment horizontal="center" vertical="center"/>
    </xf>
    <xf numFmtId="0" fontId="0" fillId="3" borderId="158" xfId="7" applyFont="1" applyFill="1" applyBorder="1" applyAlignment="1">
      <alignment horizontal="center" vertical="center"/>
    </xf>
    <xf numFmtId="40" fontId="0" fillId="3" borderId="14" xfId="0" applyNumberFormat="1" applyFont="1" applyFill="1" applyBorder="1" applyAlignment="1">
      <alignment horizontal="center" vertical="center"/>
    </xf>
    <xf numFmtId="40" fontId="3" fillId="3" borderId="15" xfId="0" applyNumberFormat="1" applyFont="1" applyFill="1" applyBorder="1" applyAlignment="1">
      <alignment horizontal="center" vertical="center"/>
    </xf>
    <xf numFmtId="40" fontId="3" fillId="0" borderId="149" xfId="0" applyNumberFormat="1" applyFont="1" applyFill="1" applyBorder="1" applyAlignment="1">
      <alignment vertical="center"/>
    </xf>
    <xf numFmtId="40" fontId="3" fillId="0" borderId="94" xfId="0" applyNumberFormat="1" applyFont="1" applyFill="1" applyBorder="1" applyAlignment="1">
      <alignment vertical="center"/>
    </xf>
    <xf numFmtId="40" fontId="3" fillId="3" borderId="18" xfId="0" applyNumberFormat="1" applyFont="1" applyFill="1" applyBorder="1" applyAlignment="1">
      <alignment horizontal="center" vertical="center"/>
    </xf>
    <xf numFmtId="40" fontId="3" fillId="0" borderId="140" xfId="0" applyNumberFormat="1" applyFont="1" applyFill="1" applyBorder="1" applyAlignment="1">
      <alignment vertical="center"/>
    </xf>
    <xf numFmtId="40" fontId="3" fillId="3" borderId="196" xfId="0" applyNumberFormat="1" applyFont="1" applyFill="1" applyBorder="1" applyAlignment="1">
      <alignment horizontal="center" vertical="center" shrinkToFit="1"/>
    </xf>
    <xf numFmtId="40" fontId="3" fillId="3" borderId="104" xfId="0" applyNumberFormat="1" applyFont="1" applyFill="1" applyBorder="1" applyAlignment="1">
      <alignment horizontal="center" vertical="center" shrinkToFit="1"/>
    </xf>
    <xf numFmtId="0" fontId="3" fillId="3" borderId="102" xfId="7" applyFont="1" applyFill="1" applyBorder="1" applyAlignment="1">
      <alignment horizontal="center" vertical="center"/>
    </xf>
    <xf numFmtId="0" fontId="3" fillId="3" borderId="191" xfId="7" applyFont="1" applyFill="1" applyBorder="1" applyAlignment="1">
      <alignment horizontal="center" vertical="center"/>
    </xf>
    <xf numFmtId="0" fontId="3" fillId="3" borderId="36" xfId="7" applyFont="1" applyFill="1" applyBorder="1" applyAlignment="1">
      <alignment horizontal="center" vertical="center"/>
    </xf>
    <xf numFmtId="0" fontId="3" fillId="3" borderId="53" xfId="7" applyFont="1" applyFill="1" applyBorder="1" applyAlignment="1">
      <alignment horizontal="center" vertical="center"/>
    </xf>
    <xf numFmtId="0" fontId="3" fillId="3" borderId="92" xfId="7" applyFont="1" applyFill="1" applyBorder="1" applyAlignment="1">
      <alignment horizontal="center" vertical="center"/>
    </xf>
    <xf numFmtId="0" fontId="3" fillId="3" borderId="86" xfId="7" applyFont="1" applyFill="1" applyBorder="1" applyAlignment="1">
      <alignment horizontal="center" vertical="center"/>
    </xf>
    <xf numFmtId="0" fontId="3" fillId="3" borderId="36" xfId="7" applyFont="1" applyFill="1" applyBorder="1" applyAlignment="1">
      <alignment horizontal="center" vertical="center" wrapText="1"/>
    </xf>
    <xf numFmtId="180" fontId="26" fillId="0" borderId="183" xfId="0" applyFont="1" applyBorder="1" applyAlignment="1">
      <alignment horizontal="left" vertical="center"/>
    </xf>
    <xf numFmtId="180" fontId="26" fillId="0" borderId="174" xfId="0" applyFont="1" applyBorder="1" applyAlignment="1">
      <alignment horizontal="left" vertical="center"/>
    </xf>
    <xf numFmtId="180" fontId="26" fillId="0" borderId="185" xfId="0" applyFont="1" applyBorder="1" applyAlignment="1">
      <alignment horizontal="left" vertical="center"/>
    </xf>
    <xf numFmtId="180" fontId="26" fillId="0" borderId="183" xfId="0" applyFont="1" applyBorder="1" applyAlignment="1">
      <alignment horizontal="right" vertical="center"/>
    </xf>
    <xf numFmtId="180" fontId="26" fillId="0" borderId="174" xfId="0" applyFont="1" applyBorder="1" applyAlignment="1">
      <alignment horizontal="right" vertical="center"/>
    </xf>
    <xf numFmtId="180" fontId="26" fillId="0" borderId="185" xfId="0" applyFont="1" applyBorder="1" applyAlignment="1">
      <alignment horizontal="right" vertical="center"/>
    </xf>
    <xf numFmtId="0" fontId="26" fillId="11" borderId="181" xfId="4" applyFont="1" applyFill="1" applyBorder="1" applyAlignment="1">
      <alignment horizontal="center" vertical="center"/>
    </xf>
    <xf numFmtId="180" fontId="26" fillId="11" borderId="181" xfId="0" applyFont="1" applyFill="1" applyBorder="1" applyAlignment="1">
      <alignment horizontal="center" vertical="center"/>
    </xf>
    <xf numFmtId="38" fontId="26" fillId="0" borderId="181" xfId="2" applyFont="1" applyBorder="1" applyAlignment="1">
      <alignment horizontal="right" vertical="center"/>
    </xf>
    <xf numFmtId="40" fontId="26" fillId="0" borderId="187" xfId="4" applyNumberFormat="1" applyFont="1" applyBorder="1" applyAlignment="1">
      <alignment horizontal="center" vertical="center"/>
    </xf>
    <xf numFmtId="40" fontId="26" fillId="0" borderId="181" xfId="4" applyNumberFormat="1" applyFont="1" applyBorder="1" applyAlignment="1">
      <alignment horizontal="center" vertical="center"/>
    </xf>
    <xf numFmtId="179" fontId="26" fillId="0" borderId="184" xfId="0" applyNumberFormat="1" applyFont="1" applyBorder="1" applyAlignment="1">
      <alignment horizontal="right" vertical="center"/>
    </xf>
    <xf numFmtId="179" fontId="26" fillId="0" borderId="188" xfId="0" applyNumberFormat="1" applyFont="1" applyBorder="1" applyAlignment="1">
      <alignment horizontal="right" vertical="center"/>
    </xf>
    <xf numFmtId="179" fontId="26" fillId="0" borderId="1" xfId="0" applyNumberFormat="1" applyFont="1" applyBorder="1" applyAlignment="1">
      <alignment horizontal="right" vertical="center"/>
    </xf>
    <xf numFmtId="179" fontId="26" fillId="0" borderId="22" xfId="0" applyNumberFormat="1" applyFont="1" applyBorder="1" applyAlignment="1">
      <alignment horizontal="right" vertical="center"/>
    </xf>
    <xf numFmtId="180" fontId="61" fillId="11" borderId="5" xfId="0" applyFont="1" applyFill="1" applyBorder="1" applyAlignment="1">
      <alignment horizontal="center" vertical="center" wrapText="1"/>
    </xf>
    <xf numFmtId="180" fontId="26" fillId="11" borderId="5" xfId="0" applyFont="1" applyFill="1" applyBorder="1" applyAlignment="1">
      <alignment horizontal="center" vertical="center"/>
    </xf>
    <xf numFmtId="180" fontId="26" fillId="11" borderId="187" xfId="0" applyFont="1" applyFill="1" applyBorder="1" applyAlignment="1">
      <alignment horizontal="center" vertical="center"/>
    </xf>
    <xf numFmtId="0" fontId="26" fillId="11" borderId="187" xfId="4" applyFont="1" applyFill="1" applyBorder="1" applyAlignment="1">
      <alignment horizontal="center" vertical="center"/>
    </xf>
    <xf numFmtId="188" fontId="26" fillId="0" borderId="5" xfId="0" applyNumberFormat="1" applyFont="1" applyFill="1" applyBorder="1" applyAlignment="1">
      <alignment horizontal="center" vertical="center"/>
    </xf>
    <xf numFmtId="188" fontId="26" fillId="0" borderId="181" xfId="0" applyNumberFormat="1" applyFont="1" applyFill="1" applyBorder="1" applyAlignment="1">
      <alignment horizontal="center" vertical="center"/>
    </xf>
    <xf numFmtId="188" fontId="26" fillId="9" borderId="181" xfId="4" applyNumberFormat="1" applyFont="1" applyFill="1" applyBorder="1" applyAlignment="1">
      <alignment horizontal="center" vertical="center"/>
    </xf>
    <xf numFmtId="0" fontId="0" fillId="0" borderId="0" xfId="4" applyNumberFormat="1" applyFont="1" applyFill="1" applyAlignment="1">
      <alignment vertical="center" wrapText="1"/>
    </xf>
    <xf numFmtId="0" fontId="26" fillId="3" borderId="3" xfId="4" applyFont="1" applyFill="1" applyBorder="1" applyAlignment="1">
      <alignment horizontal="center" vertical="center"/>
    </xf>
    <xf numFmtId="0" fontId="26" fillId="3" borderId="4" xfId="4" applyFont="1" applyFill="1" applyBorder="1" applyAlignment="1">
      <alignment horizontal="center" vertical="center"/>
    </xf>
    <xf numFmtId="0" fontId="26" fillId="3" borderId="21" xfId="4" applyFont="1" applyFill="1" applyBorder="1" applyAlignment="1">
      <alignment horizontal="center" vertical="center"/>
    </xf>
    <xf numFmtId="180" fontId="13" fillId="3" borderId="91" xfId="0" applyFont="1" applyFill="1" applyBorder="1" applyAlignment="1">
      <alignment horizontal="center" vertical="center"/>
    </xf>
    <xf numFmtId="180" fontId="13" fillId="3" borderId="159" xfId="0" applyFont="1" applyFill="1" applyBorder="1" applyAlignment="1">
      <alignment horizontal="center" vertical="center"/>
    </xf>
    <xf numFmtId="180" fontId="13" fillId="3" borderId="1" xfId="0" applyFont="1" applyFill="1" applyBorder="1" applyAlignment="1">
      <alignment horizontal="center" vertical="center"/>
    </xf>
    <xf numFmtId="180" fontId="13" fillId="3" borderId="19" xfId="0" applyFont="1" applyFill="1" applyBorder="1" applyAlignment="1">
      <alignment horizontal="center" vertical="center"/>
    </xf>
    <xf numFmtId="180" fontId="13" fillId="3" borderId="7" xfId="0" applyFont="1" applyFill="1" applyBorder="1" applyAlignment="1">
      <alignment horizontal="center" vertical="center"/>
    </xf>
    <xf numFmtId="180" fontId="13" fillId="3" borderId="25" xfId="0" applyFont="1" applyFill="1" applyBorder="1" applyAlignment="1">
      <alignment horizontal="center" vertical="center"/>
    </xf>
    <xf numFmtId="180" fontId="44" fillId="3" borderId="3" xfId="0" applyFont="1" applyFill="1" applyBorder="1" applyAlignment="1" applyProtection="1">
      <alignment horizontal="center" vertical="center" shrinkToFit="1"/>
    </xf>
    <xf numFmtId="180" fontId="44" fillId="3" borderId="4" xfId="0" applyFont="1" applyFill="1" applyBorder="1" applyAlignment="1" applyProtection="1">
      <alignment horizontal="center" vertical="center" shrinkToFit="1"/>
    </xf>
    <xf numFmtId="180" fontId="44" fillId="3" borderId="5" xfId="0" applyFont="1" applyFill="1" applyBorder="1" applyAlignment="1" applyProtection="1">
      <alignment horizontal="center" vertical="center" shrinkToFit="1"/>
    </xf>
    <xf numFmtId="0" fontId="13" fillId="3" borderId="36" xfId="4" applyFont="1" applyFill="1" applyBorder="1" applyAlignment="1">
      <alignment horizontal="center" vertical="center"/>
    </xf>
    <xf numFmtId="0" fontId="13" fillId="3" borderId="79" xfId="4" applyFont="1" applyFill="1" applyBorder="1" applyAlignment="1">
      <alignment horizontal="center" vertical="center"/>
    </xf>
    <xf numFmtId="0" fontId="19" fillId="3" borderId="36" xfId="4" applyFont="1" applyFill="1" applyBorder="1" applyAlignment="1">
      <alignment horizontal="center" vertical="center" textRotation="255"/>
    </xf>
    <xf numFmtId="0" fontId="19" fillId="3" borderId="53" xfId="4" applyFont="1" applyFill="1" applyBorder="1" applyAlignment="1">
      <alignment horizontal="center" vertical="center" textRotation="255"/>
    </xf>
    <xf numFmtId="180" fontId="13" fillId="3" borderId="36" xfId="0" applyFont="1" applyFill="1" applyBorder="1" applyAlignment="1" applyProtection="1">
      <alignment horizontal="center" vertical="center" shrinkToFit="1"/>
    </xf>
    <xf numFmtId="180" fontId="13" fillId="3" borderId="53" xfId="0" applyFont="1" applyFill="1" applyBorder="1" applyAlignment="1" applyProtection="1">
      <alignment horizontal="center" vertical="center" shrinkToFit="1"/>
    </xf>
    <xf numFmtId="180" fontId="13" fillId="3" borderId="36" xfId="0" applyFont="1" applyFill="1" applyBorder="1" applyAlignment="1">
      <alignment horizontal="center" vertical="center"/>
    </xf>
    <xf numFmtId="180" fontId="13" fillId="3" borderId="53" xfId="0" applyFont="1" applyFill="1" applyBorder="1" applyAlignment="1">
      <alignment horizontal="center" vertical="center"/>
    </xf>
    <xf numFmtId="180" fontId="13" fillId="3" borderId="92" xfId="0" applyFont="1" applyFill="1" applyBorder="1" applyAlignment="1">
      <alignment horizontal="center" vertical="center"/>
    </xf>
    <xf numFmtId="180" fontId="13" fillId="3" borderId="86" xfId="0" applyFont="1" applyFill="1" applyBorder="1" applyAlignment="1">
      <alignment horizontal="center" vertical="center"/>
    </xf>
    <xf numFmtId="180" fontId="13" fillId="3" borderId="171" xfId="0" applyFont="1" applyFill="1" applyBorder="1" applyAlignment="1">
      <alignment horizontal="center" vertical="center" shrinkToFit="1"/>
    </xf>
    <xf numFmtId="180" fontId="13" fillId="3" borderId="172" xfId="0" applyFont="1" applyFill="1" applyBorder="1" applyAlignment="1">
      <alignment horizontal="center" vertical="center" shrinkToFit="1"/>
    </xf>
    <xf numFmtId="0" fontId="34" fillId="0" borderId="0" xfId="4" applyNumberFormat="1" applyFont="1" applyFill="1" applyAlignment="1">
      <alignment vertical="top" wrapText="1"/>
    </xf>
    <xf numFmtId="180" fontId="26" fillId="11" borderId="185" xfId="0" applyFont="1" applyFill="1" applyBorder="1" applyAlignment="1">
      <alignment horizontal="center" vertical="center" wrapText="1"/>
    </xf>
    <xf numFmtId="180" fontId="26" fillId="11" borderId="5" xfId="0" applyFont="1" applyFill="1" applyBorder="1" applyAlignment="1">
      <alignment horizontal="center" vertical="center" wrapText="1"/>
    </xf>
    <xf numFmtId="0" fontId="26" fillId="12" borderId="181" xfId="4" applyFont="1" applyFill="1" applyBorder="1" applyAlignment="1">
      <alignment horizontal="center" vertical="center"/>
    </xf>
    <xf numFmtId="180" fontId="31" fillId="0" borderId="0" xfId="0" applyFont="1" applyBorder="1" applyAlignment="1">
      <alignment horizontal="center" vertical="center"/>
    </xf>
    <xf numFmtId="0" fontId="13" fillId="3" borderId="36" xfId="6" applyFont="1" applyFill="1" applyBorder="1" applyAlignment="1">
      <alignment horizontal="center" shrinkToFit="1"/>
    </xf>
    <xf numFmtId="180" fontId="32" fillId="0" borderId="1" xfId="0" applyFont="1" applyFill="1" applyBorder="1" applyAlignment="1">
      <alignment horizontal="center" vertical="center" shrinkToFit="1"/>
    </xf>
    <xf numFmtId="180" fontId="32" fillId="0" borderId="7" xfId="0" applyFont="1" applyFill="1" applyBorder="1" applyAlignment="1">
      <alignment horizontal="center" vertical="center" shrinkToFit="1"/>
    </xf>
    <xf numFmtId="0" fontId="13" fillId="3" borderId="36" xfId="6" applyFont="1" applyFill="1" applyBorder="1" applyAlignment="1">
      <alignment horizontal="center" wrapText="1" shrinkToFit="1"/>
    </xf>
    <xf numFmtId="0" fontId="13" fillId="3" borderId="53" xfId="6" applyFont="1" applyFill="1" applyBorder="1" applyAlignment="1">
      <alignment horizontal="center" wrapText="1" shrinkToFit="1"/>
    </xf>
    <xf numFmtId="0" fontId="13" fillId="3" borderId="36" xfId="6" applyFont="1" applyFill="1" applyBorder="1" applyAlignment="1">
      <alignment horizontal="center" vertical="center" wrapText="1" shrinkToFit="1"/>
    </xf>
    <xf numFmtId="0" fontId="13" fillId="3" borderId="53" xfId="6" applyFont="1" applyFill="1" applyBorder="1" applyAlignment="1">
      <alignment horizontal="center" vertical="center" shrinkToFit="1"/>
    </xf>
    <xf numFmtId="40" fontId="26" fillId="0" borderId="80" xfId="0" applyNumberFormat="1" applyFont="1" applyBorder="1" applyAlignment="1">
      <alignment vertical="center" shrinkToFit="1"/>
    </xf>
    <xf numFmtId="40" fontId="26" fillId="0" borderId="81" xfId="0" applyNumberFormat="1" applyFont="1" applyBorder="1" applyAlignment="1">
      <alignment vertical="center" shrinkToFit="1"/>
    </xf>
    <xf numFmtId="40" fontId="26" fillId="3" borderId="133" xfId="0" applyNumberFormat="1" applyFont="1" applyFill="1" applyBorder="1" applyAlignment="1">
      <alignment vertical="center" shrinkToFit="1"/>
    </xf>
    <xf numFmtId="40" fontId="26" fillId="3" borderId="132" xfId="0" applyNumberFormat="1" applyFont="1" applyFill="1" applyBorder="1" applyAlignment="1">
      <alignment vertical="center" shrinkToFit="1"/>
    </xf>
    <xf numFmtId="0" fontId="13" fillId="3" borderId="20" xfId="6" applyFont="1" applyFill="1" applyBorder="1" applyAlignment="1">
      <alignment horizontal="center" vertical="center" shrinkToFit="1"/>
    </xf>
    <xf numFmtId="40" fontId="26" fillId="0" borderId="79" xfId="0" applyNumberFormat="1" applyFont="1" applyBorder="1" applyAlignment="1">
      <alignment vertical="center" shrinkToFit="1"/>
    </xf>
    <xf numFmtId="180" fontId="26" fillId="4" borderId="17" xfId="0" applyFont="1" applyFill="1" applyBorder="1" applyAlignment="1">
      <alignment vertical="center" shrinkToFit="1"/>
    </xf>
    <xf numFmtId="180" fontId="26" fillId="4" borderId="23" xfId="0" applyFont="1" applyFill="1" applyBorder="1" applyAlignment="1">
      <alignment vertical="center" shrinkToFit="1"/>
    </xf>
    <xf numFmtId="0" fontId="13" fillId="3" borderId="3" xfId="6" applyFont="1" applyFill="1" applyBorder="1" applyAlignment="1">
      <alignment horizontal="center" vertical="center" shrinkToFit="1"/>
    </xf>
    <xf numFmtId="0" fontId="13" fillId="3" borderId="4" xfId="6" applyFont="1" applyFill="1" applyBorder="1" applyAlignment="1">
      <alignment horizontal="center" vertical="center" shrinkToFit="1"/>
    </xf>
    <xf numFmtId="0" fontId="13" fillId="3" borderId="5" xfId="6" applyFont="1" applyFill="1" applyBorder="1" applyAlignment="1">
      <alignment horizontal="center" vertical="center" shrinkToFit="1"/>
    </xf>
    <xf numFmtId="180" fontId="26" fillId="6" borderId="14" xfId="0" applyFont="1" applyFill="1" applyBorder="1" applyAlignment="1">
      <alignment vertical="center" shrinkToFit="1"/>
    </xf>
    <xf numFmtId="180" fontId="26" fillId="6" borderId="13" xfId="0" applyFont="1" applyFill="1" applyBorder="1" applyAlignment="1">
      <alignment vertical="center" shrinkToFit="1"/>
    </xf>
    <xf numFmtId="180" fontId="26" fillId="6" borderId="15" xfId="0" applyFont="1" applyFill="1" applyBorder="1" applyAlignment="1">
      <alignment vertical="center" shrinkToFit="1"/>
    </xf>
    <xf numFmtId="180" fontId="26" fillId="6" borderId="26" xfId="0" applyFont="1" applyFill="1" applyBorder="1" applyAlignment="1">
      <alignment vertical="center" shrinkToFit="1"/>
    </xf>
    <xf numFmtId="180" fontId="26" fillId="6" borderId="27" xfId="0" applyFont="1" applyFill="1" applyBorder="1" applyAlignment="1">
      <alignment vertical="center" shrinkToFit="1"/>
    </xf>
    <xf numFmtId="180" fontId="26" fillId="6" borderId="28" xfId="0" applyFont="1" applyFill="1" applyBorder="1" applyAlignment="1">
      <alignment vertical="center" shrinkToFit="1"/>
    </xf>
    <xf numFmtId="180" fontId="26" fillId="6" borderId="17" xfId="0" applyFont="1" applyFill="1" applyBorder="1" applyAlignment="1">
      <alignment vertical="center" shrinkToFit="1"/>
    </xf>
    <xf numFmtId="180" fontId="26" fillId="6" borderId="16" xfId="0" applyFont="1" applyFill="1" applyBorder="1" applyAlignment="1">
      <alignment vertical="center" shrinkToFit="1"/>
    </xf>
    <xf numFmtId="180" fontId="26" fillId="6" borderId="23" xfId="0" applyFont="1" applyFill="1" applyBorder="1" applyAlignment="1">
      <alignment vertical="center" shrinkToFit="1"/>
    </xf>
    <xf numFmtId="180" fontId="26" fillId="4" borderId="14" xfId="0" applyFont="1" applyFill="1" applyBorder="1" applyAlignment="1">
      <alignment vertical="center" shrinkToFit="1"/>
    </xf>
    <xf numFmtId="180" fontId="26" fillId="4" borderId="15" xfId="0" applyFont="1" applyFill="1" applyBorder="1" applyAlignment="1">
      <alignment vertical="center" shrinkToFit="1"/>
    </xf>
    <xf numFmtId="180" fontId="26" fillId="4" borderId="26" xfId="0" applyFont="1" applyFill="1" applyBorder="1" applyAlignment="1">
      <alignment vertical="center" shrinkToFit="1"/>
    </xf>
    <xf numFmtId="180" fontId="26" fillId="4" borderId="28" xfId="0" applyFont="1" applyFill="1" applyBorder="1" applyAlignment="1">
      <alignment vertical="center" shrinkToFit="1"/>
    </xf>
    <xf numFmtId="180" fontId="0" fillId="3" borderId="36" xfId="0" applyFont="1" applyFill="1" applyBorder="1" applyAlignment="1">
      <alignment horizontal="center" vertical="center" wrapText="1"/>
    </xf>
    <xf numFmtId="180" fontId="0" fillId="3" borderId="87" xfId="0" applyFont="1" applyFill="1" applyBorder="1" applyAlignment="1">
      <alignment horizontal="center" vertical="center" wrapText="1"/>
    </xf>
    <xf numFmtId="180" fontId="0" fillId="3" borderId="53" xfId="0" applyFont="1" applyFill="1" applyBorder="1" applyAlignment="1">
      <alignment horizontal="center" vertical="center" wrapText="1"/>
    </xf>
    <xf numFmtId="180" fontId="0" fillId="3" borderId="20" xfId="0" applyFont="1" applyFill="1" applyBorder="1" applyAlignment="1">
      <alignment horizontal="center" vertical="center"/>
    </xf>
    <xf numFmtId="180" fontId="0" fillId="3" borderId="20" xfId="0" applyFont="1" applyFill="1" applyBorder="1" applyAlignment="1">
      <alignment horizontal="center" vertical="center" wrapText="1"/>
    </xf>
    <xf numFmtId="180" fontId="14" fillId="0" borderId="36" xfId="0" applyFont="1" applyBorder="1">
      <alignment vertical="center"/>
    </xf>
    <xf numFmtId="180" fontId="14" fillId="0" borderId="87" xfId="0" applyFont="1" applyBorder="1">
      <alignment vertical="center"/>
    </xf>
    <xf numFmtId="180" fontId="14" fillId="0" borderId="53" xfId="0" applyFont="1" applyBorder="1">
      <alignment vertical="center"/>
    </xf>
    <xf numFmtId="40" fontId="14" fillId="0" borderId="1" xfId="0" applyNumberFormat="1" applyFont="1" applyBorder="1">
      <alignment vertical="center"/>
    </xf>
    <xf numFmtId="40" fontId="14" fillId="0" borderId="22" xfId="0" applyNumberFormat="1" applyFont="1" applyBorder="1">
      <alignment vertical="center"/>
    </xf>
    <xf numFmtId="180" fontId="14" fillId="4" borderId="1" xfId="0" applyFont="1" applyFill="1" applyBorder="1">
      <alignment vertical="center"/>
    </xf>
    <xf numFmtId="180" fontId="14" fillId="4" borderId="22" xfId="0" applyFont="1" applyFill="1" applyBorder="1">
      <alignment vertical="center"/>
    </xf>
    <xf numFmtId="180" fontId="14" fillId="4" borderId="7" xfId="0" applyFont="1" applyFill="1" applyBorder="1">
      <alignment vertical="center"/>
    </xf>
    <xf numFmtId="40" fontId="14" fillId="0" borderId="19" xfId="0" applyNumberFormat="1" applyFont="1" applyBorder="1">
      <alignment vertical="center"/>
    </xf>
    <xf numFmtId="40" fontId="14" fillId="0" borderId="29" xfId="0" applyNumberFormat="1" applyFont="1" applyBorder="1">
      <alignment vertical="center"/>
    </xf>
    <xf numFmtId="40" fontId="14" fillId="0" borderId="25" xfId="0" applyNumberFormat="1" applyFont="1" applyBorder="1">
      <alignment vertical="center"/>
    </xf>
    <xf numFmtId="40" fontId="14" fillId="0" borderId="36" xfId="0" applyNumberFormat="1" applyFont="1" applyBorder="1">
      <alignment vertical="center"/>
    </xf>
    <xf numFmtId="40" fontId="14" fillId="0" borderId="87" xfId="0" applyNumberFormat="1" applyFont="1" applyBorder="1">
      <alignment vertical="center"/>
    </xf>
    <xf numFmtId="40" fontId="14" fillId="0" borderId="53" xfId="0" applyNumberFormat="1" applyFont="1" applyBorder="1">
      <alignment vertical="center"/>
    </xf>
    <xf numFmtId="180" fontId="14" fillId="4" borderId="1" xfId="0" applyFont="1" applyFill="1" applyBorder="1" applyAlignment="1">
      <alignment horizontal="right" vertical="center"/>
    </xf>
    <xf numFmtId="180" fontId="14" fillId="4" borderId="22" xfId="0" applyFont="1" applyFill="1" applyBorder="1" applyAlignment="1">
      <alignment horizontal="right" vertical="center"/>
    </xf>
    <xf numFmtId="180" fontId="14" fillId="4" borderId="7" xfId="0" applyFont="1" applyFill="1" applyBorder="1" applyAlignment="1">
      <alignment horizontal="right" vertical="center"/>
    </xf>
    <xf numFmtId="180" fontId="0" fillId="3" borderId="36" xfId="0" applyFont="1" applyFill="1" applyBorder="1" applyAlignment="1">
      <alignment horizontal="center" vertical="center"/>
    </xf>
    <xf numFmtId="180" fontId="0" fillId="3" borderId="53" xfId="0" applyFont="1" applyFill="1" applyBorder="1" applyAlignment="1">
      <alignment horizontal="center" vertical="center"/>
    </xf>
    <xf numFmtId="38" fontId="14" fillId="13" borderId="1" xfId="0" applyNumberFormat="1" applyFont="1" applyFill="1" applyBorder="1" applyAlignment="1">
      <alignment horizontal="right" vertical="center"/>
    </xf>
    <xf numFmtId="38" fontId="14" fillId="13" borderId="184" xfId="0" applyNumberFormat="1" applyFont="1" applyFill="1" applyBorder="1" applyAlignment="1">
      <alignment horizontal="right" vertical="center"/>
    </xf>
    <xf numFmtId="40" fontId="14" fillId="0" borderId="183" xfId="0" applyNumberFormat="1" applyFont="1" applyBorder="1" applyAlignment="1">
      <alignment horizontal="left" vertical="center"/>
    </xf>
    <xf numFmtId="40" fontId="14" fillId="0" borderId="185" xfId="0" applyNumberFormat="1" applyFont="1" applyBorder="1" applyAlignment="1">
      <alignment horizontal="left" vertical="center"/>
    </xf>
    <xf numFmtId="180" fontId="14" fillId="0" borderId="1" xfId="0" applyFont="1" applyBorder="1" applyAlignment="1">
      <alignment horizontal="right" vertical="center"/>
    </xf>
    <xf numFmtId="180" fontId="14" fillId="0" borderId="183" xfId="0" applyFont="1" applyBorder="1" applyAlignment="1">
      <alignment horizontal="right" vertical="center"/>
    </xf>
    <xf numFmtId="180" fontId="14" fillId="0" borderId="184" xfId="0" applyFont="1" applyBorder="1" applyAlignment="1">
      <alignment horizontal="right" vertical="center"/>
    </xf>
    <xf numFmtId="180" fontId="14" fillId="0" borderId="185" xfId="0" applyFont="1" applyBorder="1" applyAlignment="1">
      <alignment horizontal="right" vertical="center"/>
    </xf>
    <xf numFmtId="180" fontId="0" fillId="3" borderId="3" xfId="0" applyFont="1" applyFill="1" applyBorder="1" applyAlignment="1">
      <alignment horizontal="center" vertical="center"/>
    </xf>
    <xf numFmtId="180" fontId="0" fillId="3" borderId="5" xfId="0" applyFont="1" applyFill="1" applyBorder="1" applyAlignment="1">
      <alignment horizontal="center" vertical="center"/>
    </xf>
    <xf numFmtId="40" fontId="14" fillId="0" borderId="36" xfId="0" applyNumberFormat="1" applyFont="1" applyBorder="1" applyAlignment="1">
      <alignment horizontal="right" vertical="center"/>
    </xf>
    <xf numFmtId="40" fontId="14" fillId="0" borderId="187" xfId="0" applyNumberFormat="1" applyFont="1" applyBorder="1" applyAlignment="1">
      <alignment horizontal="right" vertical="center"/>
    </xf>
    <xf numFmtId="38" fontId="14" fillId="0" borderId="22" xfId="2" applyFont="1" applyBorder="1">
      <alignment vertical="center"/>
    </xf>
    <xf numFmtId="38" fontId="14" fillId="0" borderId="29" xfId="2" applyFont="1" applyBorder="1">
      <alignment vertical="center"/>
    </xf>
    <xf numFmtId="180" fontId="0" fillId="3" borderId="188" xfId="0" applyFont="1" applyFill="1" applyBorder="1" applyAlignment="1">
      <alignment horizontal="center" vertical="center" wrapText="1"/>
    </xf>
    <xf numFmtId="180" fontId="0" fillId="3" borderId="190" xfId="0" applyFont="1" applyFill="1" applyBorder="1" applyAlignment="1">
      <alignment horizontal="center" vertical="center" wrapText="1"/>
    </xf>
    <xf numFmtId="38" fontId="14" fillId="0" borderId="7" xfId="2" applyFont="1" applyBorder="1">
      <alignment vertical="center"/>
    </xf>
    <xf numFmtId="183" fontId="14" fillId="0" borderId="36" xfId="0" applyNumberFormat="1" applyFont="1" applyFill="1" applyBorder="1">
      <alignment vertical="center"/>
    </xf>
    <xf numFmtId="183" fontId="14" fillId="0" borderId="53" xfId="0" applyNumberFormat="1" applyFont="1" applyFill="1" applyBorder="1">
      <alignment vertical="center"/>
    </xf>
    <xf numFmtId="180" fontId="14" fillId="0" borderId="174" xfId="0" applyFont="1" applyBorder="1">
      <alignment vertical="center"/>
    </xf>
    <xf numFmtId="38" fontId="14" fillId="0" borderId="25" xfId="2" applyFont="1" applyBorder="1">
      <alignment vertical="center"/>
    </xf>
    <xf numFmtId="180" fontId="9" fillId="3" borderId="184" xfId="0" applyFont="1" applyFill="1" applyBorder="1" applyAlignment="1">
      <alignment horizontal="center" vertical="center" wrapText="1"/>
    </xf>
    <xf numFmtId="180" fontId="9" fillId="3" borderId="185" xfId="0" applyFont="1" applyFill="1" applyBorder="1" applyAlignment="1">
      <alignment horizontal="center" vertical="center" wrapText="1"/>
    </xf>
    <xf numFmtId="180" fontId="14" fillId="0" borderId="36" xfId="0" applyFont="1" applyBorder="1" applyAlignment="1">
      <alignment horizontal="right" vertical="center"/>
    </xf>
    <xf numFmtId="180" fontId="14" fillId="0" borderId="187" xfId="0" applyFont="1" applyBorder="1" applyAlignment="1">
      <alignment horizontal="right" vertical="center"/>
    </xf>
    <xf numFmtId="180" fontId="3" fillId="3" borderId="20" xfId="0" applyFont="1" applyFill="1" applyBorder="1" applyAlignment="1">
      <alignment horizontal="center" vertical="center"/>
    </xf>
    <xf numFmtId="180" fontId="3" fillId="3" borderId="53" xfId="0" applyFont="1" applyFill="1" applyBorder="1" applyAlignment="1">
      <alignment horizontal="center" vertical="center"/>
    </xf>
    <xf numFmtId="180" fontId="3" fillId="3" borderId="7" xfId="0" applyFont="1" applyFill="1" applyBorder="1" applyAlignment="1">
      <alignment horizontal="center" vertical="center"/>
    </xf>
    <xf numFmtId="180" fontId="0" fillId="3" borderId="3" xfId="0" applyFill="1" applyBorder="1" applyAlignment="1">
      <alignment horizontal="center" vertical="center"/>
    </xf>
    <xf numFmtId="180" fontId="0" fillId="3" borderId="5" xfId="0" applyFill="1" applyBorder="1" applyAlignment="1">
      <alignment horizontal="center" vertical="center"/>
    </xf>
    <xf numFmtId="180" fontId="0" fillId="0" borderId="0" xfId="0" applyFont="1" applyAlignment="1">
      <alignment vertical="top" wrapText="1"/>
    </xf>
    <xf numFmtId="180" fontId="34" fillId="0" borderId="0" xfId="0" applyFont="1" applyAlignment="1">
      <alignment vertical="center" wrapText="1"/>
    </xf>
    <xf numFmtId="180" fontId="34" fillId="0" borderId="0" xfId="0" applyFont="1">
      <alignment vertical="center"/>
    </xf>
    <xf numFmtId="180" fontId="34" fillId="0" borderId="0" xfId="0" applyFont="1" applyAlignment="1">
      <alignment vertical="top" wrapText="1"/>
    </xf>
    <xf numFmtId="40" fontId="14" fillId="0" borderId="36" xfId="0" applyNumberFormat="1" applyFont="1" applyBorder="1" applyAlignment="1">
      <alignment vertical="center"/>
    </xf>
    <xf numFmtId="40" fontId="14" fillId="0" borderId="87" xfId="0" applyNumberFormat="1" applyFont="1" applyBorder="1" applyAlignment="1">
      <alignment vertical="center"/>
    </xf>
    <xf numFmtId="40" fontId="14" fillId="0" borderId="53" xfId="0" applyNumberFormat="1" applyFont="1" applyBorder="1" applyAlignment="1">
      <alignment vertical="center"/>
    </xf>
    <xf numFmtId="40" fontId="14" fillId="0" borderId="19" xfId="0" applyNumberFormat="1" applyFont="1" applyBorder="1" applyAlignment="1">
      <alignment vertical="center" wrapText="1"/>
    </xf>
    <xf numFmtId="40" fontId="14" fillId="0" borderId="174" xfId="0" applyNumberFormat="1" applyFont="1" applyBorder="1" applyAlignment="1">
      <alignment vertical="center" wrapText="1"/>
    </xf>
    <xf numFmtId="40" fontId="14" fillId="0" borderId="25" xfId="0" applyNumberFormat="1" applyFont="1" applyBorder="1" applyAlignment="1">
      <alignment vertical="center" wrapText="1"/>
    </xf>
    <xf numFmtId="40" fontId="14" fillId="0" borderId="1" xfId="0" applyNumberFormat="1" applyFont="1" applyFill="1" applyBorder="1">
      <alignment vertical="center"/>
    </xf>
    <xf numFmtId="38" fontId="14" fillId="9" borderId="1" xfId="2" applyFont="1" applyFill="1" applyBorder="1" applyAlignment="1">
      <alignment horizontal="right" vertical="center"/>
    </xf>
    <xf numFmtId="38" fontId="14" fillId="9" borderId="184" xfId="2" applyFont="1" applyFill="1" applyBorder="1" applyAlignment="1">
      <alignment horizontal="right" vertical="center"/>
    </xf>
    <xf numFmtId="180" fontId="0" fillId="3" borderId="87" xfId="0" applyFont="1" applyFill="1" applyBorder="1" applyAlignment="1">
      <alignment horizontal="center" vertical="center"/>
    </xf>
    <xf numFmtId="180" fontId="0" fillId="0" borderId="0" xfId="0" applyFont="1" applyAlignment="1">
      <alignment vertical="center" wrapText="1"/>
    </xf>
    <xf numFmtId="180" fontId="14" fillId="9" borderId="22" xfId="0" applyFont="1" applyFill="1" applyBorder="1">
      <alignment vertical="center"/>
    </xf>
    <xf numFmtId="180" fontId="14" fillId="9" borderId="7" xfId="0" applyFont="1" applyFill="1" applyBorder="1">
      <alignment vertical="center"/>
    </xf>
    <xf numFmtId="180" fontId="14" fillId="0" borderId="22" xfId="0" applyFont="1" applyBorder="1" applyAlignment="1">
      <alignment horizontal="right" vertical="center"/>
    </xf>
    <xf numFmtId="180" fontId="14" fillId="0" borderId="174" xfId="0" applyFont="1" applyBorder="1" applyAlignment="1">
      <alignment horizontal="right" vertical="center"/>
    </xf>
    <xf numFmtId="40" fontId="14" fillId="0" borderId="87" xfId="0" applyNumberFormat="1" applyFont="1" applyBorder="1" applyAlignment="1">
      <alignment horizontal="right" vertical="center"/>
    </xf>
    <xf numFmtId="180" fontId="14" fillId="0" borderId="87" xfId="0" applyFont="1" applyBorder="1" applyAlignment="1">
      <alignment horizontal="right" vertical="center"/>
    </xf>
    <xf numFmtId="40" fontId="14" fillId="13" borderId="1" xfId="0" applyNumberFormat="1" applyFont="1" applyFill="1" applyBorder="1" applyAlignment="1">
      <alignment horizontal="center" vertical="center"/>
    </xf>
    <xf numFmtId="40" fontId="14" fillId="13" borderId="22" xfId="0" applyNumberFormat="1" applyFont="1" applyFill="1" applyBorder="1" applyAlignment="1">
      <alignment horizontal="center" vertical="center"/>
    </xf>
    <xf numFmtId="40" fontId="14" fillId="13" borderId="184" xfId="0" applyNumberFormat="1" applyFont="1" applyFill="1" applyBorder="1" applyAlignment="1">
      <alignment horizontal="center" vertical="center"/>
    </xf>
    <xf numFmtId="40" fontId="53" fillId="0" borderId="183" xfId="0" applyNumberFormat="1" applyFont="1" applyBorder="1" applyAlignment="1">
      <alignment horizontal="left" vertical="center" wrapText="1"/>
    </xf>
    <xf numFmtId="40" fontId="53" fillId="0" borderId="174" xfId="0" applyNumberFormat="1" applyFont="1" applyBorder="1" applyAlignment="1">
      <alignment horizontal="left" vertical="center"/>
    </xf>
    <xf numFmtId="40" fontId="53" fillId="0" borderId="185" xfId="0" applyNumberFormat="1" applyFont="1" applyBorder="1" applyAlignment="1">
      <alignment horizontal="left" vertical="center"/>
    </xf>
    <xf numFmtId="40" fontId="14" fillId="0" borderId="174" xfId="0" applyNumberFormat="1" applyFont="1" applyBorder="1" applyAlignment="1">
      <alignment horizontal="left" vertical="center"/>
    </xf>
    <xf numFmtId="38" fontId="14" fillId="9" borderId="1" xfId="0" applyNumberFormat="1" applyFont="1" applyFill="1" applyBorder="1" applyAlignment="1">
      <alignment horizontal="right" vertical="center"/>
    </xf>
    <xf numFmtId="38" fontId="14" fillId="9" borderId="22" xfId="0" applyNumberFormat="1" applyFont="1" applyFill="1" applyBorder="1" applyAlignment="1">
      <alignment horizontal="right" vertical="center"/>
    </xf>
    <xf numFmtId="38" fontId="14" fillId="9" borderId="184" xfId="0" applyNumberFormat="1" applyFont="1" applyFill="1" applyBorder="1" applyAlignment="1">
      <alignment horizontal="right" vertical="center"/>
    </xf>
    <xf numFmtId="180" fontId="0" fillId="3" borderId="1" xfId="0" applyFont="1" applyFill="1" applyBorder="1" applyAlignment="1">
      <alignment horizontal="center" vertical="center"/>
    </xf>
    <xf numFmtId="180" fontId="0" fillId="3" borderId="7" xfId="0" applyFont="1" applyFill="1" applyBorder="1" applyAlignment="1">
      <alignment horizontal="center" vertical="center"/>
    </xf>
    <xf numFmtId="40" fontId="14" fillId="0" borderId="174" xfId="0" applyNumberFormat="1" applyFont="1" applyBorder="1" applyAlignment="1">
      <alignment vertical="center"/>
    </xf>
    <xf numFmtId="40" fontId="14" fillId="0" borderId="1" xfId="0" applyNumberFormat="1" applyFont="1" applyBorder="1" applyAlignment="1">
      <alignment horizontal="right" vertical="center"/>
    </xf>
    <xf numFmtId="40" fontId="14" fillId="0" borderId="184" xfId="0" applyNumberFormat="1" applyFont="1" applyBorder="1" applyAlignment="1">
      <alignment horizontal="right" vertical="center"/>
    </xf>
    <xf numFmtId="180" fontId="9" fillId="0" borderId="122" xfId="0" applyFont="1" applyBorder="1">
      <alignment vertical="center"/>
    </xf>
    <xf numFmtId="180" fontId="9" fillId="0" borderId="123" xfId="0" applyFont="1" applyBorder="1">
      <alignment vertical="center"/>
    </xf>
    <xf numFmtId="180" fontId="3" fillId="3" borderId="20" xfId="0" applyFont="1" applyFill="1" applyBorder="1" applyAlignment="1">
      <alignment horizontal="center" vertical="center" wrapText="1"/>
    </xf>
    <xf numFmtId="180" fontId="3" fillId="3" borderId="36" xfId="0" applyFont="1" applyFill="1" applyBorder="1" applyAlignment="1">
      <alignment horizontal="center" vertical="center"/>
    </xf>
    <xf numFmtId="40" fontId="14" fillId="4" borderId="1" xfId="0" applyNumberFormat="1" applyFont="1" applyFill="1" applyBorder="1">
      <alignment vertical="center"/>
    </xf>
    <xf numFmtId="40" fontId="14" fillId="4" borderId="7" xfId="0" applyNumberFormat="1" applyFont="1" applyFill="1" applyBorder="1">
      <alignment vertical="center"/>
    </xf>
    <xf numFmtId="180" fontId="14" fillId="9" borderId="1" xfId="0" applyFont="1" applyFill="1" applyBorder="1">
      <alignment vertical="center"/>
    </xf>
    <xf numFmtId="40" fontId="14" fillId="9" borderId="1" xfId="0" applyNumberFormat="1" applyFont="1" applyFill="1" applyBorder="1">
      <alignment vertical="center"/>
    </xf>
    <xf numFmtId="40" fontId="14" fillId="9" borderId="22" xfId="0" applyNumberFormat="1" applyFont="1" applyFill="1" applyBorder="1">
      <alignment vertical="center"/>
    </xf>
    <xf numFmtId="40" fontId="14" fillId="9" borderId="7" xfId="0" applyNumberFormat="1" applyFont="1" applyFill="1" applyBorder="1">
      <alignment vertical="center"/>
    </xf>
    <xf numFmtId="180" fontId="14" fillId="0" borderId="1" xfId="0" applyFont="1" applyBorder="1" applyAlignment="1">
      <alignment vertical="center" wrapText="1"/>
    </xf>
    <xf numFmtId="180" fontId="14" fillId="0" borderId="19" xfId="0" applyFont="1" applyBorder="1" applyAlignment="1">
      <alignment vertical="center" wrapText="1"/>
    </xf>
    <xf numFmtId="180" fontId="14" fillId="0" borderId="22" xfId="0" applyFont="1" applyBorder="1" applyAlignment="1">
      <alignment vertical="center" wrapText="1"/>
    </xf>
    <xf numFmtId="180" fontId="14" fillId="0" borderId="174" xfId="0" applyFont="1" applyBorder="1" applyAlignment="1">
      <alignment vertical="center" wrapText="1"/>
    </xf>
    <xf numFmtId="180" fontId="14" fillId="0" borderId="7" xfId="0" applyFont="1" applyBorder="1" applyAlignment="1">
      <alignment vertical="center" wrapText="1"/>
    </xf>
    <xf numFmtId="180" fontId="14" fillId="0" borderId="25" xfId="0" applyFont="1" applyBorder="1" applyAlignment="1">
      <alignment vertical="center" wrapText="1"/>
    </xf>
    <xf numFmtId="38" fontId="14" fillId="0" borderId="1" xfId="2" applyFont="1" applyBorder="1" applyAlignment="1">
      <alignment vertical="center"/>
    </xf>
    <xf numFmtId="38" fontId="14" fillId="0" borderId="19" xfId="2" applyFont="1" applyBorder="1" applyAlignment="1">
      <alignment vertical="center"/>
    </xf>
    <xf numFmtId="38" fontId="14" fillId="0" borderId="22" xfId="2" applyFont="1" applyBorder="1" applyAlignment="1">
      <alignment vertical="center"/>
    </xf>
    <xf numFmtId="38" fontId="14" fillId="0" borderId="29" xfId="2" applyFont="1" applyBorder="1" applyAlignment="1">
      <alignment vertical="center"/>
    </xf>
    <xf numFmtId="38" fontId="14" fillId="0" borderId="7" xfId="2" applyFont="1" applyBorder="1" applyAlignment="1">
      <alignment vertical="center"/>
    </xf>
    <xf numFmtId="38" fontId="14" fillId="0" borderId="25" xfId="2" applyFont="1" applyBorder="1" applyAlignment="1">
      <alignment vertical="center"/>
    </xf>
    <xf numFmtId="180" fontId="14" fillId="0" borderId="22" xfId="0" applyFont="1" applyBorder="1" applyAlignment="1">
      <alignment vertical="center"/>
    </xf>
    <xf numFmtId="180" fontId="14" fillId="0" borderId="29" xfId="0" applyFont="1" applyBorder="1" applyAlignment="1">
      <alignment vertical="center"/>
    </xf>
    <xf numFmtId="40" fontId="14" fillId="0" borderId="36" xfId="2" applyNumberFormat="1" applyFont="1" applyBorder="1">
      <alignment vertical="center"/>
    </xf>
    <xf numFmtId="40" fontId="14" fillId="0" borderId="87" xfId="2" applyNumberFormat="1" applyFont="1" applyBorder="1">
      <alignment vertical="center"/>
    </xf>
    <xf numFmtId="180" fontId="9" fillId="8" borderId="3" xfId="0" applyFont="1" applyFill="1" applyBorder="1" applyAlignment="1">
      <alignment horizontal="center" vertical="center"/>
    </xf>
    <xf numFmtId="180" fontId="9" fillId="8" borderId="4" xfId="0" applyFont="1" applyFill="1" applyBorder="1" applyAlignment="1">
      <alignment horizontal="center" vertical="center"/>
    </xf>
    <xf numFmtId="180" fontId="9" fillId="8" borderId="5" xfId="0" applyFont="1" applyFill="1" applyBorder="1" applyAlignment="1">
      <alignment horizontal="center" vertical="center"/>
    </xf>
    <xf numFmtId="40" fontId="0" fillId="0" borderId="125" xfId="0" applyNumberFormat="1" applyFill="1" applyBorder="1" applyAlignment="1">
      <alignment vertical="center"/>
    </xf>
    <xf numFmtId="40" fontId="0" fillId="0" borderId="66" xfId="0" applyNumberFormat="1" applyFill="1" applyBorder="1" applyAlignment="1">
      <alignment vertical="center"/>
    </xf>
    <xf numFmtId="40" fontId="0" fillId="0" borderId="153" xfId="0" applyNumberFormat="1" applyFill="1" applyBorder="1" applyAlignment="1">
      <alignment vertical="center"/>
    </xf>
    <xf numFmtId="40" fontId="0" fillId="0" borderId="101" xfId="0" applyNumberFormat="1" applyFill="1" applyBorder="1" applyAlignment="1">
      <alignment vertical="center"/>
    </xf>
    <xf numFmtId="180" fontId="9" fillId="3" borderId="124" xfId="0" applyFont="1" applyFill="1" applyBorder="1" applyAlignment="1">
      <alignment horizontal="center" vertical="center"/>
    </xf>
    <xf numFmtId="180" fontId="9" fillId="3" borderId="162" xfId="0" applyFont="1" applyFill="1" applyBorder="1" applyAlignment="1">
      <alignment horizontal="center" vertical="center"/>
    </xf>
    <xf numFmtId="180" fontId="0" fillId="0" borderId="125" xfId="0" applyFill="1" applyBorder="1" applyAlignment="1">
      <alignment horizontal="center" vertical="center"/>
    </xf>
    <xf numFmtId="180" fontId="0" fillId="0" borderId="66" xfId="0" applyFill="1" applyBorder="1" applyAlignment="1">
      <alignment horizontal="center" vertical="center"/>
    </xf>
    <xf numFmtId="180" fontId="0" fillId="0" borderId="47" xfId="0" applyFill="1" applyBorder="1" applyAlignment="1">
      <alignment horizontal="center" vertical="center"/>
    </xf>
    <xf numFmtId="180" fontId="0" fillId="0" borderId="153" xfId="0" applyFill="1" applyBorder="1" applyAlignment="1">
      <alignment horizontal="center" vertical="center"/>
    </xf>
    <xf numFmtId="180" fontId="0" fillId="0" borderId="101" xfId="0" applyFill="1" applyBorder="1" applyAlignment="1">
      <alignment horizontal="center" vertical="center"/>
    </xf>
    <xf numFmtId="180" fontId="0" fillId="0" borderId="152" xfId="0" applyFill="1" applyBorder="1" applyAlignment="1">
      <alignment horizontal="center" vertical="center"/>
    </xf>
    <xf numFmtId="180" fontId="0" fillId="3" borderId="7" xfId="0" applyFill="1" applyBorder="1" applyAlignment="1">
      <alignment horizontal="center" vertical="center"/>
    </xf>
    <xf numFmtId="180" fontId="0" fillId="3" borderId="25" xfId="0" applyFill="1" applyBorder="1" applyAlignment="1">
      <alignment horizontal="center" vertical="center"/>
    </xf>
    <xf numFmtId="180" fontId="9" fillId="3" borderId="102" xfId="0" applyFont="1" applyFill="1" applyBorder="1" applyAlignment="1">
      <alignment horizontal="center" vertical="center"/>
    </xf>
    <xf numFmtId="180" fontId="9" fillId="3" borderId="47" xfId="0" applyFont="1" applyFill="1" applyBorder="1" applyAlignment="1">
      <alignment horizontal="center" vertical="center"/>
    </xf>
    <xf numFmtId="180" fontId="9" fillId="3" borderId="104" xfId="0" applyFont="1" applyFill="1" applyBorder="1" applyAlignment="1">
      <alignment horizontal="center" vertical="center"/>
    </xf>
    <xf numFmtId="180" fontId="9" fillId="3" borderId="152" xfId="0" applyFont="1" applyFill="1" applyBorder="1" applyAlignment="1">
      <alignment horizontal="center" vertical="center"/>
    </xf>
    <xf numFmtId="180" fontId="0" fillId="0" borderId="2" xfId="0" applyBorder="1">
      <alignment vertical="center"/>
    </xf>
    <xf numFmtId="180" fontId="0" fillId="0" borderId="37" xfId="0" applyBorder="1">
      <alignment vertical="center"/>
    </xf>
    <xf numFmtId="180" fontId="0" fillId="0" borderId="7" xfId="0" applyBorder="1">
      <alignment vertical="center"/>
    </xf>
    <xf numFmtId="180" fontId="0" fillId="0" borderId="8" xfId="0" applyBorder="1">
      <alignment vertical="center"/>
    </xf>
    <xf numFmtId="180" fontId="0" fillId="0" borderId="55" xfId="0" applyBorder="1">
      <alignment vertical="center"/>
    </xf>
    <xf numFmtId="180" fontId="9" fillId="3" borderId="182" xfId="0" applyFont="1" applyFill="1" applyBorder="1" applyAlignment="1">
      <alignment horizontal="center" vertical="center" wrapText="1"/>
    </xf>
    <xf numFmtId="180" fontId="9" fillId="3" borderId="183" xfId="0" applyFont="1" applyFill="1" applyBorder="1" applyAlignment="1">
      <alignment horizontal="center" vertical="center" wrapText="1"/>
    </xf>
    <xf numFmtId="180" fontId="9" fillId="3" borderId="36" xfId="0" applyFont="1" applyFill="1" applyBorder="1" applyAlignment="1">
      <alignment vertical="center" textRotation="255"/>
    </xf>
    <xf numFmtId="180" fontId="9" fillId="3" borderId="87" xfId="0" applyFont="1" applyFill="1" applyBorder="1" applyAlignment="1">
      <alignment vertical="center" textRotation="255"/>
    </xf>
    <xf numFmtId="180" fontId="3" fillId="3" borderId="187" xfId="0" applyFont="1" applyFill="1" applyBorder="1" applyAlignment="1">
      <alignment horizontal="center" vertical="center"/>
    </xf>
    <xf numFmtId="180" fontId="3" fillId="3" borderId="87" xfId="0" applyFont="1" applyFill="1" applyBorder="1" applyAlignment="1">
      <alignment horizontal="center" vertical="center"/>
    </xf>
    <xf numFmtId="38" fontId="14" fillId="0" borderId="1" xfId="2" applyFont="1" applyBorder="1" applyAlignment="1">
      <alignment horizontal="right" vertical="center" shrinkToFit="1"/>
    </xf>
    <xf numFmtId="38" fontId="14" fillId="0" borderId="183" xfId="2" applyFont="1" applyBorder="1" applyAlignment="1">
      <alignment horizontal="right" vertical="center" shrinkToFit="1"/>
    </xf>
    <xf numFmtId="38" fontId="14" fillId="0" borderId="22" xfId="2" applyFont="1" applyBorder="1" applyAlignment="1">
      <alignment horizontal="right" vertical="center" shrinkToFit="1"/>
    </xf>
    <xf numFmtId="38" fontId="14" fillId="0" borderId="174" xfId="2" applyFont="1" applyBorder="1" applyAlignment="1">
      <alignment horizontal="right" vertical="center" shrinkToFit="1"/>
    </xf>
    <xf numFmtId="38" fontId="14" fillId="0" borderId="184" xfId="2" applyFont="1" applyBorder="1" applyAlignment="1">
      <alignment horizontal="right" vertical="center" shrinkToFit="1"/>
    </xf>
    <xf numFmtId="38" fontId="14" fillId="0" borderId="185" xfId="2" applyFont="1" applyBorder="1" applyAlignment="1">
      <alignment horizontal="right" vertical="center" shrinkToFit="1"/>
    </xf>
    <xf numFmtId="180" fontId="62" fillId="3" borderId="36" xfId="0" applyFont="1" applyFill="1" applyBorder="1" applyAlignment="1">
      <alignment horizontal="center" vertical="center" textRotation="255" wrapText="1" shrinkToFit="1"/>
    </xf>
    <xf numFmtId="180" fontId="62" fillId="3" borderId="87" xfId="0" applyFont="1" applyFill="1" applyBorder="1" applyAlignment="1">
      <alignment horizontal="center" vertical="center" textRotation="255" wrapText="1" shrinkToFit="1"/>
    </xf>
    <xf numFmtId="180" fontId="62" fillId="3" borderId="187" xfId="0" applyFont="1" applyFill="1" applyBorder="1" applyAlignment="1">
      <alignment horizontal="center" vertical="center" textRotation="255" wrapText="1" shrinkToFit="1"/>
    </xf>
    <xf numFmtId="180" fontId="9" fillId="3" borderId="36" xfId="0" applyFont="1" applyFill="1" applyBorder="1" applyAlignment="1">
      <alignment horizontal="center" vertical="center" textRotation="255" wrapText="1"/>
    </xf>
    <xf numFmtId="38" fontId="14" fillId="0" borderId="1" xfId="2" applyFont="1" applyBorder="1" applyAlignment="1">
      <alignment vertical="center" shrinkToFit="1"/>
    </xf>
    <xf numFmtId="38" fontId="14" fillId="0" borderId="19" xfId="2" applyFont="1" applyBorder="1" applyAlignment="1">
      <alignment vertical="center" shrinkToFit="1"/>
    </xf>
    <xf numFmtId="38" fontId="14" fillId="0" borderId="29" xfId="2" applyFont="1" applyBorder="1" applyAlignment="1">
      <alignment vertical="center" shrinkToFit="1"/>
    </xf>
    <xf numFmtId="180" fontId="14" fillId="0" borderId="182" xfId="0" applyFont="1" applyBorder="1" applyAlignment="1">
      <alignment horizontal="right" vertical="center"/>
    </xf>
    <xf numFmtId="180" fontId="9" fillId="3" borderId="53" xfId="0" applyFont="1" applyFill="1" applyBorder="1" applyAlignment="1">
      <alignment horizontal="center" vertical="center" textRotation="255" wrapText="1"/>
    </xf>
    <xf numFmtId="180" fontId="9" fillId="3" borderId="53" xfId="0" applyFont="1" applyFill="1" applyBorder="1" applyAlignment="1">
      <alignment vertical="center" textRotation="255"/>
    </xf>
    <xf numFmtId="180" fontId="9" fillId="3" borderId="36" xfId="0" applyFont="1" applyFill="1" applyBorder="1" applyAlignment="1">
      <alignment horizontal="center" vertical="center" wrapText="1"/>
    </xf>
    <xf numFmtId="180" fontId="33" fillId="3" borderId="87" xfId="0" applyFont="1" applyFill="1" applyBorder="1" applyAlignment="1">
      <alignment horizontal="center" vertical="center" wrapText="1"/>
    </xf>
    <xf numFmtId="180" fontId="33" fillId="3" borderId="53" xfId="0" applyFont="1" applyFill="1" applyBorder="1" applyAlignment="1">
      <alignment horizontal="center" vertical="center" wrapText="1"/>
    </xf>
    <xf numFmtId="180" fontId="9" fillId="3" borderId="87" xfId="0" applyFont="1" applyFill="1" applyBorder="1" applyAlignment="1">
      <alignment vertical="center" textRotation="255" wrapText="1"/>
    </xf>
    <xf numFmtId="180" fontId="9" fillId="3" borderId="53" xfId="0" applyFont="1" applyFill="1" applyBorder="1" applyAlignment="1">
      <alignment vertical="center" textRotation="255" wrapText="1"/>
    </xf>
    <xf numFmtId="180" fontId="34" fillId="0" borderId="53" xfId="0" applyFont="1" applyBorder="1" applyAlignment="1">
      <alignment vertical="center"/>
    </xf>
    <xf numFmtId="40" fontId="14" fillId="0" borderId="182" xfId="0" applyNumberFormat="1" applyFont="1" applyBorder="1" applyAlignment="1">
      <alignment horizontal="right" vertical="center"/>
    </xf>
    <xf numFmtId="40" fontId="14" fillId="0" borderId="36" xfId="0" applyNumberFormat="1" applyFont="1" applyBorder="1" applyAlignment="1">
      <alignment horizontal="center" vertical="center"/>
    </xf>
    <xf numFmtId="40" fontId="14" fillId="0" borderId="187" xfId="0" applyNumberFormat="1" applyFont="1" applyBorder="1" applyAlignment="1">
      <alignment horizontal="center" vertical="center"/>
    </xf>
    <xf numFmtId="180" fontId="14" fillId="0" borderId="36" xfId="0" applyFont="1" applyBorder="1" applyAlignment="1">
      <alignment horizontal="center" vertical="center"/>
    </xf>
    <xf numFmtId="180" fontId="14" fillId="0" borderId="187" xfId="0" applyFont="1" applyBorder="1" applyAlignment="1">
      <alignment horizontal="center" vertical="center"/>
    </xf>
    <xf numFmtId="180" fontId="0" fillId="0" borderId="66" xfId="0" applyBorder="1">
      <alignment vertical="center"/>
    </xf>
    <xf numFmtId="180" fontId="0" fillId="0" borderId="160" xfId="0" applyBorder="1">
      <alignment vertical="center"/>
    </xf>
    <xf numFmtId="180" fontId="0" fillId="0" borderId="101" xfId="0" applyBorder="1">
      <alignment vertical="center"/>
    </xf>
    <xf numFmtId="180" fontId="0" fillId="0" borderId="161" xfId="0" applyBorder="1">
      <alignment vertical="center"/>
    </xf>
    <xf numFmtId="180" fontId="14" fillId="9" borderId="182" xfId="0" applyFont="1" applyFill="1" applyBorder="1" applyAlignment="1">
      <alignment horizontal="right" vertical="center"/>
    </xf>
    <xf numFmtId="180" fontId="14" fillId="9" borderId="184" xfId="0" applyFont="1" applyFill="1" applyBorder="1" applyAlignment="1">
      <alignment horizontal="right" vertical="center"/>
    </xf>
    <xf numFmtId="180" fontId="14" fillId="0" borderId="183" xfId="0" applyFont="1" applyBorder="1" applyAlignment="1">
      <alignment horizontal="left" vertical="center"/>
    </xf>
    <xf numFmtId="180" fontId="14" fillId="0" borderId="185" xfId="0" applyFont="1" applyBorder="1" applyAlignment="1">
      <alignment horizontal="left" vertical="center"/>
    </xf>
    <xf numFmtId="38" fontId="14" fillId="4" borderId="1" xfId="2" applyFont="1" applyFill="1" applyBorder="1">
      <alignment vertical="center"/>
    </xf>
    <xf numFmtId="38" fontId="14" fillId="4" borderId="7" xfId="2" applyFont="1" applyFill="1" applyBorder="1">
      <alignment vertical="center"/>
    </xf>
    <xf numFmtId="40" fontId="14" fillId="0" borderId="174" xfId="0" applyNumberFormat="1" applyFont="1" applyBorder="1">
      <alignment vertical="center"/>
    </xf>
    <xf numFmtId="180" fontId="3" fillId="3" borderId="3" xfId="0" applyFont="1" applyFill="1" applyBorder="1" applyAlignment="1">
      <alignment horizontal="center" vertical="center"/>
    </xf>
    <xf numFmtId="40" fontId="14" fillId="0" borderId="20" xfId="0" applyNumberFormat="1" applyFont="1" applyBorder="1" applyAlignment="1">
      <alignment horizontal="center" vertical="center"/>
    </xf>
    <xf numFmtId="40" fontId="14" fillId="0" borderId="29" xfId="0" applyNumberFormat="1" applyFont="1" applyBorder="1" applyAlignment="1">
      <alignment vertical="center"/>
    </xf>
    <xf numFmtId="180" fontId="14" fillId="0" borderId="36" xfId="0" applyFont="1" applyBorder="1" applyAlignment="1">
      <alignment vertical="center"/>
    </xf>
    <xf numFmtId="180" fontId="14" fillId="0" borderId="87" xfId="0" applyFont="1" applyBorder="1" applyAlignment="1">
      <alignment vertical="center"/>
    </xf>
    <xf numFmtId="40" fontId="14" fillId="4" borderId="1" xfId="0" applyNumberFormat="1" applyFont="1" applyFill="1" applyBorder="1" applyAlignment="1">
      <alignment vertical="center"/>
    </xf>
    <xf numFmtId="40" fontId="14" fillId="4" borderId="22" xfId="0" applyNumberFormat="1" applyFont="1" applyFill="1" applyBorder="1" applyAlignment="1">
      <alignment vertical="center"/>
    </xf>
    <xf numFmtId="38" fontId="14" fillId="0" borderId="36" xfId="2" applyFont="1" applyBorder="1">
      <alignment vertical="center"/>
    </xf>
    <xf numFmtId="38" fontId="14" fillId="0" borderId="87" xfId="2" applyFont="1" applyBorder="1">
      <alignment vertical="center"/>
    </xf>
    <xf numFmtId="40" fontId="14" fillId="0" borderId="19" xfId="2" applyNumberFormat="1" applyFont="1" applyBorder="1" applyAlignment="1">
      <alignment vertical="center" wrapText="1"/>
    </xf>
    <xf numFmtId="40" fontId="14" fillId="0" borderId="29" xfId="2" applyNumberFormat="1" applyFont="1" applyBorder="1">
      <alignment vertical="center"/>
    </xf>
    <xf numFmtId="40" fontId="14" fillId="0" borderId="29" xfId="0" applyNumberFormat="1" applyFont="1" applyBorder="1" applyAlignment="1">
      <alignment vertical="center" wrapText="1"/>
    </xf>
    <xf numFmtId="40" fontId="14" fillId="0" borderId="1" xfId="2" applyNumberFormat="1" applyFont="1" applyFill="1" applyBorder="1">
      <alignment vertical="center"/>
    </xf>
    <xf numFmtId="40" fontId="14" fillId="0" borderId="22" xfId="2" applyNumberFormat="1" applyFont="1" applyFill="1" applyBorder="1">
      <alignment vertical="center"/>
    </xf>
    <xf numFmtId="180" fontId="0" fillId="3" borderId="1" xfId="0" applyFill="1" applyBorder="1" applyAlignment="1">
      <alignment horizontal="center" vertical="center"/>
    </xf>
    <xf numFmtId="180" fontId="0" fillId="3" borderId="19" xfId="0" applyFill="1" applyBorder="1" applyAlignment="1">
      <alignment horizontal="center" vertical="center"/>
    </xf>
    <xf numFmtId="38" fontId="14" fillId="0" borderId="1" xfId="2" applyFont="1" applyBorder="1">
      <alignment vertical="center"/>
    </xf>
    <xf numFmtId="38" fontId="14" fillId="0" borderId="19" xfId="2" applyFont="1" applyBorder="1">
      <alignment vertical="center"/>
    </xf>
    <xf numFmtId="180" fontId="14" fillId="0" borderId="3" xfId="0" applyFont="1" applyBorder="1">
      <alignment vertical="center"/>
    </xf>
    <xf numFmtId="180" fontId="14" fillId="0" borderId="5" xfId="0" applyFont="1" applyBorder="1">
      <alignment vertical="center"/>
    </xf>
    <xf numFmtId="40" fontId="14" fillId="0" borderId="2" xfId="0" applyNumberFormat="1" applyFont="1" applyBorder="1">
      <alignment vertical="center"/>
    </xf>
    <xf numFmtId="40" fontId="14" fillId="0" borderId="0" xfId="0" applyNumberFormat="1" applyFont="1" applyBorder="1">
      <alignment vertical="center"/>
    </xf>
    <xf numFmtId="180" fontId="14" fillId="4" borderId="2" xfId="0" applyFont="1" applyFill="1" applyBorder="1">
      <alignment vertical="center"/>
    </xf>
    <xf numFmtId="180" fontId="14" fillId="4" borderId="0" xfId="0" applyFont="1" applyFill="1" applyBorder="1">
      <alignment vertical="center"/>
    </xf>
    <xf numFmtId="180" fontId="14" fillId="4" borderId="8" xfId="0" applyFont="1" applyFill="1" applyBorder="1">
      <alignment vertical="center"/>
    </xf>
    <xf numFmtId="180" fontId="14" fillId="0" borderId="20" xfId="0" applyFont="1" applyBorder="1" applyAlignment="1">
      <alignment horizontal="center" vertical="center"/>
    </xf>
    <xf numFmtId="0" fontId="14" fillId="11" borderId="184" xfId="5" applyFont="1" applyFill="1" applyBorder="1" applyAlignment="1">
      <alignment horizontal="center" vertical="center"/>
    </xf>
    <xf numFmtId="0" fontId="14" fillId="11" borderId="185" xfId="5" applyFont="1" applyFill="1" applyBorder="1" applyAlignment="1">
      <alignment horizontal="center" vertical="center"/>
    </xf>
    <xf numFmtId="222" fontId="14" fillId="0" borderId="36" xfId="0" applyNumberFormat="1" applyFont="1" applyBorder="1">
      <alignment vertical="center"/>
    </xf>
    <xf numFmtId="222" fontId="14" fillId="0" borderId="53" xfId="0" applyNumberFormat="1" applyFont="1" applyBorder="1">
      <alignment vertical="center"/>
    </xf>
    <xf numFmtId="40" fontId="14" fillId="0" borderId="17" xfId="0" applyNumberFormat="1" applyFont="1" applyBorder="1" applyAlignment="1">
      <alignment horizontal="center" vertical="center" shrinkToFit="1"/>
    </xf>
    <xf numFmtId="40" fontId="14" fillId="0" borderId="16" xfId="0" applyNumberFormat="1" applyFont="1" applyBorder="1" applyAlignment="1">
      <alignment horizontal="center" vertical="center" shrinkToFit="1"/>
    </xf>
    <xf numFmtId="40" fontId="14" fillId="0" borderId="23" xfId="0" applyNumberFormat="1" applyFont="1" applyBorder="1" applyAlignment="1">
      <alignment horizontal="center" vertical="center" shrinkToFit="1"/>
    </xf>
    <xf numFmtId="180" fontId="14" fillId="0" borderId="36" xfId="0" applyFont="1" applyFill="1" applyBorder="1">
      <alignment vertical="center"/>
    </xf>
    <xf numFmtId="180" fontId="14" fillId="0" borderId="87" xfId="0" applyFont="1" applyFill="1" applyBorder="1">
      <alignment vertical="center"/>
    </xf>
    <xf numFmtId="0" fontId="0" fillId="3" borderId="36" xfId="5" applyFont="1" applyFill="1" applyBorder="1" applyAlignment="1">
      <alignment horizontal="center" vertical="center"/>
    </xf>
    <xf numFmtId="0" fontId="0" fillId="3" borderId="53" xfId="5" applyFont="1" applyFill="1" applyBorder="1" applyAlignment="1">
      <alignment horizontal="center" vertical="center"/>
    </xf>
    <xf numFmtId="0" fontId="14" fillId="0" borderId="19" xfId="5" applyFont="1" applyBorder="1">
      <alignment vertical="center"/>
    </xf>
    <xf numFmtId="0" fontId="14" fillId="0" borderId="29" xfId="5" applyFont="1" applyBorder="1">
      <alignment vertical="center"/>
    </xf>
    <xf numFmtId="222" fontId="14" fillId="0" borderId="87" xfId="0" applyNumberFormat="1" applyFont="1" applyBorder="1">
      <alignment vertical="center"/>
    </xf>
    <xf numFmtId="0" fontId="14" fillId="6" borderId="14" xfId="5" applyFont="1" applyFill="1" applyBorder="1" applyAlignment="1">
      <alignment horizontal="center" vertical="center" shrinkToFit="1"/>
    </xf>
    <xf numFmtId="0" fontId="14" fillId="6" borderId="13" xfId="5" applyFont="1" applyFill="1" applyBorder="1" applyAlignment="1">
      <alignment horizontal="center" vertical="center" shrinkToFit="1"/>
    </xf>
    <xf numFmtId="0" fontId="14" fillId="6" borderId="15" xfId="5" applyFont="1" applyFill="1" applyBorder="1" applyAlignment="1">
      <alignment horizontal="center" vertical="center" shrinkToFit="1"/>
    </xf>
    <xf numFmtId="0" fontId="0" fillId="3" borderId="87" xfId="5" applyFont="1" applyFill="1" applyBorder="1" applyAlignment="1">
      <alignment horizontal="center" vertical="center"/>
    </xf>
    <xf numFmtId="40" fontId="14" fillId="0" borderId="40" xfId="0" applyNumberFormat="1" applyFont="1" applyBorder="1" applyAlignment="1">
      <alignment horizontal="center" vertical="center" shrinkToFit="1"/>
    </xf>
    <xf numFmtId="40" fontId="14" fillId="0" borderId="38" xfId="0" applyNumberFormat="1" applyFont="1" applyBorder="1" applyAlignment="1">
      <alignment horizontal="center" vertical="center" shrinkToFit="1"/>
    </xf>
    <xf numFmtId="40" fontId="14" fillId="0" borderId="39" xfId="0" applyNumberFormat="1" applyFont="1" applyBorder="1" applyAlignment="1">
      <alignment horizontal="center" vertical="center" shrinkToFit="1"/>
    </xf>
    <xf numFmtId="40" fontId="14" fillId="4" borderId="22" xfId="0" applyNumberFormat="1" applyFont="1" applyFill="1" applyBorder="1">
      <alignment vertical="center"/>
    </xf>
    <xf numFmtId="0" fontId="14" fillId="0" borderId="19" xfId="5" applyFont="1" applyBorder="1" applyAlignment="1">
      <alignment vertical="center" wrapText="1"/>
    </xf>
    <xf numFmtId="0" fontId="14" fillId="0" borderId="29" xfId="5" applyFont="1" applyBorder="1" applyAlignment="1">
      <alignment vertical="center" wrapText="1"/>
    </xf>
    <xf numFmtId="0" fontId="14" fillId="0" borderId="25" xfId="5" applyFont="1" applyBorder="1" applyAlignment="1">
      <alignment vertical="center" wrapText="1"/>
    </xf>
    <xf numFmtId="0" fontId="14" fillId="4" borderId="1" xfId="5" applyFont="1" applyFill="1" applyBorder="1">
      <alignment vertical="center"/>
    </xf>
    <xf numFmtId="0" fontId="14" fillId="4" borderId="7" xfId="5" applyFont="1" applyFill="1" applyBorder="1">
      <alignment vertical="center"/>
    </xf>
    <xf numFmtId="0" fontId="14" fillId="0" borderId="25" xfId="5" applyFont="1" applyBorder="1">
      <alignment vertical="center"/>
    </xf>
    <xf numFmtId="40" fontId="14" fillId="0" borderId="87" xfId="0" applyNumberFormat="1" applyFont="1" applyBorder="1" applyAlignment="1">
      <alignment horizontal="center" vertical="center"/>
    </xf>
    <xf numFmtId="0" fontId="14" fillId="4" borderId="22" xfId="5" applyFont="1" applyFill="1" applyBorder="1">
      <alignment vertical="center"/>
    </xf>
    <xf numFmtId="180" fontId="14" fillId="0" borderId="53" xfId="0" applyFont="1" applyFill="1" applyBorder="1">
      <alignment vertical="center"/>
    </xf>
    <xf numFmtId="40" fontId="14" fillId="0" borderId="53" xfId="0" applyNumberFormat="1" applyFont="1" applyBorder="1" applyAlignment="1">
      <alignment horizontal="center" vertical="center"/>
    </xf>
    <xf numFmtId="0" fontId="14" fillId="0" borderId="19" xfId="5" applyFont="1" applyFill="1" applyBorder="1" applyAlignment="1">
      <alignment vertical="center" wrapText="1" shrinkToFit="1"/>
    </xf>
    <xf numFmtId="0" fontId="14" fillId="0" borderId="25" xfId="5" applyFont="1" applyFill="1" applyBorder="1" applyAlignment="1">
      <alignment vertical="center" wrapText="1" shrinkToFit="1"/>
    </xf>
    <xf numFmtId="0" fontId="12" fillId="3" borderId="1" xfId="5" applyFont="1" applyFill="1" applyBorder="1">
      <alignment vertical="center"/>
    </xf>
    <xf numFmtId="0" fontId="12" fillId="3" borderId="2" xfId="5" applyFont="1" applyFill="1" applyBorder="1">
      <alignment vertical="center"/>
    </xf>
    <xf numFmtId="0" fontId="12" fillId="3" borderId="19" xfId="5" applyFont="1" applyFill="1" applyBorder="1">
      <alignment vertical="center"/>
    </xf>
    <xf numFmtId="0" fontId="12" fillId="3" borderId="22" xfId="5" applyFont="1" applyFill="1" applyBorder="1">
      <alignment vertical="center"/>
    </xf>
    <xf numFmtId="0" fontId="12" fillId="3" borderId="0" xfId="5" applyFont="1" applyFill="1" applyBorder="1">
      <alignment vertical="center"/>
    </xf>
    <xf numFmtId="0" fontId="12" fillId="3" borderId="29" xfId="5" applyFont="1" applyFill="1" applyBorder="1">
      <alignment vertical="center"/>
    </xf>
    <xf numFmtId="0" fontId="12" fillId="3" borderId="7" xfId="5" applyFont="1" applyFill="1" applyBorder="1">
      <alignment vertical="center"/>
    </xf>
    <xf numFmtId="0" fontId="12" fillId="3" borderId="8" xfId="5" applyFont="1" applyFill="1" applyBorder="1">
      <alignment vertical="center"/>
    </xf>
    <xf numFmtId="0" fontId="12" fillId="3" borderId="25" xfId="5" applyFont="1" applyFill="1" applyBorder="1">
      <alignment vertical="center"/>
    </xf>
    <xf numFmtId="0" fontId="0" fillId="3" borderId="20" xfId="5" applyFont="1" applyFill="1" applyBorder="1" applyAlignment="1">
      <alignment horizontal="center" vertical="center" wrapText="1"/>
    </xf>
    <xf numFmtId="40" fontId="14" fillId="0" borderId="36" xfId="0" applyNumberFormat="1" applyFont="1" applyFill="1" applyBorder="1" applyAlignment="1">
      <alignment horizontal="center" vertical="center"/>
    </xf>
    <xf numFmtId="40" fontId="14" fillId="0" borderId="87" xfId="0" applyNumberFormat="1" applyFont="1" applyFill="1" applyBorder="1" applyAlignment="1">
      <alignment horizontal="center" vertical="center"/>
    </xf>
    <xf numFmtId="40" fontId="14" fillId="0" borderId="53" xfId="0" applyNumberFormat="1" applyFont="1" applyFill="1" applyBorder="1" applyAlignment="1">
      <alignment horizontal="center" vertical="center"/>
    </xf>
    <xf numFmtId="0" fontId="14" fillId="0" borderId="26" xfId="5" applyNumberFormat="1" applyFont="1" applyFill="1" applyBorder="1" applyAlignment="1">
      <alignment horizontal="center" vertical="center" shrinkToFit="1"/>
    </xf>
    <xf numFmtId="0" fontId="14" fillId="0" borderId="27" xfId="5" applyNumberFormat="1" applyFont="1" applyFill="1" applyBorder="1" applyAlignment="1">
      <alignment horizontal="center" vertical="center" shrinkToFit="1"/>
    </xf>
    <xf numFmtId="0" fontId="14" fillId="0" borderId="28" xfId="5" applyNumberFormat="1" applyFont="1" applyFill="1" applyBorder="1" applyAlignment="1">
      <alignment horizontal="center" vertical="center" shrinkToFit="1"/>
    </xf>
    <xf numFmtId="0" fontId="12" fillId="3" borderId="36" xfId="5" applyFont="1" applyFill="1" applyBorder="1">
      <alignment vertical="center"/>
    </xf>
    <xf numFmtId="0" fontId="12" fillId="3" borderId="87" xfId="5" applyFont="1" applyFill="1" applyBorder="1">
      <alignment vertical="center"/>
    </xf>
    <xf numFmtId="0" fontId="12" fillId="3" borderId="53" xfId="5" applyFont="1" applyFill="1" applyBorder="1">
      <alignment vertical="center"/>
    </xf>
    <xf numFmtId="0" fontId="12" fillId="3" borderId="1" xfId="5" applyFont="1" applyFill="1" applyBorder="1" applyAlignment="1">
      <alignment horizontal="center" vertical="center"/>
    </xf>
    <xf numFmtId="180" fontId="0" fillId="3" borderId="19" xfId="0" applyFont="1" applyFill="1" applyBorder="1" applyAlignment="1">
      <alignment horizontal="center" vertical="center"/>
    </xf>
    <xf numFmtId="180" fontId="0" fillId="3" borderId="22" xfId="0" applyFont="1" applyFill="1" applyBorder="1" applyAlignment="1">
      <alignment horizontal="center" vertical="center"/>
    </xf>
    <xf numFmtId="180" fontId="0" fillId="3" borderId="29" xfId="0" applyFont="1" applyFill="1" applyBorder="1" applyAlignment="1">
      <alignment horizontal="center" vertical="center"/>
    </xf>
    <xf numFmtId="180" fontId="0" fillId="3" borderId="25" xfId="0" applyFont="1" applyFill="1" applyBorder="1" applyAlignment="1">
      <alignment horizontal="center" vertical="center"/>
    </xf>
    <xf numFmtId="0" fontId="12" fillId="3" borderId="1" xfId="5" applyFont="1" applyFill="1" applyBorder="1" applyAlignment="1">
      <alignment horizontal="left" vertical="center"/>
    </xf>
    <xf numFmtId="0" fontId="12" fillId="3" borderId="210" xfId="5" applyFont="1" applyFill="1" applyBorder="1" applyAlignment="1">
      <alignment horizontal="left" vertical="center"/>
    </xf>
    <xf numFmtId="0" fontId="12" fillId="3" borderId="183" xfId="5" applyFont="1" applyFill="1" applyBorder="1" applyAlignment="1">
      <alignment horizontal="left" vertical="center"/>
    </xf>
    <xf numFmtId="0" fontId="12" fillId="3" borderId="22" xfId="5" applyFont="1" applyFill="1" applyBorder="1" applyAlignment="1">
      <alignment horizontal="left" vertical="center"/>
    </xf>
    <xf numFmtId="0" fontId="12" fillId="3" borderId="0" xfId="5" applyFont="1" applyFill="1" applyBorder="1" applyAlignment="1">
      <alignment horizontal="left" vertical="center"/>
    </xf>
    <xf numFmtId="0" fontId="12" fillId="3" borderId="174" xfId="5" applyFont="1" applyFill="1" applyBorder="1" applyAlignment="1">
      <alignment horizontal="left" vertical="center"/>
    </xf>
    <xf numFmtId="0" fontId="12" fillId="3" borderId="184" xfId="5" applyFont="1" applyFill="1" applyBorder="1" applyAlignment="1">
      <alignment horizontal="left" vertical="center"/>
    </xf>
    <xf numFmtId="0" fontId="12" fillId="3" borderId="199" xfId="5" applyFont="1" applyFill="1" applyBorder="1" applyAlignment="1">
      <alignment horizontal="left" vertical="center"/>
    </xf>
    <xf numFmtId="0" fontId="12" fillId="3" borderId="185" xfId="5" applyFont="1" applyFill="1" applyBorder="1" applyAlignment="1">
      <alignment horizontal="left" vertical="center"/>
    </xf>
    <xf numFmtId="0" fontId="12" fillId="3" borderId="1" xfId="5" applyFont="1" applyFill="1" applyBorder="1" applyAlignment="1">
      <alignment vertical="center"/>
    </xf>
    <xf numFmtId="180" fontId="0" fillId="3" borderId="2" xfId="0" applyFont="1" applyFill="1" applyBorder="1" applyAlignment="1">
      <alignment vertical="center"/>
    </xf>
    <xf numFmtId="180" fontId="0" fillId="3" borderId="19" xfId="0" applyFont="1" applyFill="1" applyBorder="1" applyAlignment="1">
      <alignment vertical="center"/>
    </xf>
    <xf numFmtId="180" fontId="0" fillId="3" borderId="22" xfId="0" applyFont="1" applyFill="1" applyBorder="1" applyAlignment="1">
      <alignment vertical="center"/>
    </xf>
    <xf numFmtId="180" fontId="0" fillId="3" borderId="0" xfId="0" applyFont="1" applyFill="1" applyBorder="1" applyAlignment="1">
      <alignment vertical="center"/>
    </xf>
    <xf numFmtId="180" fontId="0" fillId="3" borderId="29" xfId="0" applyFont="1" applyFill="1" applyBorder="1" applyAlignment="1">
      <alignment vertical="center"/>
    </xf>
    <xf numFmtId="180" fontId="0" fillId="3" borderId="0" xfId="0" applyFont="1" applyFill="1" applyAlignment="1">
      <alignment vertical="center"/>
    </xf>
    <xf numFmtId="180" fontId="0" fillId="3" borderId="7" xfId="0" applyFont="1" applyFill="1" applyBorder="1" applyAlignment="1">
      <alignment vertical="center"/>
    </xf>
    <xf numFmtId="180" fontId="0" fillId="3" borderId="8" xfId="0" applyFont="1" applyFill="1" applyBorder="1" applyAlignment="1">
      <alignment vertical="center"/>
    </xf>
    <xf numFmtId="180" fontId="0" fillId="3" borderId="25" xfId="0" applyFont="1" applyFill="1" applyBorder="1" applyAlignment="1">
      <alignment vertical="center"/>
    </xf>
    <xf numFmtId="0" fontId="10" fillId="11" borderId="36" xfId="5" applyFont="1" applyFill="1" applyBorder="1" applyAlignment="1">
      <alignment horizontal="center" vertical="center" textRotation="255" shrinkToFit="1"/>
    </xf>
    <xf numFmtId="0" fontId="10" fillId="11" borderId="87" xfId="5" applyFont="1" applyFill="1" applyBorder="1" applyAlignment="1">
      <alignment horizontal="center" vertical="center" textRotation="255" shrinkToFit="1"/>
    </xf>
    <xf numFmtId="0" fontId="10" fillId="11" borderId="53" xfId="5" applyFont="1" applyFill="1" applyBorder="1" applyAlignment="1">
      <alignment horizontal="center" vertical="center" textRotation="255" shrinkToFit="1"/>
    </xf>
    <xf numFmtId="0" fontId="12" fillId="3" borderId="2" xfId="5" applyFont="1" applyFill="1" applyBorder="1" applyAlignment="1">
      <alignment horizontal="left" vertical="center"/>
    </xf>
    <xf numFmtId="0" fontId="12" fillId="3" borderId="19" xfId="5" applyFont="1" applyFill="1" applyBorder="1" applyAlignment="1">
      <alignment horizontal="left" vertical="center"/>
    </xf>
    <xf numFmtId="0" fontId="45" fillId="0" borderId="22" xfId="8" applyBorder="1" applyAlignment="1">
      <alignment horizontal="left" vertical="center"/>
    </xf>
    <xf numFmtId="0" fontId="45" fillId="0" borderId="0" xfId="8" applyBorder="1" applyAlignment="1">
      <alignment horizontal="left" vertical="center"/>
    </xf>
    <xf numFmtId="0" fontId="45" fillId="0" borderId="174" xfId="8" applyBorder="1" applyAlignment="1">
      <alignment horizontal="left" vertical="center"/>
    </xf>
    <xf numFmtId="0" fontId="12" fillId="3" borderId="1" xfId="5" applyFont="1" applyFill="1" applyBorder="1" applyAlignment="1">
      <alignment horizontal="left" vertical="center" wrapText="1"/>
    </xf>
    <xf numFmtId="0" fontId="12" fillId="3" borderId="2" xfId="5" applyFont="1" applyFill="1" applyBorder="1" applyAlignment="1">
      <alignment horizontal="left" vertical="center" wrapText="1"/>
    </xf>
    <xf numFmtId="0" fontId="12" fillId="3" borderId="19" xfId="5" applyFont="1" applyFill="1" applyBorder="1" applyAlignment="1">
      <alignment horizontal="left" vertical="center" wrapText="1"/>
    </xf>
    <xf numFmtId="0" fontId="12" fillId="3" borderId="22" xfId="5" applyFont="1" applyFill="1" applyBorder="1" applyAlignment="1">
      <alignment horizontal="left" vertical="center" wrapText="1"/>
    </xf>
    <xf numFmtId="0" fontId="12" fillId="3" borderId="0" xfId="5" applyFont="1" applyFill="1" applyBorder="1" applyAlignment="1">
      <alignment horizontal="left" vertical="center" wrapText="1"/>
    </xf>
    <xf numFmtId="0" fontId="12" fillId="3" borderId="174" xfId="5" applyFont="1" applyFill="1" applyBorder="1" applyAlignment="1">
      <alignment horizontal="left" vertical="center" wrapText="1"/>
    </xf>
    <xf numFmtId="0" fontId="12" fillId="3" borderId="7" xfId="5" applyFont="1" applyFill="1" applyBorder="1" applyAlignment="1">
      <alignment horizontal="left" vertical="center" wrapText="1"/>
    </xf>
    <xf numFmtId="0" fontId="12" fillId="3" borderId="8" xfId="5" applyFont="1" applyFill="1" applyBorder="1" applyAlignment="1">
      <alignment horizontal="left" vertical="center" wrapText="1"/>
    </xf>
    <xf numFmtId="0" fontId="12" fillId="3" borderId="25" xfId="5" applyFont="1" applyFill="1" applyBorder="1" applyAlignment="1">
      <alignment horizontal="left" vertical="center" wrapText="1"/>
    </xf>
    <xf numFmtId="0" fontId="12" fillId="3" borderId="7" xfId="5" applyFont="1" applyFill="1" applyBorder="1" applyAlignment="1">
      <alignment horizontal="left" vertical="center"/>
    </xf>
    <xf numFmtId="0" fontId="12" fillId="3" borderId="8" xfId="5" applyFont="1" applyFill="1" applyBorder="1" applyAlignment="1">
      <alignment horizontal="left" vertical="center"/>
    </xf>
    <xf numFmtId="0" fontId="12" fillId="3" borderId="25" xfId="5" applyFont="1" applyFill="1" applyBorder="1" applyAlignment="1">
      <alignment horizontal="left" vertical="center"/>
    </xf>
    <xf numFmtId="0" fontId="12" fillId="3" borderId="1" xfId="5" applyFont="1" applyFill="1" applyBorder="1" applyAlignment="1">
      <alignment vertical="center" wrapText="1"/>
    </xf>
    <xf numFmtId="0" fontId="12" fillId="3" borderId="19" xfId="5" applyFont="1" applyFill="1" applyBorder="1" applyAlignment="1">
      <alignment vertical="center" wrapText="1"/>
    </xf>
    <xf numFmtId="0" fontId="12" fillId="3" borderId="22" xfId="5" applyFont="1" applyFill="1" applyBorder="1" applyAlignment="1">
      <alignment vertical="center" wrapText="1"/>
    </xf>
    <xf numFmtId="0" fontId="12" fillId="3" borderId="174" xfId="5" applyFont="1" applyFill="1" applyBorder="1" applyAlignment="1">
      <alignment vertical="center" wrapText="1"/>
    </xf>
    <xf numFmtId="0" fontId="12" fillId="3" borderId="7" xfId="5" applyFont="1" applyFill="1" applyBorder="1" applyAlignment="1">
      <alignment vertical="center" wrapText="1"/>
    </xf>
    <xf numFmtId="0" fontId="12" fillId="3" borderId="25" xfId="5" applyFont="1" applyFill="1" applyBorder="1" applyAlignment="1">
      <alignment vertical="center" wrapText="1"/>
    </xf>
    <xf numFmtId="0" fontId="12" fillId="3" borderId="1" xfId="5" applyFont="1" applyFill="1" applyBorder="1" applyAlignment="1">
      <alignment horizontal="center" vertical="center" wrapText="1"/>
    </xf>
    <xf numFmtId="0" fontId="12" fillId="3" borderId="2" xfId="5" applyFont="1" applyFill="1" applyBorder="1" applyAlignment="1">
      <alignment horizontal="center" vertical="center" wrapText="1"/>
    </xf>
    <xf numFmtId="0" fontId="12" fillId="3" borderId="22" xfId="5" applyFont="1" applyFill="1" applyBorder="1" applyAlignment="1">
      <alignment horizontal="center" vertical="center" wrapText="1"/>
    </xf>
    <xf numFmtId="0" fontId="12" fillId="3" borderId="0" xfId="5" applyFont="1" applyFill="1" applyBorder="1" applyAlignment="1">
      <alignment horizontal="center" vertical="center" wrapText="1"/>
    </xf>
    <xf numFmtId="0" fontId="12" fillId="3" borderId="7" xfId="5" applyFont="1" applyFill="1" applyBorder="1" applyAlignment="1">
      <alignment horizontal="center" vertical="center" wrapText="1"/>
    </xf>
    <xf numFmtId="0" fontId="12" fillId="3" borderId="8" xfId="5" applyFont="1" applyFill="1" applyBorder="1" applyAlignment="1">
      <alignment horizontal="center" vertical="center" wrapText="1"/>
    </xf>
    <xf numFmtId="38" fontId="14" fillId="9" borderId="115" xfId="2" applyFont="1" applyFill="1" applyBorder="1" applyAlignment="1">
      <alignment horizontal="center" vertical="center"/>
    </xf>
    <xf numFmtId="38" fontId="14" fillId="9" borderId="178" xfId="2" applyFont="1" applyFill="1" applyBorder="1" applyAlignment="1">
      <alignment horizontal="center" vertical="center"/>
    </xf>
    <xf numFmtId="0" fontId="12" fillId="3" borderId="19" xfId="5" applyFont="1" applyFill="1" applyBorder="1" applyAlignment="1">
      <alignment vertical="center"/>
    </xf>
    <xf numFmtId="0" fontId="12" fillId="3" borderId="22" xfId="5" applyFont="1" applyFill="1" applyBorder="1" applyAlignment="1">
      <alignment vertical="center"/>
    </xf>
    <xf numFmtId="0" fontId="12" fillId="3" borderId="174" xfId="5" applyFont="1" applyFill="1" applyBorder="1" applyAlignment="1">
      <alignment vertical="center"/>
    </xf>
    <xf numFmtId="0" fontId="12" fillId="3" borderId="7" xfId="5" applyFont="1" applyFill="1" applyBorder="1" applyAlignment="1">
      <alignment vertical="center"/>
    </xf>
    <xf numFmtId="0" fontId="12" fillId="3" borderId="25" xfId="5" applyFont="1" applyFill="1" applyBorder="1" applyAlignment="1">
      <alignment vertical="center"/>
    </xf>
    <xf numFmtId="0" fontId="12" fillId="3" borderId="3" xfId="5" applyFont="1" applyFill="1" applyBorder="1">
      <alignment vertical="center"/>
    </xf>
    <xf numFmtId="0" fontId="12" fillId="3" borderId="4" xfId="5" applyFont="1" applyFill="1" applyBorder="1">
      <alignment vertical="center"/>
    </xf>
    <xf numFmtId="0" fontId="12" fillId="3" borderId="5" xfId="5" applyFont="1" applyFill="1" applyBorder="1">
      <alignment vertical="center"/>
    </xf>
    <xf numFmtId="0" fontId="12" fillId="3" borderId="210" xfId="5" applyFont="1" applyFill="1" applyBorder="1" applyAlignment="1">
      <alignment horizontal="left" vertical="center" wrapText="1"/>
    </xf>
    <xf numFmtId="0" fontId="12" fillId="3" borderId="183" xfId="5" applyFont="1" applyFill="1" applyBorder="1" applyAlignment="1">
      <alignment horizontal="left" vertical="center" wrapText="1"/>
    </xf>
    <xf numFmtId="0" fontId="12" fillId="3" borderId="184" xfId="5" applyFont="1" applyFill="1" applyBorder="1" applyAlignment="1">
      <alignment horizontal="left" vertical="center" wrapText="1"/>
    </xf>
    <xf numFmtId="0" fontId="12" fillId="3" borderId="199" xfId="5" applyFont="1" applyFill="1" applyBorder="1" applyAlignment="1">
      <alignment horizontal="left" vertical="center" wrapText="1"/>
    </xf>
    <xf numFmtId="0" fontId="12" fillId="3" borderId="185" xfId="5" applyFont="1" applyFill="1" applyBorder="1" applyAlignment="1">
      <alignment horizontal="left" vertical="center" wrapText="1"/>
    </xf>
    <xf numFmtId="0" fontId="10" fillId="3" borderId="36" xfId="5" applyFont="1" applyFill="1" applyBorder="1" applyAlignment="1">
      <alignment horizontal="center" vertical="center" textRotation="255" shrinkToFit="1"/>
    </xf>
    <xf numFmtId="0" fontId="10" fillId="3" borderId="87" xfId="5" applyFont="1" applyFill="1" applyBorder="1" applyAlignment="1">
      <alignment horizontal="center" vertical="center" textRotation="255" shrinkToFit="1"/>
    </xf>
    <xf numFmtId="0" fontId="10" fillId="3" borderId="180" xfId="5" applyFont="1" applyFill="1" applyBorder="1" applyAlignment="1">
      <alignment horizontal="center" vertical="center" textRotation="255" shrinkToFit="1"/>
    </xf>
    <xf numFmtId="234" fontId="14" fillId="9" borderId="14" xfId="5" applyNumberFormat="1" applyFont="1" applyFill="1" applyBorder="1" applyAlignment="1">
      <alignment horizontal="center" vertical="center" shrinkToFit="1"/>
    </xf>
    <xf numFmtId="234" fontId="14" fillId="9" borderId="13" xfId="5" applyNumberFormat="1" applyFont="1" applyFill="1" applyBorder="1" applyAlignment="1">
      <alignment horizontal="center" vertical="center" shrinkToFit="1"/>
    </xf>
    <xf numFmtId="234" fontId="14" fillId="9" borderId="15" xfId="5" applyNumberFormat="1" applyFont="1" applyFill="1" applyBorder="1" applyAlignment="1">
      <alignment horizontal="center" vertical="center" shrinkToFit="1"/>
    </xf>
    <xf numFmtId="0" fontId="14" fillId="0" borderId="174" xfId="5" applyFont="1" applyBorder="1">
      <alignment vertical="center"/>
    </xf>
    <xf numFmtId="40" fontId="14" fillId="0" borderId="36" xfId="8" applyNumberFormat="1" applyFont="1" applyBorder="1" applyAlignment="1">
      <alignment horizontal="center" vertical="center"/>
    </xf>
    <xf numFmtId="40" fontId="14" fillId="0" borderId="53" xfId="8" applyNumberFormat="1" applyFont="1" applyBorder="1" applyAlignment="1">
      <alignment horizontal="center" vertical="center"/>
    </xf>
    <xf numFmtId="0" fontId="10" fillId="3" borderId="36" xfId="5" applyFont="1" applyFill="1" applyBorder="1" applyAlignment="1">
      <alignment horizontal="center" vertical="center" wrapText="1"/>
    </xf>
    <xf numFmtId="0" fontId="10" fillId="3" borderId="87" xfId="5" applyFont="1" applyFill="1" applyBorder="1" applyAlignment="1">
      <alignment horizontal="center" vertical="center"/>
    </xf>
    <xf numFmtId="0" fontId="10" fillId="3" borderId="36" xfId="5" applyFont="1" applyFill="1" applyBorder="1" applyAlignment="1">
      <alignment horizontal="center" vertical="center"/>
    </xf>
    <xf numFmtId="0" fontId="10" fillId="3" borderId="2" xfId="5" applyFont="1" applyFill="1" applyBorder="1" applyAlignment="1">
      <alignment horizontal="center" vertical="center"/>
    </xf>
    <xf numFmtId="0" fontId="10" fillId="3" borderId="0" xfId="5" applyFont="1" applyFill="1" applyBorder="1" applyAlignment="1">
      <alignment horizontal="center" vertical="center"/>
    </xf>
    <xf numFmtId="0" fontId="10" fillId="3" borderId="1" xfId="5" applyFont="1" applyFill="1" applyBorder="1" applyAlignment="1">
      <alignment horizontal="center" vertical="center"/>
    </xf>
    <xf numFmtId="0" fontId="10" fillId="3" borderId="19" xfId="5" applyFont="1" applyFill="1" applyBorder="1" applyAlignment="1">
      <alignment horizontal="center" vertical="center"/>
    </xf>
    <xf numFmtId="0" fontId="10" fillId="3" borderId="22" xfId="5" applyFont="1" applyFill="1" applyBorder="1" applyAlignment="1">
      <alignment horizontal="center" vertical="center"/>
    </xf>
    <xf numFmtId="0" fontId="10" fillId="3" borderId="29" xfId="5" applyFont="1" applyFill="1" applyBorder="1" applyAlignment="1">
      <alignment horizontal="center" vertical="center"/>
    </xf>
    <xf numFmtId="40" fontId="14" fillId="0" borderId="143" xfId="0" applyNumberFormat="1" applyFont="1" applyBorder="1" applyAlignment="1">
      <alignment horizontal="center" vertical="center" shrinkToFit="1"/>
    </xf>
    <xf numFmtId="40" fontId="14" fillId="0" borderId="144" xfId="0" applyNumberFormat="1" applyFont="1" applyBorder="1" applyAlignment="1">
      <alignment horizontal="center" vertical="center" shrinkToFit="1"/>
    </xf>
    <xf numFmtId="40" fontId="14" fillId="0" borderId="145" xfId="0" applyNumberFormat="1" applyFont="1" applyBorder="1" applyAlignment="1">
      <alignment horizontal="center" vertical="center" shrinkToFit="1"/>
    </xf>
    <xf numFmtId="0" fontId="14" fillId="6" borderId="48" xfId="5" applyFont="1" applyFill="1" applyBorder="1" applyAlignment="1">
      <alignment horizontal="center" vertical="center" shrinkToFit="1"/>
    </xf>
    <xf numFmtId="0" fontId="14" fillId="6" borderId="49" xfId="5" applyFont="1" applyFill="1" applyBorder="1" applyAlignment="1">
      <alignment horizontal="center" vertical="center" shrinkToFit="1"/>
    </xf>
    <xf numFmtId="0" fontId="14" fillId="6" borderId="50" xfId="5" applyFont="1" applyFill="1" applyBorder="1" applyAlignment="1">
      <alignment horizontal="center" vertical="center" shrinkToFit="1"/>
    </xf>
    <xf numFmtId="205" fontId="14" fillId="4" borderId="14" xfId="5" applyNumberFormat="1" applyFont="1" applyFill="1" applyBorder="1" applyAlignment="1">
      <alignment horizontal="center" vertical="center" shrinkToFit="1"/>
    </xf>
    <xf numFmtId="205" fontId="14" fillId="4" borderId="13" xfId="5" applyNumberFormat="1" applyFont="1" applyFill="1" applyBorder="1" applyAlignment="1">
      <alignment horizontal="center" vertical="center" shrinkToFit="1"/>
    </xf>
    <xf numFmtId="205" fontId="14" fillId="4" borderId="15" xfId="5" applyNumberFormat="1" applyFont="1" applyFill="1" applyBorder="1" applyAlignment="1">
      <alignment horizontal="center" vertical="center" shrinkToFit="1"/>
    </xf>
    <xf numFmtId="186" fontId="14" fillId="4" borderId="14" xfId="5" applyNumberFormat="1" applyFont="1" applyFill="1" applyBorder="1" applyAlignment="1">
      <alignment horizontal="center" vertical="center" shrinkToFit="1"/>
    </xf>
    <xf numFmtId="186" fontId="14" fillId="4" borderId="13" xfId="5" applyNumberFormat="1" applyFont="1" applyFill="1" applyBorder="1" applyAlignment="1">
      <alignment horizontal="center" vertical="center" shrinkToFit="1"/>
    </xf>
    <xf numFmtId="186" fontId="14" fillId="4" borderId="15" xfId="5" applyNumberFormat="1" applyFont="1" applyFill="1" applyBorder="1" applyAlignment="1">
      <alignment horizontal="center" vertical="center" shrinkToFit="1"/>
    </xf>
    <xf numFmtId="0" fontId="14" fillId="0" borderId="19" xfId="5" applyFont="1" applyFill="1" applyBorder="1" applyAlignment="1">
      <alignment vertical="center" wrapText="1"/>
    </xf>
    <xf numFmtId="0" fontId="14" fillId="0" borderId="29" xfId="5" applyFont="1" applyFill="1" applyBorder="1" applyAlignment="1">
      <alignment vertical="center" wrapText="1"/>
    </xf>
    <xf numFmtId="222" fontId="14" fillId="0" borderId="36" xfId="8" applyNumberFormat="1" applyFont="1" applyBorder="1" applyAlignment="1">
      <alignment vertical="center"/>
    </xf>
    <xf numFmtId="222" fontId="14" fillId="0" borderId="87" xfId="8" applyNumberFormat="1" applyFont="1" applyBorder="1" applyAlignment="1">
      <alignment vertical="center"/>
    </xf>
    <xf numFmtId="222" fontId="63" fillId="0" borderId="87" xfId="8" applyNumberFormat="1" applyFont="1" applyBorder="1" applyAlignment="1">
      <alignment vertical="center"/>
    </xf>
    <xf numFmtId="222" fontId="14" fillId="0" borderId="36" xfId="8" applyNumberFormat="1" applyFont="1" applyBorder="1">
      <alignment vertical="center"/>
    </xf>
    <xf numFmtId="222" fontId="14" fillId="0" borderId="53" xfId="8" applyNumberFormat="1" applyFont="1" applyBorder="1">
      <alignment vertical="center"/>
    </xf>
    <xf numFmtId="0" fontId="14" fillId="9" borderId="1" xfId="5" applyFont="1" applyFill="1" applyBorder="1">
      <alignment vertical="center"/>
    </xf>
    <xf numFmtId="0" fontId="14" fillId="9" borderId="7" xfId="5" applyFont="1" applyFill="1" applyBorder="1">
      <alignment vertical="center"/>
    </xf>
    <xf numFmtId="0" fontId="14" fillId="0" borderId="19" xfId="5" applyFont="1" applyBorder="1" applyAlignment="1">
      <alignment vertical="center" shrinkToFit="1"/>
    </xf>
    <xf numFmtId="0" fontId="14" fillId="0" borderId="25" xfId="5" applyFont="1" applyBorder="1" applyAlignment="1">
      <alignment vertical="center" shrinkToFit="1"/>
    </xf>
    <xf numFmtId="40" fontId="14" fillId="0" borderId="17" xfId="8" applyNumberFormat="1" applyFont="1" applyBorder="1" applyAlignment="1">
      <alignment horizontal="center" vertical="center" shrinkToFit="1"/>
    </xf>
    <xf numFmtId="40" fontId="14" fillId="0" borderId="16" xfId="8" applyNumberFormat="1" applyFont="1" applyBorder="1" applyAlignment="1">
      <alignment horizontal="center" vertical="center" shrinkToFit="1"/>
    </xf>
    <xf numFmtId="40" fontId="14" fillId="0" borderId="23" xfId="8" applyNumberFormat="1" applyFont="1" applyBorder="1" applyAlignment="1">
      <alignment horizontal="center" vertical="center" shrinkToFit="1"/>
    </xf>
    <xf numFmtId="0" fontId="14" fillId="0" borderId="19" xfId="5" applyFont="1" applyBorder="1" applyAlignment="1">
      <alignment vertical="center"/>
    </xf>
    <xf numFmtId="0" fontId="14" fillId="0" borderId="174" xfId="5" applyFont="1" applyBorder="1" applyAlignment="1">
      <alignment vertical="center"/>
    </xf>
    <xf numFmtId="0" fontId="63" fillId="0" borderId="174" xfId="8" applyFont="1" applyBorder="1" applyAlignment="1">
      <alignment vertical="center"/>
    </xf>
    <xf numFmtId="40" fontId="14" fillId="0" borderId="87" xfId="8" applyNumberFormat="1" applyFont="1" applyBorder="1" applyAlignment="1">
      <alignment horizontal="center" vertical="center"/>
    </xf>
    <xf numFmtId="0" fontId="63" fillId="0" borderId="87" xfId="8" applyFont="1" applyBorder="1" applyAlignment="1">
      <alignment vertical="center"/>
    </xf>
    <xf numFmtId="0" fontId="12" fillId="3" borderId="174" xfId="5" applyFont="1" applyFill="1" applyBorder="1">
      <alignment vertical="center"/>
    </xf>
    <xf numFmtId="184" fontId="14" fillId="0" borderId="19" xfId="2" applyNumberFormat="1" applyFont="1" applyFill="1" applyBorder="1" applyAlignment="1">
      <alignment vertical="center"/>
    </xf>
    <xf numFmtId="184" fontId="14" fillId="0" borderId="25" xfId="2" applyNumberFormat="1" applyFont="1" applyFill="1" applyBorder="1" applyAlignment="1">
      <alignment vertical="center"/>
    </xf>
    <xf numFmtId="0" fontId="34" fillId="0" borderId="1" xfId="5" applyFont="1" applyFill="1" applyBorder="1" applyAlignment="1">
      <alignment vertical="center" wrapText="1"/>
    </xf>
    <xf numFmtId="0" fontId="34" fillId="0" borderId="2" xfId="5" applyFont="1" applyFill="1" applyBorder="1" applyAlignment="1">
      <alignment vertical="center" wrapText="1"/>
    </xf>
    <xf numFmtId="0" fontId="34" fillId="0" borderId="19" xfId="5" applyFont="1" applyFill="1" applyBorder="1" applyAlignment="1">
      <alignment vertical="center" wrapText="1"/>
    </xf>
    <xf numFmtId="0" fontId="34" fillId="0" borderId="7" xfId="5" applyFont="1" applyFill="1" applyBorder="1" applyAlignment="1">
      <alignment vertical="center" wrapText="1"/>
    </xf>
    <xf numFmtId="0" fontId="34" fillId="0" borderId="8" xfId="5" applyFont="1" applyFill="1" applyBorder="1" applyAlignment="1">
      <alignment vertical="center" wrapText="1"/>
    </xf>
    <xf numFmtId="0" fontId="34" fillId="0" borderId="25" xfId="5" applyFont="1" applyFill="1" applyBorder="1" applyAlignment="1">
      <alignment vertical="center" wrapText="1"/>
    </xf>
    <xf numFmtId="0" fontId="0" fillId="3" borderId="82" xfId="5" applyFont="1" applyFill="1" applyBorder="1" applyAlignment="1">
      <alignment horizontal="center" vertical="center"/>
    </xf>
    <xf numFmtId="0" fontId="0" fillId="3" borderId="83" xfId="5" applyFont="1" applyFill="1" applyBorder="1" applyAlignment="1">
      <alignment horizontal="center" vertical="center"/>
    </xf>
    <xf numFmtId="184" fontId="14" fillId="0" borderId="36" xfId="2" applyNumberFormat="1" applyFont="1" applyFill="1" applyBorder="1">
      <alignment vertical="center"/>
    </xf>
    <xf numFmtId="184" fontId="14" fillId="0" borderId="53" xfId="2" applyNumberFormat="1" applyFont="1" applyFill="1" applyBorder="1">
      <alignment vertical="center"/>
    </xf>
    <xf numFmtId="0" fontId="14" fillId="0" borderId="19" xfId="5" applyFont="1" applyBorder="1" applyAlignment="1">
      <alignment vertical="center" wrapText="1" shrinkToFit="1"/>
    </xf>
    <xf numFmtId="0" fontId="14" fillId="0" borderId="25" xfId="5" applyFont="1" applyBorder="1" applyAlignment="1">
      <alignment vertical="center" wrapText="1" shrinkToFit="1"/>
    </xf>
    <xf numFmtId="0" fontId="47" fillId="0" borderId="0" xfId="5" applyFont="1" applyAlignment="1">
      <alignment vertical="center" wrapText="1"/>
    </xf>
    <xf numFmtId="0" fontId="10" fillId="3" borderId="22" xfId="5" applyFont="1" applyFill="1" applyBorder="1" applyAlignment="1">
      <alignment horizontal="center" vertical="center" textRotation="255" shrinkToFit="1"/>
    </xf>
    <xf numFmtId="0" fontId="10" fillId="3" borderId="7" xfId="5" applyFont="1" applyFill="1" applyBorder="1" applyAlignment="1">
      <alignment horizontal="center" vertical="center" textRotation="255" shrinkToFit="1"/>
    </xf>
    <xf numFmtId="0" fontId="12" fillId="3" borderId="79" xfId="5" applyFont="1" applyFill="1" applyBorder="1" applyAlignment="1">
      <alignment horizontal="center" vertical="center" textRotation="255"/>
    </xf>
    <xf numFmtId="0" fontId="12" fillId="3" borderId="80" xfId="5" applyFont="1" applyFill="1" applyBorder="1" applyAlignment="1">
      <alignment horizontal="center" vertical="center" textRotation="255"/>
    </xf>
    <xf numFmtId="0" fontId="12" fillId="3" borderId="83" xfId="5" applyFont="1" applyFill="1" applyBorder="1" applyAlignment="1">
      <alignment horizontal="center" vertical="center" textRotation="255"/>
    </xf>
    <xf numFmtId="0" fontId="12" fillId="3" borderId="82" xfId="5" applyFont="1" applyFill="1" applyBorder="1" applyAlignment="1">
      <alignment horizontal="center" vertical="center" textRotation="255"/>
    </xf>
    <xf numFmtId="0" fontId="10" fillId="3" borderId="182" xfId="5" applyFont="1" applyFill="1" applyBorder="1" applyAlignment="1">
      <alignment horizontal="center" vertical="center"/>
    </xf>
    <xf numFmtId="0" fontId="10" fillId="3" borderId="198" xfId="5" applyFont="1" applyFill="1" applyBorder="1" applyAlignment="1">
      <alignment horizontal="center" vertical="center"/>
    </xf>
    <xf numFmtId="0" fontId="10" fillId="3" borderId="183" xfId="5" applyFont="1" applyFill="1" applyBorder="1" applyAlignment="1">
      <alignment horizontal="center" vertical="center"/>
    </xf>
    <xf numFmtId="0" fontId="10" fillId="3" borderId="184" xfId="5" applyFont="1" applyFill="1" applyBorder="1" applyAlignment="1">
      <alignment horizontal="center" vertical="center"/>
    </xf>
    <xf numFmtId="0" fontId="10" fillId="3" borderId="199" xfId="5" applyFont="1" applyFill="1" applyBorder="1" applyAlignment="1">
      <alignment horizontal="center" vertical="center"/>
    </xf>
    <xf numFmtId="0" fontId="10" fillId="3" borderId="185" xfId="5" applyFont="1" applyFill="1" applyBorder="1" applyAlignment="1">
      <alignment horizontal="center" vertical="center"/>
    </xf>
    <xf numFmtId="0" fontId="14" fillId="4" borderId="1" xfId="5" applyFont="1" applyFill="1" applyBorder="1" applyAlignment="1">
      <alignment vertical="center"/>
    </xf>
    <xf numFmtId="0" fontId="14" fillId="4" borderId="22" xfId="5" applyFont="1" applyFill="1" applyBorder="1" applyAlignment="1">
      <alignment vertical="center"/>
    </xf>
    <xf numFmtId="0" fontId="63" fillId="0" borderId="22" xfId="8" applyFont="1" applyBorder="1" applyAlignment="1">
      <alignment vertical="center"/>
    </xf>
    <xf numFmtId="0" fontId="12" fillId="3" borderId="182" xfId="5" applyFont="1" applyFill="1" applyBorder="1" applyAlignment="1">
      <alignment horizontal="left" vertical="center"/>
    </xf>
    <xf numFmtId="178" fontId="3" fillId="3" borderId="35" xfId="3" applyNumberFormat="1" applyFont="1" applyFill="1" applyBorder="1" applyAlignment="1">
      <alignment horizontal="center" vertical="center"/>
    </xf>
    <xf numFmtId="178" fontId="3" fillId="3" borderId="23" xfId="3" applyNumberFormat="1" applyFont="1" applyFill="1" applyBorder="1" applyAlignment="1">
      <alignment horizontal="center" vertical="center"/>
    </xf>
    <xf numFmtId="178" fontId="3" fillId="3" borderId="34" xfId="3" applyNumberFormat="1" applyFont="1" applyFill="1" applyBorder="1" applyAlignment="1">
      <alignment horizontal="center" vertical="center"/>
    </xf>
    <xf numFmtId="178" fontId="3" fillId="3" borderId="17" xfId="3" applyNumberFormat="1" applyFont="1" applyFill="1" applyBorder="1" applyAlignment="1">
      <alignment horizontal="center" vertical="center"/>
    </xf>
    <xf numFmtId="178" fontId="0" fillId="3" borderId="14" xfId="3" applyNumberFormat="1" applyFont="1" applyFill="1" applyBorder="1" applyAlignment="1">
      <alignment horizontal="center" vertical="center"/>
    </xf>
    <xf numFmtId="178" fontId="0" fillId="3" borderId="13" xfId="3" applyNumberFormat="1" applyFont="1" applyFill="1" applyBorder="1" applyAlignment="1">
      <alignment horizontal="center" vertical="center"/>
    </xf>
    <xf numFmtId="178" fontId="0" fillId="3" borderId="15" xfId="3" applyNumberFormat="1" applyFont="1" applyFill="1" applyBorder="1" applyAlignment="1">
      <alignment horizontal="center" vertical="center"/>
    </xf>
    <xf numFmtId="180" fontId="49" fillId="0" borderId="17" xfId="0" applyFont="1" applyFill="1" applyBorder="1">
      <alignment vertical="center"/>
    </xf>
    <xf numFmtId="180" fontId="49" fillId="0" borderId="23" xfId="0" applyFont="1" applyFill="1" applyBorder="1">
      <alignment vertical="center"/>
    </xf>
    <xf numFmtId="180" fontId="49" fillId="0" borderId="26" xfId="0" applyFont="1" applyFill="1" applyBorder="1">
      <alignment vertical="center"/>
    </xf>
    <xf numFmtId="180" fontId="49" fillId="0" borderId="28" xfId="0" applyFont="1" applyFill="1" applyBorder="1">
      <alignment vertical="center"/>
    </xf>
    <xf numFmtId="180" fontId="24" fillId="3" borderId="36" xfId="0" applyFont="1" applyFill="1" applyBorder="1" applyAlignment="1">
      <alignment horizontal="center" vertical="center"/>
    </xf>
    <xf numFmtId="180" fontId="24" fillId="3" borderId="87" xfId="0" applyFont="1" applyFill="1" applyBorder="1" applyAlignment="1">
      <alignment horizontal="center" vertical="center"/>
    </xf>
    <xf numFmtId="180" fontId="24" fillId="3" borderId="53" xfId="0" applyFont="1" applyFill="1" applyBorder="1" applyAlignment="1">
      <alignment horizontal="center" vertical="center"/>
    </xf>
    <xf numFmtId="180" fontId="49" fillId="0" borderId="48" xfId="0" applyFont="1" applyFill="1" applyBorder="1">
      <alignment vertical="center"/>
    </xf>
    <xf numFmtId="180" fontId="49" fillId="0" borderId="50" xfId="0" applyFont="1" applyFill="1" applyBorder="1">
      <alignment vertical="center"/>
    </xf>
    <xf numFmtId="180" fontId="0" fillId="0" borderId="26" xfId="0" applyFill="1" applyBorder="1">
      <alignment vertical="center"/>
    </xf>
    <xf numFmtId="180" fontId="0" fillId="0" borderId="28" xfId="0" applyFill="1" applyBorder="1">
      <alignment vertical="center"/>
    </xf>
    <xf numFmtId="180" fontId="0" fillId="3" borderId="20" xfId="0" applyFill="1" applyBorder="1" applyAlignment="1">
      <alignment vertical="center" textRotation="255"/>
    </xf>
    <xf numFmtId="180" fontId="24" fillId="3" borderId="1" xfId="0" applyFont="1" applyFill="1" applyBorder="1" applyAlignment="1">
      <alignment horizontal="center" vertical="center"/>
    </xf>
    <xf numFmtId="180" fontId="24" fillId="3" borderId="19" xfId="0" applyFont="1" applyFill="1" applyBorder="1" applyAlignment="1">
      <alignment horizontal="center" vertical="center"/>
    </xf>
    <xf numFmtId="180" fontId="24" fillId="3" borderId="22" xfId="0" applyFont="1" applyFill="1" applyBorder="1" applyAlignment="1">
      <alignment horizontal="center" vertical="center"/>
    </xf>
    <xf numFmtId="180" fontId="24" fillId="3" borderId="29" xfId="0" applyFont="1" applyFill="1" applyBorder="1" applyAlignment="1">
      <alignment horizontal="center" vertical="center"/>
    </xf>
    <xf numFmtId="180" fontId="0" fillId="3" borderId="4" xfId="0" applyFill="1" applyBorder="1" applyAlignment="1">
      <alignment horizontal="center" vertical="center"/>
    </xf>
    <xf numFmtId="180" fontId="0" fillId="5" borderId="20" xfId="0" applyFill="1" applyBorder="1" applyAlignment="1">
      <alignment horizontal="center" vertical="center"/>
    </xf>
    <xf numFmtId="180" fontId="0" fillId="3" borderId="53" xfId="0" applyFill="1" applyBorder="1" applyAlignment="1">
      <alignment vertical="center" textRotation="255"/>
    </xf>
    <xf numFmtId="180" fontId="36" fillId="0" borderId="19" xfId="0" applyFont="1" applyBorder="1">
      <alignment vertical="center"/>
    </xf>
    <xf numFmtId="180" fontId="36" fillId="0" borderId="7" xfId="0" applyFont="1" applyBorder="1">
      <alignment vertical="center"/>
    </xf>
    <xf numFmtId="180" fontId="36" fillId="0" borderId="25" xfId="0" applyFont="1" applyBorder="1">
      <alignment vertical="center"/>
    </xf>
    <xf numFmtId="180" fontId="0" fillId="5" borderId="3" xfId="0" applyFill="1" applyBorder="1" applyAlignment="1">
      <alignment horizontal="center" vertical="center"/>
    </xf>
    <xf numFmtId="180" fontId="0" fillId="5" borderId="4" xfId="0" applyFill="1" applyBorder="1" applyAlignment="1">
      <alignment horizontal="center" vertical="center"/>
    </xf>
    <xf numFmtId="180" fontId="0" fillId="5" borderId="5" xfId="0" applyFill="1" applyBorder="1" applyAlignment="1">
      <alignment horizontal="center" vertical="center"/>
    </xf>
    <xf numFmtId="178" fontId="3" fillId="3" borderId="14" xfId="3" applyNumberFormat="1" applyFont="1" applyFill="1" applyBorder="1" applyAlignment="1">
      <alignment horizontal="center" vertical="center"/>
    </xf>
    <xf numFmtId="178" fontId="3" fillId="3" borderId="13" xfId="3" applyNumberFormat="1" applyFont="1" applyFill="1" applyBorder="1" applyAlignment="1">
      <alignment horizontal="center" vertical="center"/>
    </xf>
    <xf numFmtId="178" fontId="3" fillId="3" borderId="15" xfId="3" applyNumberFormat="1" applyFont="1" applyFill="1" applyBorder="1" applyAlignment="1">
      <alignment horizontal="center" vertical="center"/>
    </xf>
    <xf numFmtId="178" fontId="0" fillId="3" borderId="16" xfId="3" applyNumberFormat="1" applyFont="1" applyFill="1" applyBorder="1" applyAlignment="1">
      <alignment horizontal="center" vertical="center"/>
    </xf>
    <xf numFmtId="178" fontId="0" fillId="3" borderId="34" xfId="3" applyNumberFormat="1" applyFont="1" applyFill="1" applyBorder="1" applyAlignment="1">
      <alignment horizontal="center" vertical="center"/>
    </xf>
    <xf numFmtId="178" fontId="3" fillId="3" borderId="16" xfId="3" applyNumberFormat="1" applyFont="1" applyFill="1" applyBorder="1" applyAlignment="1">
      <alignment horizontal="center" vertical="center"/>
    </xf>
    <xf numFmtId="178" fontId="0" fillId="3" borderId="35" xfId="3" applyNumberFormat="1" applyFont="1" applyFill="1" applyBorder="1" applyAlignment="1">
      <alignment horizontal="center" vertical="center"/>
    </xf>
    <xf numFmtId="178" fontId="0" fillId="3" borderId="30" xfId="3" applyNumberFormat="1" applyFont="1" applyFill="1" applyBorder="1" applyAlignment="1">
      <alignment horizontal="center" vertical="center"/>
    </xf>
    <xf numFmtId="0" fontId="0" fillId="3" borderId="14" xfId="3" applyFont="1" applyFill="1" applyBorder="1" applyAlignment="1">
      <alignment horizontal="center" vertical="center"/>
    </xf>
    <xf numFmtId="0" fontId="0" fillId="3" borderId="13" xfId="3" applyFont="1" applyFill="1" applyBorder="1" applyAlignment="1">
      <alignment horizontal="center" vertical="center"/>
    </xf>
    <xf numFmtId="0" fontId="0" fillId="3" borderId="50" xfId="3" applyFont="1" applyFill="1" applyBorder="1" applyAlignment="1">
      <alignment horizontal="center" vertical="center"/>
    </xf>
    <xf numFmtId="178" fontId="0" fillId="3" borderId="23" xfId="3" applyNumberFormat="1" applyFont="1" applyFill="1" applyBorder="1" applyAlignment="1">
      <alignment horizontal="center" vertical="center"/>
    </xf>
    <xf numFmtId="178" fontId="49" fillId="3" borderId="14" xfId="3" applyNumberFormat="1" applyFont="1" applyFill="1" applyBorder="1" applyAlignment="1">
      <alignment horizontal="center" vertical="center"/>
    </xf>
    <xf numFmtId="178" fontId="49" fillId="3" borderId="13" xfId="3" applyNumberFormat="1" applyFont="1" applyFill="1" applyBorder="1" applyAlignment="1">
      <alignment horizontal="center" vertical="center"/>
    </xf>
    <xf numFmtId="178" fontId="49" fillId="3" borderId="15" xfId="3" applyNumberFormat="1" applyFont="1" applyFill="1" applyBorder="1" applyAlignment="1">
      <alignment horizontal="center" vertical="center"/>
    </xf>
    <xf numFmtId="180" fontId="5" fillId="0" borderId="20" xfId="0" applyFont="1" applyBorder="1" applyAlignment="1">
      <alignment horizontal="center" vertical="center"/>
    </xf>
    <xf numFmtId="180" fontId="11" fillId="4" borderId="213" xfId="0" applyFont="1" applyFill="1" applyBorder="1" applyAlignment="1">
      <alignment horizontal="left" vertical="center" shrinkToFit="1"/>
    </xf>
    <xf numFmtId="180" fontId="11" fillId="4" borderId="214" xfId="0" applyFont="1" applyFill="1" applyBorder="1" applyAlignment="1">
      <alignment horizontal="left" vertical="center" shrinkToFit="1"/>
    </xf>
    <xf numFmtId="180" fontId="11" fillId="4" borderId="215" xfId="0" applyFont="1" applyFill="1" applyBorder="1" applyAlignment="1">
      <alignment horizontal="left" vertical="center" shrinkToFit="1"/>
    </xf>
    <xf numFmtId="180" fontId="11" fillId="4" borderId="212" xfId="0" applyFont="1" applyFill="1" applyBorder="1" applyAlignment="1">
      <alignment horizontal="left" vertical="center" shrinkToFit="1"/>
    </xf>
    <xf numFmtId="176" fontId="11" fillId="4" borderId="212" xfId="0" applyNumberFormat="1" applyFont="1" applyFill="1" applyBorder="1" applyAlignment="1">
      <alignment horizontal="left" vertical="center" shrinkToFit="1"/>
    </xf>
  </cellXfs>
  <cellStyles count="15">
    <cellStyle name="ハイパーリンク" xfId="1" builtinId="8"/>
    <cellStyle name="桁区切り" xfId="2" builtinId="6"/>
    <cellStyle name="桁区切り 2" xfId="9"/>
    <cellStyle name="桁区切り 2 2" xfId="10"/>
    <cellStyle name="標準" xfId="0" builtinId="0"/>
    <cellStyle name="標準 2" xfId="8"/>
    <cellStyle name="標準 3" xfId="11"/>
    <cellStyle name="標準 4" xfId="12"/>
    <cellStyle name="標準 5" xfId="13"/>
    <cellStyle name="標準 6" xfId="14"/>
    <cellStyle name="標準_★★★設備ＤＢ" xfId="3"/>
    <cellStyle name="標準_①21基準一般（試用版0-6.3） " xfId="4"/>
    <cellStyle name="標準_③　設備" xfId="5"/>
    <cellStyle name="標準_評価調書案（建具）" xfId="6"/>
    <cellStyle name="標準_不明確補助票" xfId="7"/>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0000"/>
        </patternFill>
      </fill>
    </dxf>
    <dxf>
      <fill>
        <patternFill>
          <bgColor rgb="FFFF0000"/>
        </patternFill>
      </fill>
    </dxf>
    <dxf>
      <fill>
        <patternFill>
          <bgColor indexed="10"/>
        </patternFill>
      </fill>
    </dxf>
    <dxf>
      <font>
        <condense val="0"/>
        <extend val="0"/>
        <color indexed="9"/>
      </font>
      <fill>
        <patternFill>
          <bgColor indexed="10"/>
        </patternFill>
      </fill>
    </dxf>
  </dxfs>
  <tableStyles count="0" defaultTableStyle="TableStyleMedium2" defaultPivotStyle="PivotStyleLight16"/>
  <colors>
    <mruColors>
      <color rgb="FFFFCCFF"/>
      <color rgb="FFFFFFCC"/>
      <color rgb="FFCCFFFF"/>
      <color rgb="FF0000FF"/>
      <color rgb="FFFFCC99"/>
      <color rgb="FFFFFF99"/>
      <color rgb="FFFF99CC"/>
      <color rgb="FFFFFFA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53</xdr:col>
      <xdr:colOff>47625</xdr:colOff>
      <xdr:row>69</xdr:row>
      <xdr:rowOff>114300</xdr:rowOff>
    </xdr:from>
    <xdr:to>
      <xdr:col>53</xdr:col>
      <xdr:colOff>2257425</xdr:colOff>
      <xdr:row>72</xdr:row>
      <xdr:rowOff>133350</xdr:rowOff>
    </xdr:to>
    <xdr:sp macro="" textlink="">
      <xdr:nvSpPr>
        <xdr:cNvPr id="3" name="テキスト ボックス 2"/>
        <xdr:cNvSpPr txBox="1"/>
      </xdr:nvSpPr>
      <xdr:spPr>
        <a:xfrm>
          <a:off x="10391775" y="9496425"/>
          <a:ext cx="22098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CB</a:t>
          </a:r>
          <a:r>
            <a:rPr kumimoji="1" lang="ja-JP" altLang="en-US" sz="800"/>
            <a:t>について、施工の程度・資材の質を反映させる壁厚の補正は必要と思われること、工事形態の補正はないため、ＲＣ系から分割</a:t>
          </a:r>
          <a:endParaRPr kumimoji="1" lang="en-US" altLang="ja-JP" sz="800"/>
        </a:p>
        <a:p>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9524</xdr:colOff>
      <xdr:row>553</xdr:row>
      <xdr:rowOff>9524</xdr:rowOff>
    </xdr:from>
    <xdr:to>
      <xdr:col>32</xdr:col>
      <xdr:colOff>514349</xdr:colOff>
      <xdr:row>570</xdr:row>
      <xdr:rowOff>161924</xdr:rowOff>
    </xdr:to>
    <xdr:sp macro="" textlink="">
      <xdr:nvSpPr>
        <xdr:cNvPr id="9218" name="Line 2"/>
        <xdr:cNvSpPr>
          <a:spLocks noChangeShapeType="1"/>
        </xdr:cNvSpPr>
      </xdr:nvSpPr>
      <xdr:spPr bwMode="auto">
        <a:xfrm flipV="1">
          <a:off x="18135599" y="75933299"/>
          <a:ext cx="1038225" cy="2905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URAKA~1\AppData\Local\Temp\notesC7A056\&#9670;H24&#22522;&#28310;&#35519;&#26360;&#31777;&#26131;&#29256;Ver.20121225_&#12486;&#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sheetName val="調書"/>
      <sheetName val="建具"/>
      <sheetName val="建具の明細"/>
      <sheetName val="設備(個別)"/>
      <sheetName val="DB"/>
    </sheetNames>
    <sheetDataSet>
      <sheetData sheetId="0"/>
      <sheetData sheetId="1"/>
      <sheetData sheetId="2">
        <row r="7">
          <cell r="B7" t="str">
            <v>［建具名称］</v>
          </cell>
        </row>
      </sheetData>
      <sheetData sheetId="3"/>
      <sheetData sheetId="4"/>
      <sheetData sheetId="5">
        <row r="562">
          <cell r="C562" t="str">
            <v>事務所・店舗・百貨店　鉄骨</v>
          </cell>
        </row>
        <row r="591">
          <cell r="G591" t="str">
            <v>構造コード</v>
          </cell>
          <cell r="K591" t="str">
            <v>取得事由コード</v>
          </cell>
        </row>
        <row r="592">
          <cell r="G592" t="str">
            <v>W</v>
          </cell>
          <cell r="H592" t="str">
            <v>木</v>
          </cell>
          <cell r="I592">
            <v>1</v>
          </cell>
          <cell r="K592" t="str">
            <v>新築</v>
          </cell>
          <cell r="L592">
            <v>1</v>
          </cell>
        </row>
        <row r="593">
          <cell r="G593" t="str">
            <v>S</v>
          </cell>
          <cell r="H593" t="str">
            <v>鉄骨</v>
          </cell>
          <cell r="I593">
            <v>2</v>
          </cell>
          <cell r="K593" t="str">
            <v>増築</v>
          </cell>
          <cell r="L593">
            <v>2</v>
          </cell>
        </row>
        <row r="594">
          <cell r="G594" t="str">
            <v>RC</v>
          </cell>
          <cell r="H594" t="str">
            <v>鉄筋コンクリート</v>
          </cell>
          <cell r="I594">
            <v>3</v>
          </cell>
          <cell r="K594" t="str">
            <v>改築</v>
          </cell>
          <cell r="L594">
            <v>3</v>
          </cell>
        </row>
        <row r="595">
          <cell r="G595" t="str">
            <v>SRC</v>
          </cell>
          <cell r="H595" t="str">
            <v>鉄骨鉄筋コンクリート</v>
          </cell>
          <cell r="I595">
            <v>4</v>
          </cell>
          <cell r="K595" t="str">
            <v>その他</v>
          </cell>
          <cell r="L595">
            <v>21</v>
          </cell>
        </row>
        <row r="596">
          <cell r="G596" t="str">
            <v>LGS</v>
          </cell>
          <cell r="H596" t="str">
            <v>軽量鉄骨</v>
          </cell>
          <cell r="I596">
            <v>5</v>
          </cell>
        </row>
        <row r="597">
          <cell r="G597" t="str">
            <v>CB</v>
          </cell>
          <cell r="H597" t="str">
            <v>コンクリートブロック</v>
          </cell>
          <cell r="I597">
            <v>6</v>
          </cell>
        </row>
        <row r="598">
          <cell r="G598" t="str">
            <v>Wプレ</v>
          </cell>
          <cell r="H598" t="str">
            <v>木造プレハブ</v>
          </cell>
          <cell r="I598">
            <v>7</v>
          </cell>
        </row>
        <row r="599">
          <cell r="G599" t="str">
            <v>RCプレ</v>
          </cell>
          <cell r="H599" t="str">
            <v>鉄筋コンクリートプレハブ</v>
          </cell>
          <cell r="I599">
            <v>8</v>
          </cell>
        </row>
        <row r="600">
          <cell r="G600" t="str">
            <v>LGSプレ</v>
          </cell>
          <cell r="H600" t="str">
            <v>軽量鉄骨プレハブ</v>
          </cell>
          <cell r="I600">
            <v>9</v>
          </cell>
        </row>
        <row r="601">
          <cell r="G601" t="str">
            <v>その他</v>
          </cell>
          <cell r="H601" t="str">
            <v>その他</v>
          </cell>
          <cell r="I601">
            <v>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8"/>
    <pageSetUpPr fitToPage="1"/>
  </sheetPr>
  <dimension ref="A1:BD695"/>
  <sheetViews>
    <sheetView tabSelected="1" topLeftCell="B1" zoomScaleNormal="100" workbookViewId="0">
      <selection activeCell="N5" sqref="N5"/>
    </sheetView>
  </sheetViews>
  <sheetFormatPr defaultRowHeight="13.5" customHeight="1"/>
  <cols>
    <col min="1" max="1" width="6" hidden="1" customWidth="1"/>
    <col min="2" max="22" width="3.33203125" customWidth="1"/>
    <col min="23" max="23" width="3" customWidth="1"/>
    <col min="24" max="24" width="3.33203125" customWidth="1"/>
    <col min="25" max="25" width="4.83203125" customWidth="1"/>
    <col min="26" max="26" width="3.33203125" customWidth="1"/>
    <col min="27" max="27" width="3.6640625" customWidth="1"/>
    <col min="28" max="35" width="3.33203125" customWidth="1"/>
    <col min="36" max="36" width="4" customWidth="1"/>
    <col min="37" max="52" width="3.33203125" customWidth="1"/>
    <col min="53" max="53" width="8.83203125" style="25" bestFit="1" customWidth="1"/>
    <col min="54" max="54" width="57.1640625" style="6" customWidth="1"/>
  </cols>
  <sheetData>
    <row r="1" spans="1:54" ht="12" customHeight="1">
      <c r="A1" s="1"/>
      <c r="B1" s="2" t="s">
        <v>198</v>
      </c>
      <c r="C1" s="2"/>
      <c r="D1" s="2711">
        <f ca="1">INT(5000/COUNTIF(BA:BA,TRUE))/4</f>
        <v>27.75</v>
      </c>
      <c r="E1" s="271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t="b">
        <v>0</v>
      </c>
      <c r="BB1" s="4"/>
    </row>
    <row r="2" spans="1:54" ht="11.2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25" t="b">
        <v>0</v>
      </c>
    </row>
    <row r="3" spans="1:54" ht="16.5" customHeight="1">
      <c r="B3" s="2825" t="str">
        <f>HYPERLINK("#B"&amp;$A5,"ＴＯＰ")</f>
        <v>ＴＯＰ</v>
      </c>
      <c r="C3" s="2826"/>
      <c r="D3" s="2827"/>
      <c r="E3" s="2764" t="str">
        <f>HYPERLINK("#B"&amp;$A20,"主体/明")</f>
        <v>主体/明</v>
      </c>
      <c r="F3" s="2765"/>
      <c r="G3" s="2766"/>
      <c r="H3" s="2764" t="str">
        <f>HYPERLINK("#B"&amp;$A85,"主体/不")</f>
        <v>主体/不</v>
      </c>
      <c r="I3" s="2765"/>
      <c r="J3" s="2766"/>
      <c r="K3" s="2764" t="str">
        <f>HYPERLINK("#B"&amp;$A127,"基　　礎")</f>
        <v>基　　礎</v>
      </c>
      <c r="L3" s="2765"/>
      <c r="M3" s="2766"/>
      <c r="N3" s="2764" t="str">
        <f>HYPERLINK("#B"&amp;$A159,"杭　　打")</f>
        <v>杭　　打</v>
      </c>
      <c r="O3" s="2765"/>
      <c r="P3" s="2766"/>
      <c r="Q3" s="2764" t="str">
        <f>HYPERLINK("#B"&amp;$A191,"屋根構造")</f>
        <v>屋根構造</v>
      </c>
      <c r="R3" s="2765"/>
      <c r="S3" s="2766"/>
      <c r="T3" s="2764" t="str">
        <f>HYPERLINK("#B"&amp;$A221,"床 構 造")</f>
        <v>床 構 造</v>
      </c>
      <c r="U3" s="2765"/>
      <c r="V3" s="2766"/>
      <c r="W3" s="2764" t="str">
        <f>HYPERLINK("#B"&amp;$A250,"外 周 壁")</f>
        <v>外 周 壁</v>
      </c>
      <c r="X3" s="2765"/>
      <c r="Y3" s="2766"/>
      <c r="Z3" s="2764" t="str">
        <f>HYPERLINK("#B"&amp;$A279,"間 仕 切")</f>
        <v>間 仕 切</v>
      </c>
      <c r="AA3" s="2765"/>
      <c r="AB3" s="2766"/>
      <c r="AC3" s="2764" t="str">
        <f>HYPERLINK("#B"&amp;$A310,"外壁仕上")</f>
        <v>外壁仕上</v>
      </c>
      <c r="AD3" s="2765"/>
      <c r="AE3" s="2766"/>
      <c r="AF3" s="2764" t="str">
        <f>HYPERLINK("#B"&amp;$A376,"内壁仕上")</f>
        <v>内壁仕上</v>
      </c>
      <c r="AG3" s="2765"/>
      <c r="AH3" s="2766"/>
      <c r="AI3" s="2764" t="str">
        <f>HYPERLINK("#B"&amp;$A466,"床 仕 上")</f>
        <v>床 仕 上</v>
      </c>
      <c r="AJ3" s="2765"/>
      <c r="AK3" s="2766"/>
      <c r="AL3" s="2764" t="str">
        <f>HYPERLINK("#B"&amp;$A543,"天井仕上")</f>
        <v>天井仕上</v>
      </c>
      <c r="AM3" s="2765"/>
      <c r="AN3" s="2766"/>
      <c r="AO3" s="2764" t="str">
        <f>HYPERLINK("#B"&amp;$A603,"屋根仕上")</f>
        <v>屋根仕上</v>
      </c>
      <c r="AP3" s="2765"/>
      <c r="AQ3" s="2766"/>
      <c r="AR3" s="2764" t="str">
        <f>HYPERLINK("#B"&amp;$A665,"建具設備")</f>
        <v>建具設備</v>
      </c>
      <c r="AS3" s="2765"/>
      <c r="AT3" s="2766"/>
      <c r="AU3" s="2764" t="str">
        <f>HYPERLINK("#B"&amp;$A674,"仮設其他")</f>
        <v>仮設其他</v>
      </c>
      <c r="AV3" s="2765"/>
      <c r="AW3" s="2766"/>
      <c r="AX3" s="3195" t="str">
        <f>HYPERLINK("#B"&amp;$A680,"ＥＮＤ")</f>
        <v>ＥＮＤ</v>
      </c>
      <c r="AY3" s="2826"/>
      <c r="AZ3" s="2827"/>
      <c r="BA3" s="25" t="b">
        <v>0</v>
      </c>
      <c r="BB3" s="4"/>
    </row>
    <row r="4" spans="1:54" ht="11.2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25" t="b">
        <v>0</v>
      </c>
    </row>
    <row r="5" spans="1:54" ht="13.5" customHeight="1">
      <c r="A5">
        <f>ROW()</f>
        <v>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25" t="b">
        <v>0</v>
      </c>
    </row>
    <row r="6" spans="1:54" ht="13.5" customHeight="1">
      <c r="B6" s="1292" t="s">
        <v>718</v>
      </c>
      <c r="C6" s="1293"/>
      <c r="D6" s="1293"/>
      <c r="E6" s="1293"/>
      <c r="F6" s="3910"/>
      <c r="G6" s="3911"/>
      <c r="H6" s="3911"/>
      <c r="I6" s="3911"/>
      <c r="J6" s="3911"/>
      <c r="K6" s="3911"/>
      <c r="L6" s="3911"/>
      <c r="M6" s="3911"/>
      <c r="N6" s="3911"/>
      <c r="O6" s="3911"/>
      <c r="P6" s="3911"/>
      <c r="Q6" s="3912"/>
      <c r="R6" s="2828" t="s">
        <v>719</v>
      </c>
      <c r="S6" s="2828"/>
      <c r="T6" s="2828"/>
      <c r="U6" s="2828"/>
      <c r="V6" s="3913"/>
      <c r="W6" s="3913"/>
      <c r="X6" s="3913"/>
      <c r="Y6" s="3913"/>
      <c r="Z6" s="3913"/>
      <c r="AA6" s="2842" t="s">
        <v>1121</v>
      </c>
      <c r="AB6" s="2843"/>
      <c r="AC6" s="2844"/>
      <c r="AD6" s="2599"/>
      <c r="AE6" s="2600"/>
      <c r="AF6" s="2600"/>
      <c r="AG6" s="2600"/>
      <c r="AH6" s="2600"/>
      <c r="AI6" s="2600"/>
      <c r="AJ6" s="2601"/>
      <c r="AK6" s="2898"/>
      <c r="AL6" s="2899"/>
      <c r="AM6" s="8" t="s">
        <v>720</v>
      </c>
      <c r="AN6" s="8"/>
      <c r="AO6" s="8"/>
      <c r="AP6" s="10"/>
      <c r="AQ6" s="8" t="s">
        <v>721</v>
      </c>
      <c r="AR6" s="8"/>
      <c r="AS6" s="8"/>
      <c r="AT6" s="10"/>
      <c r="AU6" s="8" t="s">
        <v>722</v>
      </c>
      <c r="AV6" s="8"/>
      <c r="AW6" s="8"/>
      <c r="AX6" s="11" t="s">
        <v>723</v>
      </c>
      <c r="AY6" s="8"/>
      <c r="AZ6" s="9"/>
      <c r="BA6" s="3" t="b">
        <v>1</v>
      </c>
      <c r="BB6"/>
    </row>
    <row r="7" spans="1:54" ht="13.5" customHeight="1">
      <c r="B7" s="1294" t="s">
        <v>724</v>
      </c>
      <c r="C7" s="1295"/>
      <c r="D7" s="1295"/>
      <c r="E7" s="1295"/>
      <c r="F7" s="3910"/>
      <c r="G7" s="3911"/>
      <c r="H7" s="3911"/>
      <c r="I7" s="3911"/>
      <c r="J7" s="3911"/>
      <c r="K7" s="3911"/>
      <c r="L7" s="3911"/>
      <c r="M7" s="3911"/>
      <c r="N7" s="3911"/>
      <c r="O7" s="3911"/>
      <c r="P7" s="3911"/>
      <c r="Q7" s="3912"/>
      <c r="R7" s="2845" t="s">
        <v>725</v>
      </c>
      <c r="S7" s="2845"/>
      <c r="T7" s="2845"/>
      <c r="U7" s="2845"/>
      <c r="V7" s="3914"/>
      <c r="W7" s="3914"/>
      <c r="X7" s="3914"/>
      <c r="Y7" s="3914"/>
      <c r="Z7" s="3914"/>
      <c r="AA7" s="2842" t="s">
        <v>1122</v>
      </c>
      <c r="AB7" s="2843"/>
      <c r="AC7" s="2844"/>
      <c r="AD7" s="3192"/>
      <c r="AE7" s="3193"/>
      <c r="AF7" s="3193"/>
      <c r="AG7" s="3193"/>
      <c r="AH7" s="3193"/>
      <c r="AI7" s="3193"/>
      <c r="AJ7" s="3194"/>
      <c r="AK7" s="2894" t="s">
        <v>726</v>
      </c>
      <c r="AL7" s="2895"/>
      <c r="AM7" s="3185"/>
      <c r="AN7" s="3186"/>
      <c r="AO7" s="3186"/>
      <c r="AP7" s="3183" t="s">
        <v>728</v>
      </c>
      <c r="AQ7" s="3186"/>
      <c r="AR7" s="3186"/>
      <c r="AS7" s="3186"/>
      <c r="AT7" s="3183" t="s">
        <v>728</v>
      </c>
      <c r="AU7" s="3202">
        <f>COUNT(M11:AZ11,M13:AJ13)</f>
        <v>0</v>
      </c>
      <c r="AV7" s="3202"/>
      <c r="AW7" s="3202"/>
      <c r="AX7" s="3157">
        <f>COUNT(AK13:AZ13)</f>
        <v>0</v>
      </c>
      <c r="AY7" s="3158"/>
      <c r="AZ7" s="3159"/>
      <c r="BA7" s="3" t="b">
        <v>1</v>
      </c>
      <c r="BB7" t="s">
        <v>2378</v>
      </c>
    </row>
    <row r="8" spans="1:54" ht="13.5" customHeight="1">
      <c r="B8" s="1296" t="s">
        <v>731</v>
      </c>
      <c r="C8" s="1297"/>
      <c r="D8" s="1297"/>
      <c r="E8" s="1297"/>
      <c r="F8" s="3910"/>
      <c r="G8" s="3911"/>
      <c r="H8" s="3911"/>
      <c r="I8" s="3911"/>
      <c r="J8" s="3911"/>
      <c r="K8" s="3911"/>
      <c r="L8" s="3911"/>
      <c r="M8" s="3911"/>
      <c r="N8" s="3911"/>
      <c r="O8" s="3911"/>
      <c r="P8" s="3911"/>
      <c r="Q8" s="3912"/>
      <c r="R8" s="2828" t="s">
        <v>732</v>
      </c>
      <c r="S8" s="2828"/>
      <c r="T8" s="2828"/>
      <c r="U8" s="2828"/>
      <c r="V8" s="3914"/>
      <c r="W8" s="3914"/>
      <c r="X8" s="3914"/>
      <c r="Y8" s="3914"/>
      <c r="Z8" s="3914"/>
      <c r="AA8" s="3196" t="s">
        <v>1123</v>
      </c>
      <c r="AB8" s="3197"/>
      <c r="AC8" s="3198"/>
      <c r="AD8" s="2856"/>
      <c r="AE8" s="2857"/>
      <c r="AF8" s="2857"/>
      <c r="AG8" s="2857"/>
      <c r="AH8" s="2857"/>
      <c r="AI8" s="2857"/>
      <c r="AJ8" s="2858"/>
      <c r="AK8" s="2896"/>
      <c r="AL8" s="2897"/>
      <c r="AM8" s="3187"/>
      <c r="AN8" s="3188"/>
      <c r="AO8" s="3188"/>
      <c r="AP8" s="3184"/>
      <c r="AQ8" s="3188"/>
      <c r="AR8" s="3188"/>
      <c r="AS8" s="3188"/>
      <c r="AT8" s="3184"/>
      <c r="AU8" s="3203"/>
      <c r="AV8" s="3203"/>
      <c r="AW8" s="3203"/>
      <c r="AX8" s="3160"/>
      <c r="AY8" s="3161"/>
      <c r="AZ8" s="3162"/>
      <c r="BA8" s="3" t="b">
        <v>1</v>
      </c>
      <c r="BB8" t="s">
        <v>1630</v>
      </c>
    </row>
    <row r="9" spans="1:54" ht="13.5" customHeight="1" thickBot="1">
      <c r="BA9" s="3" t="b">
        <v>1</v>
      </c>
    </row>
    <row r="10" spans="1:54" ht="13.5" customHeight="1">
      <c r="B10" s="2922" t="s">
        <v>734</v>
      </c>
      <c r="C10" s="2923"/>
      <c r="D10" s="2924"/>
      <c r="E10" s="12" t="s">
        <v>735</v>
      </c>
      <c r="F10" s="12"/>
      <c r="G10" s="13"/>
      <c r="H10" s="14"/>
      <c r="I10" s="12" t="s">
        <v>736</v>
      </c>
      <c r="J10" s="12"/>
      <c r="K10" s="13"/>
      <c r="L10" s="15"/>
      <c r="M10" s="16" t="s">
        <v>737</v>
      </c>
      <c r="N10" s="17"/>
      <c r="O10" s="18"/>
      <c r="P10" s="19"/>
      <c r="Q10" s="17" t="s">
        <v>738</v>
      </c>
      <c r="R10" s="17"/>
      <c r="S10" s="18"/>
      <c r="T10" s="19"/>
      <c r="U10" s="17" t="s">
        <v>729</v>
      </c>
      <c r="V10" s="17"/>
      <c r="W10" s="18"/>
      <c r="X10" s="19"/>
      <c r="Y10" s="17" t="s">
        <v>739</v>
      </c>
      <c r="Z10" s="17"/>
      <c r="AA10" s="18"/>
      <c r="AB10" s="19"/>
      <c r="AC10" s="17" t="s">
        <v>740</v>
      </c>
      <c r="AD10" s="17"/>
      <c r="AE10" s="18"/>
      <c r="AF10" s="19"/>
      <c r="AG10" s="17" t="s">
        <v>741</v>
      </c>
      <c r="AH10" s="17"/>
      <c r="AI10" s="18"/>
      <c r="AJ10" s="19"/>
      <c r="AK10" s="17" t="s">
        <v>742</v>
      </c>
      <c r="AL10" s="17"/>
      <c r="AM10" s="18"/>
      <c r="AN10" s="19"/>
      <c r="AO10" s="17" t="s">
        <v>743</v>
      </c>
      <c r="AP10" s="17"/>
      <c r="AQ10" s="18"/>
      <c r="AR10" s="19"/>
      <c r="AS10" s="17" t="s">
        <v>744</v>
      </c>
      <c r="AT10" s="17"/>
      <c r="AU10" s="18"/>
      <c r="AV10" s="19"/>
      <c r="AW10" s="17" t="s">
        <v>745</v>
      </c>
      <c r="AX10" s="17"/>
      <c r="AY10" s="18"/>
      <c r="AZ10" s="19"/>
      <c r="BA10" s="3" t="b">
        <v>1</v>
      </c>
      <c r="BB10"/>
    </row>
    <row r="11" spans="1:54" ht="13.5" customHeight="1">
      <c r="B11" s="2925"/>
      <c r="C11" s="2673"/>
      <c r="D11" s="2682"/>
      <c r="E11" s="2907">
        <f>SUM(M10:AZ13)</f>
        <v>0</v>
      </c>
      <c r="F11" s="2908"/>
      <c r="G11" s="2908"/>
      <c r="H11" s="2909"/>
      <c r="I11" s="2913">
        <f>MAX(M10:AZ13)</f>
        <v>0</v>
      </c>
      <c r="J11" s="2914"/>
      <c r="K11" s="2914"/>
      <c r="L11" s="2915"/>
      <c r="M11" s="2840"/>
      <c r="N11" s="2840"/>
      <c r="O11" s="2840"/>
      <c r="P11" s="2841"/>
      <c r="Q11" s="2839"/>
      <c r="R11" s="2840"/>
      <c r="S11" s="2840"/>
      <c r="T11" s="2841"/>
      <c r="U11" s="2839"/>
      <c r="V11" s="2840"/>
      <c r="W11" s="2840"/>
      <c r="X11" s="2841"/>
      <c r="Y11" s="2839"/>
      <c r="Z11" s="2840"/>
      <c r="AA11" s="2840"/>
      <c r="AB11" s="2841"/>
      <c r="AC11" s="2839"/>
      <c r="AD11" s="2840"/>
      <c r="AE11" s="2840"/>
      <c r="AF11" s="2841"/>
      <c r="AG11" s="2839"/>
      <c r="AH11" s="2840"/>
      <c r="AI11" s="2840"/>
      <c r="AJ11" s="2841"/>
      <c r="AK11" s="2839"/>
      <c r="AL11" s="2840"/>
      <c r="AM11" s="2840"/>
      <c r="AN11" s="2841"/>
      <c r="AO11" s="2839"/>
      <c r="AP11" s="2840"/>
      <c r="AQ11" s="2840"/>
      <c r="AR11" s="2841"/>
      <c r="AS11" s="2839"/>
      <c r="AT11" s="2840"/>
      <c r="AU11" s="2840"/>
      <c r="AV11" s="2841"/>
      <c r="AW11" s="2839"/>
      <c r="AX11" s="2840"/>
      <c r="AY11" s="2840"/>
      <c r="AZ11" s="2841"/>
      <c r="BA11" s="3" t="b">
        <v>1</v>
      </c>
      <c r="BB11"/>
    </row>
    <row r="12" spans="1:54" ht="13.5" customHeight="1">
      <c r="B12" s="2925"/>
      <c r="C12" s="2673"/>
      <c r="D12" s="2682"/>
      <c r="E12" s="2907"/>
      <c r="F12" s="2908"/>
      <c r="G12" s="2908"/>
      <c r="H12" s="2909"/>
      <c r="I12" s="17" t="s">
        <v>746</v>
      </c>
      <c r="J12" s="17"/>
      <c r="K12" s="18"/>
      <c r="L12" s="24"/>
      <c r="M12" s="16" t="s">
        <v>747</v>
      </c>
      <c r="N12" s="17"/>
      <c r="O12" s="18"/>
      <c r="P12" s="19"/>
      <c r="Q12" s="17" t="s">
        <v>748</v>
      </c>
      <c r="R12" s="17"/>
      <c r="S12" s="18"/>
      <c r="T12" s="19"/>
      <c r="U12" s="17" t="s">
        <v>749</v>
      </c>
      <c r="V12" s="17"/>
      <c r="W12" s="18"/>
      <c r="X12" s="19"/>
      <c r="Y12" s="17" t="s">
        <v>750</v>
      </c>
      <c r="Z12" s="17"/>
      <c r="AA12" s="18"/>
      <c r="AB12" s="19"/>
      <c r="AC12" s="17" t="s">
        <v>751</v>
      </c>
      <c r="AD12" s="17"/>
      <c r="AE12" s="18"/>
      <c r="AF12" s="19"/>
      <c r="AG12" s="17" t="s">
        <v>752</v>
      </c>
      <c r="AH12" s="17"/>
      <c r="AI12" s="18"/>
      <c r="AJ12" s="19"/>
      <c r="AK12" s="17" t="s">
        <v>753</v>
      </c>
      <c r="AL12" s="17"/>
      <c r="AM12" s="18"/>
      <c r="AN12" s="19"/>
      <c r="AO12" s="17" t="s">
        <v>754</v>
      </c>
      <c r="AP12" s="17"/>
      <c r="AQ12" s="18"/>
      <c r="AR12" s="19"/>
      <c r="AS12" s="17" t="s">
        <v>755</v>
      </c>
      <c r="AT12" s="17"/>
      <c r="AU12" s="18"/>
      <c r="AV12" s="19"/>
      <c r="AW12" s="17" t="s">
        <v>756</v>
      </c>
      <c r="AX12" s="17"/>
      <c r="AY12" s="18"/>
      <c r="AZ12" s="19"/>
      <c r="BA12" s="3" t="b">
        <v>1</v>
      </c>
      <c r="BB12"/>
    </row>
    <row r="13" spans="1:54" ht="13.5" customHeight="1" thickBot="1">
      <c r="B13" s="2926"/>
      <c r="C13" s="2927"/>
      <c r="D13" s="2928"/>
      <c r="E13" s="2910"/>
      <c r="F13" s="2911"/>
      <c r="G13" s="2911"/>
      <c r="H13" s="2912"/>
      <c r="I13" s="2916"/>
      <c r="J13" s="2917"/>
      <c r="K13" s="2917"/>
      <c r="L13" s="2918"/>
      <c r="M13" s="2840"/>
      <c r="N13" s="2840"/>
      <c r="O13" s="2840"/>
      <c r="P13" s="2841"/>
      <c r="Q13" s="2839"/>
      <c r="R13" s="2840"/>
      <c r="S13" s="2840"/>
      <c r="T13" s="2841"/>
      <c r="U13" s="2839"/>
      <c r="V13" s="2840"/>
      <c r="W13" s="2840"/>
      <c r="X13" s="2841"/>
      <c r="Y13" s="2839"/>
      <c r="Z13" s="2840"/>
      <c r="AA13" s="2840"/>
      <c r="AB13" s="2841"/>
      <c r="AC13" s="2839"/>
      <c r="AD13" s="2840"/>
      <c r="AE13" s="2840"/>
      <c r="AF13" s="2841"/>
      <c r="AG13" s="2839"/>
      <c r="AH13" s="2840"/>
      <c r="AI13" s="2840"/>
      <c r="AJ13" s="2841"/>
      <c r="AK13" s="2839"/>
      <c r="AL13" s="2840"/>
      <c r="AM13" s="2840"/>
      <c r="AN13" s="2841"/>
      <c r="AO13" s="2839"/>
      <c r="AP13" s="2840"/>
      <c r="AQ13" s="2840"/>
      <c r="AR13" s="2841"/>
      <c r="AS13" s="2839"/>
      <c r="AT13" s="2840"/>
      <c r="AU13" s="2840"/>
      <c r="AV13" s="2841"/>
      <c r="AW13" s="2839"/>
      <c r="AX13" s="2840"/>
      <c r="AY13" s="2840"/>
      <c r="AZ13" s="2841"/>
      <c r="BA13" s="3" t="b">
        <v>1</v>
      </c>
      <c r="BB13"/>
    </row>
    <row r="14" spans="1:54" ht="13.5" customHeight="1">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BA14" s="25" t="b">
        <v>0</v>
      </c>
    </row>
    <row r="15" spans="1:54" ht="13.5" customHeight="1">
      <c r="C15" s="2608" t="s">
        <v>757</v>
      </c>
      <c r="D15" s="2608"/>
      <c r="E15" s="2608"/>
      <c r="F15" s="2608"/>
      <c r="G15" s="2608"/>
      <c r="H15" s="2608"/>
      <c r="I15" s="2608"/>
      <c r="J15" s="2608"/>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BA15" s="25" t="b">
        <v>0</v>
      </c>
    </row>
    <row r="16" spans="1:54" ht="13.5" customHeight="1">
      <c r="BA16" s="25" t="b">
        <v>0</v>
      </c>
    </row>
    <row r="17" spans="1:54" ht="13.5" customHeight="1">
      <c r="C17" s="26" t="s">
        <v>758</v>
      </c>
      <c r="D17" s="27"/>
      <c r="E17" s="27"/>
      <c r="F17" s="27"/>
      <c r="G17" s="27"/>
      <c r="H17" s="27"/>
      <c r="I17" s="27"/>
      <c r="J17" s="27"/>
      <c r="BA17" s="25" t="b">
        <v>0</v>
      </c>
      <c r="BB17"/>
    </row>
    <row r="18" spans="1:54" ht="13.5" customHeight="1">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6"/>
      <c r="AW18" s="6"/>
      <c r="AX18" s="6"/>
      <c r="AY18" s="6"/>
      <c r="AZ18" s="6"/>
      <c r="BA18" s="29" t="b">
        <f ca="1">BA$79</f>
        <v>0</v>
      </c>
    </row>
    <row r="19" spans="1:54" ht="13.5" customHeight="1">
      <c r="B19" s="30"/>
      <c r="C19" s="31"/>
      <c r="D19" s="2829"/>
      <c r="E19" s="2830"/>
      <c r="F19" s="32" t="s">
        <v>759</v>
      </c>
      <c r="G19" s="32"/>
      <c r="H19" s="32"/>
      <c r="I19" s="32"/>
      <c r="J19" s="32"/>
      <c r="K19" s="32"/>
      <c r="L19" s="32"/>
      <c r="M19" s="32"/>
      <c r="N19" s="32"/>
      <c r="O19" s="32"/>
      <c r="P19" s="33"/>
      <c r="Q19" s="32"/>
      <c r="R19" s="34" t="s">
        <v>760</v>
      </c>
      <c r="S19" s="32"/>
      <c r="T19" s="32"/>
      <c r="U19" s="32"/>
      <c r="V19" s="34" t="s">
        <v>2057</v>
      </c>
      <c r="W19" s="32"/>
      <c r="X19" s="32"/>
      <c r="Y19" s="32"/>
      <c r="Z19" s="33"/>
      <c r="AA19" s="32"/>
      <c r="AB19" s="35" t="s">
        <v>2058</v>
      </c>
      <c r="AC19" s="35"/>
      <c r="AD19" s="35"/>
      <c r="AE19" s="35"/>
      <c r="AF19" s="34" t="s">
        <v>762</v>
      </c>
      <c r="AG19" s="32"/>
      <c r="AH19" s="32"/>
      <c r="AI19" s="33"/>
      <c r="AJ19" s="34" t="s">
        <v>763</v>
      </c>
      <c r="AK19" s="32"/>
      <c r="AL19" s="32"/>
      <c r="AM19" s="33"/>
      <c r="AN19" s="34" t="s">
        <v>764</v>
      </c>
      <c r="AO19" s="32"/>
      <c r="AP19" s="32"/>
      <c r="AQ19" s="32"/>
      <c r="AR19" s="35" t="s">
        <v>765</v>
      </c>
      <c r="AS19" s="34"/>
      <c r="AT19" s="34"/>
      <c r="AU19" s="32"/>
      <c r="AV19" s="36" t="s">
        <v>766</v>
      </c>
      <c r="AW19" s="37"/>
      <c r="AX19" s="37"/>
      <c r="AY19" s="38"/>
      <c r="AZ19" s="39"/>
      <c r="BA19" s="29" t="b">
        <f ca="1">SUM(V20:Y27)&lt;&gt;0</f>
        <v>0</v>
      </c>
      <c r="BB19" s="2277" t="s">
        <v>2333</v>
      </c>
    </row>
    <row r="20" spans="1:54" ht="13.5" customHeight="1">
      <c r="A20">
        <f>ROW()</f>
        <v>20</v>
      </c>
      <c r="B20" s="2614" t="s">
        <v>1921</v>
      </c>
      <c r="C20" s="2616"/>
      <c r="D20" s="2681" t="s">
        <v>767</v>
      </c>
      <c r="E20" s="2682"/>
      <c r="F20" s="1896" t="s">
        <v>1657</v>
      </c>
      <c r="G20" s="1897"/>
      <c r="H20" s="1897"/>
      <c r="I20" s="1897"/>
      <c r="J20" s="1897"/>
      <c r="K20" s="1897"/>
      <c r="L20" s="1897"/>
      <c r="M20" s="1897"/>
      <c r="N20" s="1897"/>
      <c r="O20" s="1897"/>
      <c r="P20" s="1897"/>
      <c r="Q20" s="1898"/>
      <c r="R20" s="2609">
        <v>259880</v>
      </c>
      <c r="S20" s="2610"/>
      <c r="T20" s="2610"/>
      <c r="U20" s="2611"/>
      <c r="V20" s="2882">
        <f ca="1">SUMIF(見積拾!C$7:D$33,F20,見積拾!T$7:T$33)</f>
        <v>0</v>
      </c>
      <c r="W20" s="2883"/>
      <c r="X20" s="2883"/>
      <c r="Y20" s="2883"/>
      <c r="Z20" s="2652" t="s">
        <v>768</v>
      </c>
      <c r="AA20" s="2653"/>
      <c r="AB20" s="2651">
        <f t="shared" ref="AB20:AB27" ca="1" si="0">INT(R20*V20)</f>
        <v>0</v>
      </c>
      <c r="AC20" s="2652"/>
      <c r="AD20" s="2652"/>
      <c r="AE20" s="2653"/>
      <c r="AF20" s="2776">
        <f ca="1">SUM(AB20:AE24)</f>
        <v>0</v>
      </c>
      <c r="AG20" s="2577"/>
      <c r="AH20" s="2577"/>
      <c r="AI20" s="2777"/>
      <c r="AJ20" s="3189" t="s">
        <v>54</v>
      </c>
      <c r="AK20" s="3190"/>
      <c r="AL20" s="3190"/>
      <c r="AM20" s="3191"/>
      <c r="AN20" s="1910" t="s">
        <v>54</v>
      </c>
      <c r="AO20" s="1911"/>
      <c r="AP20" s="1912" t="s">
        <v>54</v>
      </c>
      <c r="AQ20" s="1913"/>
      <c r="AR20" s="2870">
        <v>1</v>
      </c>
      <c r="AS20" s="2871"/>
      <c r="AT20" s="2871"/>
      <c r="AU20" s="2887"/>
      <c r="AV20" s="2776">
        <f ca="1">INT(AF20*AR20)</f>
        <v>0</v>
      </c>
      <c r="AW20" s="2577"/>
      <c r="AX20" s="2577"/>
      <c r="AY20" s="2577"/>
      <c r="AZ20" s="2777"/>
      <c r="BA20" s="25" t="b">
        <f t="shared" ref="BA20:BA27" ca="1" si="1">V20&lt;&gt;0</f>
        <v>0</v>
      </c>
      <c r="BB20" s="6" t="s">
        <v>2377</v>
      </c>
    </row>
    <row r="21" spans="1:54" s="1902" customFormat="1" ht="13.5" customHeight="1">
      <c r="B21" s="2614"/>
      <c r="C21" s="2617"/>
      <c r="D21" s="2681"/>
      <c r="E21" s="2683"/>
      <c r="F21" s="1893" t="s">
        <v>1934</v>
      </c>
      <c r="G21" s="1894"/>
      <c r="H21" s="1894"/>
      <c r="I21" s="1894"/>
      <c r="J21" s="1894"/>
      <c r="K21" s="1894"/>
      <c r="L21" s="1894"/>
      <c r="M21" s="1894"/>
      <c r="N21" s="1894"/>
      <c r="O21" s="1894"/>
      <c r="P21" s="1894"/>
      <c r="Q21" s="1895"/>
      <c r="R21" s="2561">
        <v>297690</v>
      </c>
      <c r="S21" s="2562"/>
      <c r="T21" s="2562"/>
      <c r="U21" s="2563"/>
      <c r="V21" s="2612">
        <f ca="1">SUMIF(見積拾!C$7:D$33,F21,見積拾!T$7:T$33)</f>
        <v>0</v>
      </c>
      <c r="W21" s="2613"/>
      <c r="X21" s="2613"/>
      <c r="Y21" s="2613"/>
      <c r="Z21" s="2500" t="s">
        <v>768</v>
      </c>
      <c r="AA21" s="2501"/>
      <c r="AB21" s="2499">
        <f t="shared" ref="AB21" ca="1" si="2">INT(R21*V21)</f>
        <v>0</v>
      </c>
      <c r="AC21" s="2500"/>
      <c r="AD21" s="2500"/>
      <c r="AE21" s="2501"/>
      <c r="AF21" s="2778"/>
      <c r="AG21" s="2779"/>
      <c r="AH21" s="2779"/>
      <c r="AI21" s="2874"/>
      <c r="AJ21" s="2884" t="s">
        <v>54</v>
      </c>
      <c r="AK21" s="2885"/>
      <c r="AL21" s="2885"/>
      <c r="AM21" s="2886"/>
      <c r="AN21" s="1906" t="s">
        <v>54</v>
      </c>
      <c r="AO21" s="1907"/>
      <c r="AP21" s="1908" t="s">
        <v>54</v>
      </c>
      <c r="AQ21" s="1909"/>
      <c r="AR21" s="2872"/>
      <c r="AS21" s="2873"/>
      <c r="AT21" s="2873"/>
      <c r="AU21" s="2968"/>
      <c r="AV21" s="2778"/>
      <c r="AW21" s="2779"/>
      <c r="AX21" s="2779"/>
      <c r="AY21" s="2779"/>
      <c r="AZ21" s="2874"/>
      <c r="BA21" s="25" t="b">
        <f t="shared" ref="BA21" ca="1" si="3">V21&lt;&gt;0</f>
        <v>0</v>
      </c>
      <c r="BB21" s="2277" t="s">
        <v>1947</v>
      </c>
    </row>
    <row r="22" spans="1:54" s="1902" customFormat="1" ht="13.5" customHeight="1">
      <c r="B22" s="2614"/>
      <c r="C22" s="2617"/>
      <c r="D22" s="2681"/>
      <c r="E22" s="2683"/>
      <c r="F22" s="1893" t="s">
        <v>1935</v>
      </c>
      <c r="G22" s="1894"/>
      <c r="H22" s="1894"/>
      <c r="I22" s="1894"/>
      <c r="J22" s="1894"/>
      <c r="K22" s="1894"/>
      <c r="L22" s="1894"/>
      <c r="M22" s="1894"/>
      <c r="N22" s="1894"/>
      <c r="O22" s="1894"/>
      <c r="P22" s="1894"/>
      <c r="Q22" s="1895"/>
      <c r="R22" s="2561">
        <v>326600</v>
      </c>
      <c r="S22" s="2562"/>
      <c r="T22" s="2562"/>
      <c r="U22" s="2563"/>
      <c r="V22" s="2612">
        <f ca="1">SUMIF(見積拾!C$7:D$33,F22,見積拾!T$7:T$33)</f>
        <v>0</v>
      </c>
      <c r="W22" s="2613"/>
      <c r="X22" s="2613"/>
      <c r="Y22" s="2613"/>
      <c r="Z22" s="2500" t="s">
        <v>768</v>
      </c>
      <c r="AA22" s="2501"/>
      <c r="AB22" s="2499">
        <f t="shared" ref="AB22:AB23" ca="1" si="4">INT(R22*V22)</f>
        <v>0</v>
      </c>
      <c r="AC22" s="2500"/>
      <c r="AD22" s="2500"/>
      <c r="AE22" s="2501"/>
      <c r="AF22" s="2778"/>
      <c r="AG22" s="2779"/>
      <c r="AH22" s="2779"/>
      <c r="AI22" s="2874"/>
      <c r="AJ22" s="2884" t="s">
        <v>54</v>
      </c>
      <c r="AK22" s="2885"/>
      <c r="AL22" s="2885"/>
      <c r="AM22" s="2886"/>
      <c r="AN22" s="1906" t="s">
        <v>54</v>
      </c>
      <c r="AO22" s="1907"/>
      <c r="AP22" s="1908" t="s">
        <v>54</v>
      </c>
      <c r="AQ22" s="1909"/>
      <c r="AR22" s="2872"/>
      <c r="AS22" s="2873"/>
      <c r="AT22" s="2873"/>
      <c r="AU22" s="2968"/>
      <c r="AV22" s="2778"/>
      <c r="AW22" s="2779"/>
      <c r="AX22" s="2779"/>
      <c r="AY22" s="2779"/>
      <c r="AZ22" s="2874"/>
      <c r="BA22" s="25" t="b">
        <f t="shared" ref="BA22:BA23" ca="1" si="5">V22&lt;&gt;0</f>
        <v>0</v>
      </c>
      <c r="BB22" s="2277" t="s">
        <v>1948</v>
      </c>
    </row>
    <row r="23" spans="1:54" s="1902" customFormat="1" ht="13.5" customHeight="1">
      <c r="B23" s="2614"/>
      <c r="C23" s="2617"/>
      <c r="D23" s="2681"/>
      <c r="E23" s="2683"/>
      <c r="F23" s="1893" t="s">
        <v>1936</v>
      </c>
      <c r="G23" s="1894"/>
      <c r="H23" s="1894"/>
      <c r="I23" s="1894"/>
      <c r="J23" s="1894"/>
      <c r="K23" s="1894"/>
      <c r="L23" s="1894"/>
      <c r="M23" s="1894"/>
      <c r="N23" s="1894"/>
      <c r="O23" s="1894"/>
      <c r="P23" s="1894"/>
      <c r="Q23" s="1895"/>
      <c r="R23" s="2561">
        <f>ROUNDDOWN(4750/0.0186,-1)</f>
        <v>255370</v>
      </c>
      <c r="S23" s="2562"/>
      <c r="T23" s="2562"/>
      <c r="U23" s="2563"/>
      <c r="V23" s="2612">
        <f ca="1">SUMIF(見積拾!C$7:D$33,F23,見積拾!T$7:T$33)</f>
        <v>0</v>
      </c>
      <c r="W23" s="2613"/>
      <c r="X23" s="2613"/>
      <c r="Y23" s="2613"/>
      <c r="Z23" s="2500" t="s">
        <v>768</v>
      </c>
      <c r="AA23" s="2501"/>
      <c r="AB23" s="2499">
        <f t="shared" ca="1" si="4"/>
        <v>0</v>
      </c>
      <c r="AC23" s="2500"/>
      <c r="AD23" s="2500"/>
      <c r="AE23" s="2501"/>
      <c r="AF23" s="2778"/>
      <c r="AG23" s="2779"/>
      <c r="AH23" s="2779"/>
      <c r="AI23" s="2874"/>
      <c r="AJ23" s="2884" t="s">
        <v>54</v>
      </c>
      <c r="AK23" s="2885"/>
      <c r="AL23" s="2885"/>
      <c r="AM23" s="2886"/>
      <c r="AN23" s="1906" t="s">
        <v>54</v>
      </c>
      <c r="AO23" s="1907"/>
      <c r="AP23" s="1908" t="s">
        <v>54</v>
      </c>
      <c r="AQ23" s="1909"/>
      <c r="AR23" s="2872"/>
      <c r="AS23" s="2873"/>
      <c r="AT23" s="2873"/>
      <c r="AU23" s="2968"/>
      <c r="AV23" s="2778"/>
      <c r="AW23" s="2779"/>
      <c r="AX23" s="2779"/>
      <c r="AY23" s="2779"/>
      <c r="AZ23" s="2874"/>
      <c r="BA23" s="25" t="b">
        <f t="shared" ca="1" si="5"/>
        <v>0</v>
      </c>
      <c r="BB23" s="2277" t="s">
        <v>2054</v>
      </c>
    </row>
    <row r="24" spans="1:54" ht="13.5" customHeight="1">
      <c r="B24" s="2614"/>
      <c r="C24" s="2616"/>
      <c r="D24" s="2681"/>
      <c r="E24" s="2682"/>
      <c r="F24" s="1899" t="s">
        <v>1937</v>
      </c>
      <c r="G24" s="1900"/>
      <c r="H24" s="1900"/>
      <c r="I24" s="1900"/>
      <c r="J24" s="1900"/>
      <c r="K24" s="1900"/>
      <c r="L24" s="1900"/>
      <c r="M24" s="1900"/>
      <c r="N24" s="1900"/>
      <c r="O24" s="1900"/>
      <c r="P24" s="1900"/>
      <c r="Q24" s="1901"/>
      <c r="R24" s="2904">
        <f>ROUNDDOWN(3650/0.0125,-1)</f>
        <v>292000</v>
      </c>
      <c r="S24" s="2905"/>
      <c r="T24" s="2905"/>
      <c r="U24" s="2906"/>
      <c r="V24" s="2771">
        <f ca="1">SUMIF(見積拾!C$7:D$33,F24,見積拾!T$7:T$33)</f>
        <v>0</v>
      </c>
      <c r="W24" s="2772"/>
      <c r="X24" s="2772"/>
      <c r="Y24" s="2772"/>
      <c r="Z24" s="2760" t="s">
        <v>768</v>
      </c>
      <c r="AA24" s="2838"/>
      <c r="AB24" s="2866">
        <f t="shared" ca="1" si="0"/>
        <v>0</v>
      </c>
      <c r="AC24" s="2760"/>
      <c r="AD24" s="2760"/>
      <c r="AE24" s="2838"/>
      <c r="AF24" s="2578"/>
      <c r="AG24" s="2579"/>
      <c r="AH24" s="2579"/>
      <c r="AI24" s="2836"/>
      <c r="AJ24" s="2851" t="s">
        <v>54</v>
      </c>
      <c r="AK24" s="2736"/>
      <c r="AL24" s="2736"/>
      <c r="AM24" s="2852"/>
      <c r="AN24" s="1914" t="s">
        <v>54</v>
      </c>
      <c r="AO24" s="1915"/>
      <c r="AP24" s="1916" t="s">
        <v>54</v>
      </c>
      <c r="AQ24" s="1917"/>
      <c r="AR24" s="2888"/>
      <c r="AS24" s="2889"/>
      <c r="AT24" s="2889"/>
      <c r="AU24" s="2890"/>
      <c r="AV24" s="2578"/>
      <c r="AW24" s="2579"/>
      <c r="AX24" s="2579"/>
      <c r="AY24" s="2579"/>
      <c r="AZ24" s="2836"/>
      <c r="BA24" s="25" t="b">
        <f t="shared" ca="1" si="1"/>
        <v>0</v>
      </c>
      <c r="BB24" s="2277"/>
    </row>
    <row r="25" spans="1:54" ht="13.5" customHeight="1">
      <c r="B25" s="2614"/>
      <c r="C25" s="2616"/>
      <c r="D25" s="2681"/>
      <c r="E25" s="2682"/>
      <c r="F25" s="2297" t="s">
        <v>2062</v>
      </c>
      <c r="G25" s="2298"/>
      <c r="H25" s="2298"/>
      <c r="I25" s="2298"/>
      <c r="J25" s="1997"/>
      <c r="K25" s="1997"/>
      <c r="L25" s="1997"/>
      <c r="M25" s="1997"/>
      <c r="N25" s="1997"/>
      <c r="O25" s="1997"/>
      <c r="P25" s="1997"/>
      <c r="Q25" s="1998"/>
      <c r="R25" s="2561">
        <v>228580</v>
      </c>
      <c r="S25" s="2562"/>
      <c r="T25" s="2562"/>
      <c r="U25" s="2563"/>
      <c r="V25" s="2612">
        <f ca="1">SUMIF(見積拾!C$7:D$33,F25,見積拾!T$7:T$33)</f>
        <v>0</v>
      </c>
      <c r="W25" s="2613"/>
      <c r="X25" s="2613"/>
      <c r="Y25" s="2613"/>
      <c r="Z25" s="2500" t="s">
        <v>768</v>
      </c>
      <c r="AA25" s="2501"/>
      <c r="AB25" s="2499">
        <f t="shared" ca="1" si="0"/>
        <v>0</v>
      </c>
      <c r="AC25" s="2500"/>
      <c r="AD25" s="2500"/>
      <c r="AE25" s="2501"/>
      <c r="AF25" s="2931">
        <f ca="1">SUM(AB25:AE29)</f>
        <v>0</v>
      </c>
      <c r="AG25" s="2932"/>
      <c r="AH25" s="2932"/>
      <c r="AI25" s="2933"/>
      <c r="AJ25" s="2940"/>
      <c r="AK25" s="2941"/>
      <c r="AL25" s="2946" t="e">
        <f>VLOOKUP(AJ25,AJ30:AM35,3,0)</f>
        <v>#N/A</v>
      </c>
      <c r="AM25" s="2947"/>
      <c r="AN25" s="3163"/>
      <c r="AO25" s="3164"/>
      <c r="AP25" s="3169" t="e">
        <f>VLOOKUP(AN25,AN30:AQ32,3,0)</f>
        <v>#N/A</v>
      </c>
      <c r="AQ25" s="3170"/>
      <c r="AR25" s="3175">
        <f>IF(OR(AJ25="",AN25=""),0,ROUNDDOWN(AL25*AP25,2))</f>
        <v>0</v>
      </c>
      <c r="AS25" s="3176"/>
      <c r="AT25" s="3176"/>
      <c r="AU25" s="3170"/>
      <c r="AV25" s="2934">
        <f ca="1">INT(AF25*AR25)</f>
        <v>0</v>
      </c>
      <c r="AW25" s="2935"/>
      <c r="AX25" s="2935"/>
      <c r="AY25" s="2935"/>
      <c r="AZ25" s="2936"/>
      <c r="BA25" s="25" t="b">
        <f t="shared" ca="1" si="1"/>
        <v>0</v>
      </c>
      <c r="BB25" s="2278" t="s">
        <v>2387</v>
      </c>
    </row>
    <row r="26" spans="1:54" ht="13.5" customHeight="1">
      <c r="B26" s="2614"/>
      <c r="C26" s="2616"/>
      <c r="D26" s="2681"/>
      <c r="E26" s="2682"/>
      <c r="F26" s="2297" t="s">
        <v>2063</v>
      </c>
      <c r="G26" s="2298"/>
      <c r="H26" s="2298"/>
      <c r="I26" s="2298"/>
      <c r="J26" s="1997"/>
      <c r="K26" s="1997"/>
      <c r="L26" s="1997"/>
      <c r="M26" s="1997"/>
      <c r="N26" s="1997"/>
      <c r="O26" s="1997"/>
      <c r="P26" s="1997"/>
      <c r="Q26" s="1998"/>
      <c r="R26" s="2561">
        <v>247390</v>
      </c>
      <c r="S26" s="2562"/>
      <c r="T26" s="2562"/>
      <c r="U26" s="2563"/>
      <c r="V26" s="2612">
        <f ca="1">SUMIF(見積拾!C$7:D$33,F26,見積拾!T$7:T$33)</f>
        <v>0</v>
      </c>
      <c r="W26" s="2613"/>
      <c r="X26" s="2613"/>
      <c r="Y26" s="2613"/>
      <c r="Z26" s="2500" t="s">
        <v>768</v>
      </c>
      <c r="AA26" s="2501"/>
      <c r="AB26" s="2499">
        <f t="shared" ca="1" si="0"/>
        <v>0</v>
      </c>
      <c r="AC26" s="2500"/>
      <c r="AD26" s="2500"/>
      <c r="AE26" s="2501"/>
      <c r="AF26" s="2934"/>
      <c r="AG26" s="2935"/>
      <c r="AH26" s="2935"/>
      <c r="AI26" s="2936"/>
      <c r="AJ26" s="2942"/>
      <c r="AK26" s="2943"/>
      <c r="AL26" s="2948"/>
      <c r="AM26" s="2949"/>
      <c r="AN26" s="3165"/>
      <c r="AO26" s="3166"/>
      <c r="AP26" s="3171"/>
      <c r="AQ26" s="3172"/>
      <c r="AR26" s="3177"/>
      <c r="AS26" s="3178"/>
      <c r="AT26" s="3178"/>
      <c r="AU26" s="3172"/>
      <c r="AV26" s="2934"/>
      <c r="AW26" s="2935"/>
      <c r="AX26" s="2935"/>
      <c r="AY26" s="2935"/>
      <c r="AZ26" s="2936"/>
      <c r="BA26" s="25" t="b">
        <f t="shared" ca="1" si="1"/>
        <v>0</v>
      </c>
      <c r="BB26" s="2277"/>
    </row>
    <row r="27" spans="1:54" ht="13.5" customHeight="1">
      <c r="B27" s="2614"/>
      <c r="C27" s="2616"/>
      <c r="D27" s="2681"/>
      <c r="E27" s="2682"/>
      <c r="F27" s="2307" t="s">
        <v>2064</v>
      </c>
      <c r="G27" s="2308"/>
      <c r="H27" s="2308"/>
      <c r="I27" s="2308"/>
      <c r="J27" s="1999"/>
      <c r="K27" s="1999"/>
      <c r="L27" s="1999"/>
      <c r="M27" s="1999"/>
      <c r="N27" s="1999"/>
      <c r="O27" s="1999"/>
      <c r="P27" s="1999"/>
      <c r="Q27" s="2000"/>
      <c r="R27" s="2904">
        <v>294580</v>
      </c>
      <c r="S27" s="2905"/>
      <c r="T27" s="2905"/>
      <c r="U27" s="2906"/>
      <c r="V27" s="2771">
        <f ca="1">SUMIF(見積拾!C$7:D$33,F27,見積拾!T$7:T$33)</f>
        <v>0</v>
      </c>
      <c r="W27" s="2772"/>
      <c r="X27" s="2772"/>
      <c r="Y27" s="2772"/>
      <c r="Z27" s="2760" t="s">
        <v>768</v>
      </c>
      <c r="AA27" s="2838"/>
      <c r="AB27" s="2866">
        <f t="shared" ca="1" si="0"/>
        <v>0</v>
      </c>
      <c r="AC27" s="2760"/>
      <c r="AD27" s="2760"/>
      <c r="AE27" s="2838"/>
      <c r="AF27" s="2934"/>
      <c r="AG27" s="2935"/>
      <c r="AH27" s="2935"/>
      <c r="AI27" s="2936"/>
      <c r="AJ27" s="2942"/>
      <c r="AK27" s="2943"/>
      <c r="AL27" s="2948"/>
      <c r="AM27" s="2949"/>
      <c r="AN27" s="3165"/>
      <c r="AO27" s="3166"/>
      <c r="AP27" s="3171"/>
      <c r="AQ27" s="3172"/>
      <c r="AR27" s="3177"/>
      <c r="AS27" s="3178"/>
      <c r="AT27" s="3178"/>
      <c r="AU27" s="3172"/>
      <c r="AV27" s="2934"/>
      <c r="AW27" s="2935"/>
      <c r="AX27" s="2935"/>
      <c r="AY27" s="2935"/>
      <c r="AZ27" s="2936"/>
      <c r="BA27" s="25" t="b">
        <f t="shared" ca="1" si="1"/>
        <v>0</v>
      </c>
      <c r="BB27" s="2277"/>
    </row>
    <row r="28" spans="1:54" ht="13.5" customHeight="1">
      <c r="B28" s="2614"/>
      <c r="C28" s="2616"/>
      <c r="D28" s="2681"/>
      <c r="E28" s="2682"/>
      <c r="F28" s="2696" t="s">
        <v>1373</v>
      </c>
      <c r="G28" s="2697"/>
      <c r="H28" s="2697"/>
      <c r="I28" s="2697"/>
      <c r="J28" s="2697"/>
      <c r="K28" s="2698"/>
      <c r="L28" s="40" t="s">
        <v>769</v>
      </c>
      <c r="M28" s="41"/>
      <c r="N28" s="41"/>
      <c r="O28" s="41"/>
      <c r="P28" s="41"/>
      <c r="Q28" s="42"/>
      <c r="R28" s="2867">
        <v>228580</v>
      </c>
      <c r="S28" s="2868"/>
      <c r="T28" s="2868"/>
      <c r="U28" s="2869"/>
      <c r="V28" s="2882">
        <f>-V31</f>
        <v>0</v>
      </c>
      <c r="W28" s="2883"/>
      <c r="X28" s="2883"/>
      <c r="Y28" s="2883"/>
      <c r="Z28" s="2652" t="s">
        <v>768</v>
      </c>
      <c r="AA28" s="2653"/>
      <c r="AB28" s="2651">
        <f>ROUNDDOWN(R28*V28,0)</f>
        <v>0</v>
      </c>
      <c r="AC28" s="2652"/>
      <c r="AD28" s="2652"/>
      <c r="AE28" s="2653"/>
      <c r="AF28" s="2934"/>
      <c r="AG28" s="2935"/>
      <c r="AH28" s="2935"/>
      <c r="AI28" s="2936"/>
      <c r="AJ28" s="2942"/>
      <c r="AK28" s="2943"/>
      <c r="AL28" s="2948"/>
      <c r="AM28" s="2949"/>
      <c r="AN28" s="3165"/>
      <c r="AO28" s="3166"/>
      <c r="AP28" s="3171"/>
      <c r="AQ28" s="3172"/>
      <c r="AR28" s="3177"/>
      <c r="AS28" s="3178"/>
      <c r="AT28" s="3178"/>
      <c r="AU28" s="3172"/>
      <c r="AV28" s="2934"/>
      <c r="AW28" s="2935"/>
      <c r="AX28" s="2935"/>
      <c r="AY28" s="2935"/>
      <c r="AZ28" s="2936"/>
      <c r="BA28" s="25" t="b">
        <f t="shared" ref="BA28:BA36" ca="1" si="6">BA$19</f>
        <v>0</v>
      </c>
      <c r="BB28" s="2277" t="s">
        <v>2331</v>
      </c>
    </row>
    <row r="29" spans="1:54" ht="13.5" customHeight="1">
      <c r="B29" s="2614"/>
      <c r="C29" s="2616"/>
      <c r="D29" s="2681"/>
      <c r="E29" s="2682"/>
      <c r="F29" s="2755" t="s">
        <v>1461</v>
      </c>
      <c r="G29" s="2756"/>
      <c r="H29" s="2756"/>
      <c r="I29" s="2756"/>
      <c r="J29" s="2756"/>
      <c r="K29" s="2855"/>
      <c r="L29" s="44" t="s">
        <v>770</v>
      </c>
      <c r="M29" s="45"/>
      <c r="N29" s="45"/>
      <c r="O29" s="45"/>
      <c r="P29" s="45"/>
      <c r="Q29" s="46"/>
      <c r="R29" s="2866">
        <f>+R28</f>
        <v>228580</v>
      </c>
      <c r="S29" s="2760"/>
      <c r="T29" s="2760"/>
      <c r="U29" s="2838"/>
      <c r="V29" s="2771">
        <f>-V32</f>
        <v>0</v>
      </c>
      <c r="W29" s="2772"/>
      <c r="X29" s="2772"/>
      <c r="Y29" s="2772"/>
      <c r="Z29" s="2760" t="s">
        <v>768</v>
      </c>
      <c r="AA29" s="2838"/>
      <c r="AB29" s="2866">
        <f>ROUNDDOWN(R29*V29,0)</f>
        <v>0</v>
      </c>
      <c r="AC29" s="2760"/>
      <c r="AD29" s="2760"/>
      <c r="AE29" s="2838"/>
      <c r="AF29" s="2937"/>
      <c r="AG29" s="2938"/>
      <c r="AH29" s="2938"/>
      <c r="AI29" s="2939"/>
      <c r="AJ29" s="2944"/>
      <c r="AK29" s="2945"/>
      <c r="AL29" s="2950"/>
      <c r="AM29" s="2951"/>
      <c r="AN29" s="3167"/>
      <c r="AO29" s="3168"/>
      <c r="AP29" s="3173"/>
      <c r="AQ29" s="3174"/>
      <c r="AR29" s="3179"/>
      <c r="AS29" s="3180"/>
      <c r="AT29" s="3180"/>
      <c r="AU29" s="3174"/>
      <c r="AV29" s="2937"/>
      <c r="AW29" s="2938"/>
      <c r="AX29" s="2938"/>
      <c r="AY29" s="2938"/>
      <c r="AZ29" s="2939"/>
      <c r="BA29" s="25" t="b">
        <f t="shared" ca="1" si="6"/>
        <v>0</v>
      </c>
      <c r="BB29" s="2277" t="s">
        <v>2327</v>
      </c>
    </row>
    <row r="30" spans="1:54" ht="13.5" customHeight="1">
      <c r="B30" s="2614"/>
      <c r="C30" s="2616"/>
      <c r="D30" s="2681"/>
      <c r="E30" s="2682"/>
      <c r="F30" s="4"/>
      <c r="G30" s="4" t="s">
        <v>55</v>
      </c>
      <c r="H30" s="4"/>
      <c r="I30" s="4"/>
      <c r="J30" s="4"/>
      <c r="K30" s="4"/>
      <c r="L30" s="4"/>
      <c r="M30" s="4"/>
      <c r="N30" s="4"/>
      <c r="O30" s="4"/>
      <c r="P30" s="4"/>
      <c r="Q30" s="4"/>
      <c r="R30" s="4"/>
      <c r="S30" s="4"/>
      <c r="T30" s="4"/>
      <c r="U30" s="4"/>
      <c r="V30" s="57"/>
      <c r="W30" s="57"/>
      <c r="X30" s="57"/>
      <c r="Y30" s="57"/>
      <c r="Z30" s="4"/>
      <c r="AA30" s="4"/>
      <c r="AB30" s="4"/>
      <c r="AC30" s="4"/>
      <c r="AD30" s="4"/>
      <c r="AE30" s="4"/>
      <c r="AF30" s="58"/>
      <c r="AG30" s="58"/>
      <c r="AH30" s="58"/>
      <c r="AI30" s="58"/>
      <c r="AJ30" s="59" t="s">
        <v>771</v>
      </c>
      <c r="AK30" s="60"/>
      <c r="AL30" s="61" t="e">
        <f>MAX(AL35,MIN(AL31,ROUNDDOWN(IF($E$11=0,0,IF($E$11&lt;AJ32,AL32+(AL31-AL32)/(AJ31-AJ32)*($E$11-AJ32),IF($E$11&gt;AJ34,AL34+(AL35-AL34)/(AJ35-AJ34)*($E$11-AJ34),IF($E$11&lt;AJ33,AL33+(AL32-AL33)/(AJ32-AJ33)*($E$11-AJ33),AL33+(AL33-AL34)/(AJ33-AJ34)*($E$11-AJ33))))),2)))</f>
        <v>#N/A</v>
      </c>
      <c r="AM30" s="62"/>
      <c r="AN30" s="63" t="e">
        <f>VLOOKUP($AD$8,主体明確補正,IF($AM$7="SRC",2,20),0)</f>
        <v>#N/A</v>
      </c>
      <c r="AO30" s="64"/>
      <c r="AP30" s="65" t="e">
        <f>VLOOKUP($AD$8,主体明確補正,IF($AM$7="SRC",3,21),0)</f>
        <v>#N/A</v>
      </c>
      <c r="AQ30" s="66"/>
      <c r="AR30" s="67"/>
      <c r="AS30" s="67"/>
      <c r="AT30" s="67"/>
      <c r="AU30" s="67"/>
      <c r="AV30" s="67"/>
      <c r="AW30" s="67"/>
      <c r="AX30" s="67"/>
      <c r="AY30" s="67"/>
      <c r="AZ30" s="68"/>
      <c r="BA30" s="25" t="b">
        <f t="shared" ca="1" si="6"/>
        <v>0</v>
      </c>
      <c r="BB30" s="2277" t="s">
        <v>2328</v>
      </c>
    </row>
    <row r="31" spans="1:54" ht="13.5" customHeight="1">
      <c r="B31" s="2614"/>
      <c r="C31" s="2616"/>
      <c r="D31" s="2681"/>
      <c r="E31" s="2682"/>
      <c r="F31" s="4"/>
      <c r="G31" s="34" t="s">
        <v>56</v>
      </c>
      <c r="H31" s="32"/>
      <c r="I31" s="2971"/>
      <c r="J31" s="2972"/>
      <c r="K31" s="2972"/>
      <c r="L31" s="69" t="s">
        <v>57</v>
      </c>
      <c r="M31" s="70"/>
      <c r="N31" s="70"/>
      <c r="O31" s="70"/>
      <c r="P31" s="2902" t="str">
        <f>+IF(ISNUMBER(FIND("必要",F28)),VLOOKUP(AD8,標準量,14,FALSE),"-")</f>
        <v>-</v>
      </c>
      <c r="Q31" s="2902"/>
      <c r="R31" s="2902"/>
      <c r="S31" s="2775" t="s">
        <v>772</v>
      </c>
      <c r="T31" s="2775"/>
      <c r="U31" s="2775"/>
      <c r="V31" s="2773">
        <f>ROUNDUP(IF(I31="",0,I31/P31*0.005),3)</f>
        <v>0</v>
      </c>
      <c r="W31" s="2773"/>
      <c r="X31" s="2774"/>
      <c r="Y31" s="71"/>
      <c r="Z31" s="72"/>
      <c r="AA31" s="72"/>
      <c r="AB31" s="72"/>
      <c r="AC31" s="73"/>
      <c r="AD31" s="73"/>
      <c r="AE31" s="73"/>
      <c r="AF31" s="73"/>
      <c r="AI31" s="58"/>
      <c r="AJ31" s="74" t="e">
        <f>VLOOKUP($AD$8,主体明確補正,8,0)</f>
        <v>#N/A</v>
      </c>
      <c r="AK31" s="75"/>
      <c r="AL31" s="76" t="e">
        <f>VLOOKUP($AD$8,主体明確補正,9,0)</f>
        <v>#N/A</v>
      </c>
      <c r="AM31" s="77"/>
      <c r="AN31" s="78" t="e">
        <f>VLOOKUP($AD$8,主体明確補正,IF($AM$7="SRC",4,22),0)</f>
        <v>#N/A</v>
      </c>
      <c r="AO31" s="79"/>
      <c r="AP31" s="80" t="e">
        <f>VLOOKUP($AD$8,主体明確補正,IF($AM$7="SRC",5,23),0)</f>
        <v>#N/A</v>
      </c>
      <c r="AQ31" s="81"/>
      <c r="AR31" s="67"/>
      <c r="AS31" s="67"/>
      <c r="AT31" s="67"/>
      <c r="AU31" s="67"/>
      <c r="AV31" s="67"/>
      <c r="AW31" s="67"/>
      <c r="AX31" s="67"/>
      <c r="AY31" s="67"/>
      <c r="AZ31" s="68"/>
      <c r="BA31" s="25" t="b">
        <f t="shared" ca="1" si="6"/>
        <v>0</v>
      </c>
      <c r="BB31" s="2277" t="s">
        <v>2329</v>
      </c>
    </row>
    <row r="32" spans="1:54" ht="13.5" customHeight="1">
      <c r="B32" s="2614"/>
      <c r="C32" s="2616"/>
      <c r="D32" s="2681"/>
      <c r="E32" s="2682"/>
      <c r="F32" s="4"/>
      <c r="G32" s="34" t="s">
        <v>773</v>
      </c>
      <c r="H32" s="32"/>
      <c r="I32" s="2971"/>
      <c r="J32" s="2972"/>
      <c r="K32" s="2972"/>
      <c r="L32" s="69" t="s">
        <v>774</v>
      </c>
      <c r="M32" s="70"/>
      <c r="N32" s="70"/>
      <c r="O32" s="70"/>
      <c r="P32" s="2903" t="str">
        <f>+IF(ISNUMBER(FIND("必要",F29)),VLOOKUP(AD8,標準量,15,FALSE),"-")</f>
        <v>-</v>
      </c>
      <c r="Q32" s="2903"/>
      <c r="R32" s="2903"/>
      <c r="S32" s="2775" t="s">
        <v>772</v>
      </c>
      <c r="T32" s="2775"/>
      <c r="U32" s="2775"/>
      <c r="V32" s="2773">
        <f>ROUNDUP(IF(I32="",0,I32/P32*0.005),3)</f>
        <v>0</v>
      </c>
      <c r="W32" s="2773"/>
      <c r="X32" s="2774"/>
      <c r="Y32" s="71"/>
      <c r="Z32" s="72"/>
      <c r="AA32" s="72"/>
      <c r="AB32" s="72"/>
      <c r="AC32" s="73"/>
      <c r="AD32" s="73"/>
      <c r="AE32" s="73"/>
      <c r="AF32" s="73"/>
      <c r="AI32" s="58"/>
      <c r="AJ32" s="74" t="e">
        <f>VLOOKUP($AD$8,主体明確補正,10,0)</f>
        <v>#N/A</v>
      </c>
      <c r="AK32" s="75"/>
      <c r="AL32" s="76" t="e">
        <f>VLOOKUP($AD$8,主体明確補正,11,0)</f>
        <v>#N/A</v>
      </c>
      <c r="AM32" s="77"/>
      <c r="AN32" s="82" t="e">
        <f>VLOOKUP($AD$8,主体明確補正,IF($AM$7="SRC",6,24),0)</f>
        <v>#N/A</v>
      </c>
      <c r="AO32" s="83"/>
      <c r="AP32" s="84" t="e">
        <f>VLOOKUP($AD$8,主体明確補正,IF($AM$7="SRC",7,25),0)</f>
        <v>#N/A</v>
      </c>
      <c r="AQ32" s="85"/>
      <c r="AR32" s="67"/>
      <c r="AS32" s="67"/>
      <c r="AT32" s="67"/>
      <c r="AU32" s="67"/>
      <c r="AV32" s="67"/>
      <c r="AW32" s="67"/>
      <c r="AX32" s="67"/>
      <c r="AY32" s="67"/>
      <c r="AZ32" s="68"/>
      <c r="BA32" s="25" t="b">
        <f t="shared" ca="1" si="6"/>
        <v>0</v>
      </c>
      <c r="BB32" s="2278" t="s">
        <v>2330</v>
      </c>
    </row>
    <row r="33" spans="2:54" ht="13.5" customHeight="1">
      <c r="B33" s="2614"/>
      <c r="C33" s="2616"/>
      <c r="D33" s="2681"/>
      <c r="E33" s="2682"/>
      <c r="F33" s="4"/>
      <c r="G33" s="4"/>
      <c r="H33" s="4"/>
      <c r="I33" s="4"/>
      <c r="J33" s="4"/>
      <c r="K33" s="4"/>
      <c r="L33" s="4"/>
      <c r="M33" s="4"/>
      <c r="N33" s="4"/>
      <c r="O33" s="4"/>
      <c r="P33" s="4"/>
      <c r="Q33" s="4"/>
      <c r="R33" s="4"/>
      <c r="S33" s="4"/>
      <c r="T33" s="4"/>
      <c r="U33" s="4"/>
      <c r="V33" s="57"/>
      <c r="W33" s="57"/>
      <c r="X33" s="57"/>
      <c r="Y33" s="57"/>
      <c r="Z33" s="4"/>
      <c r="AA33" s="4"/>
      <c r="AB33" s="4"/>
      <c r="AC33" s="4"/>
      <c r="AD33" s="4"/>
      <c r="AE33" s="4"/>
      <c r="AF33" s="58"/>
      <c r="AG33" s="58"/>
      <c r="AH33" s="58"/>
      <c r="AI33" s="58"/>
      <c r="AJ33" s="74" t="e">
        <f>VLOOKUP($AD$8,主体明確補正,12,0)</f>
        <v>#N/A</v>
      </c>
      <c r="AK33" s="75"/>
      <c r="AL33" s="76" t="e">
        <f>VLOOKUP($AD$8,主体明確補正,13,0)</f>
        <v>#N/A</v>
      </c>
      <c r="AM33" s="77"/>
      <c r="AN33" s="86"/>
      <c r="AO33" s="86"/>
      <c r="AP33" s="87"/>
      <c r="AQ33" s="87"/>
      <c r="AR33" s="87"/>
      <c r="AS33" s="87"/>
      <c r="AT33" s="87"/>
      <c r="AU33" s="87"/>
      <c r="AV33" s="67"/>
      <c r="AW33" s="67"/>
      <c r="AX33" s="67"/>
      <c r="AY33" s="67"/>
      <c r="AZ33" s="68"/>
      <c r="BA33" s="25" t="b">
        <f t="shared" ca="1" si="6"/>
        <v>0</v>
      </c>
    </row>
    <row r="34" spans="2:54" ht="13.5" customHeight="1">
      <c r="B34" s="2614"/>
      <c r="C34" s="2616"/>
      <c r="D34" s="2681"/>
      <c r="E34" s="2682"/>
      <c r="F34" s="88"/>
      <c r="G34" s="4"/>
      <c r="H34" s="4"/>
      <c r="I34" s="4"/>
      <c r="J34" s="4"/>
      <c r="K34" s="4"/>
      <c r="L34" s="4"/>
      <c r="M34" s="4"/>
      <c r="N34" s="4"/>
      <c r="O34" s="4"/>
      <c r="P34" s="4"/>
      <c r="Q34" s="4"/>
      <c r="R34" s="4"/>
      <c r="S34" s="4"/>
      <c r="T34" s="4"/>
      <c r="U34" s="4"/>
      <c r="V34" s="57"/>
      <c r="W34" s="57"/>
      <c r="X34" s="57"/>
      <c r="Y34" s="57"/>
      <c r="Z34" s="4"/>
      <c r="AA34" s="4"/>
      <c r="AB34" s="4"/>
      <c r="AC34" s="4"/>
      <c r="AD34" s="4"/>
      <c r="AE34" s="4"/>
      <c r="AF34" s="58"/>
      <c r="AG34" s="58"/>
      <c r="AH34" s="58"/>
      <c r="AI34" s="58"/>
      <c r="AJ34" s="74" t="e">
        <f>VLOOKUP($AD$8,主体明確補正,14,0)</f>
        <v>#N/A</v>
      </c>
      <c r="AK34" s="75"/>
      <c r="AL34" s="76" t="e">
        <f>VLOOKUP($AD$8,主体明確補正,15,0)</f>
        <v>#N/A</v>
      </c>
      <c r="AM34" s="77"/>
      <c r="AN34" s="86"/>
      <c r="AO34" s="86"/>
      <c r="AP34" s="87"/>
      <c r="AQ34" s="87"/>
      <c r="AR34" s="87"/>
      <c r="AS34" s="87"/>
      <c r="AT34" s="87"/>
      <c r="AU34" s="87"/>
      <c r="AV34" s="67"/>
      <c r="AW34" s="67"/>
      <c r="AX34" s="67"/>
      <c r="AY34" s="67"/>
      <c r="AZ34" s="68"/>
      <c r="BA34" s="25" t="b">
        <f t="shared" ca="1" si="6"/>
        <v>0</v>
      </c>
    </row>
    <row r="35" spans="2:54" ht="13.5" customHeight="1">
      <c r="B35" s="2614"/>
      <c r="C35" s="2616"/>
      <c r="D35" s="2681"/>
      <c r="E35" s="2682"/>
      <c r="F35" s="88"/>
      <c r="G35" s="4"/>
      <c r="H35" s="4"/>
      <c r="I35" s="4"/>
      <c r="J35" s="4"/>
      <c r="K35" s="4"/>
      <c r="L35" s="4"/>
      <c r="M35" s="4"/>
      <c r="N35" s="4"/>
      <c r="O35" s="4"/>
      <c r="P35" s="4"/>
      <c r="Q35" s="4"/>
      <c r="R35" s="1570"/>
      <c r="S35" s="1570"/>
      <c r="T35" s="1570"/>
      <c r="U35" s="1570"/>
      <c r="V35" s="1572"/>
      <c r="W35" s="1572"/>
      <c r="X35" s="1572"/>
      <c r="Y35" s="1572"/>
      <c r="Z35" s="89"/>
      <c r="AA35" s="89"/>
      <c r="AB35" s="89"/>
      <c r="AC35" s="89"/>
      <c r="AD35" s="89"/>
      <c r="AE35" s="89"/>
      <c r="AF35" s="89"/>
      <c r="AG35" s="89"/>
      <c r="AH35" s="89"/>
      <c r="AI35" s="89"/>
      <c r="AJ35" s="90" t="e">
        <f>VLOOKUP($AD$8,主体明確補正,16,0)</f>
        <v>#N/A</v>
      </c>
      <c r="AK35" s="91"/>
      <c r="AL35" s="92" t="e">
        <f>VLOOKUP($AD$8,主体明確補正,17,0)</f>
        <v>#N/A</v>
      </c>
      <c r="AM35" s="93"/>
      <c r="AN35" s="86"/>
      <c r="AO35" s="86"/>
      <c r="AP35" s="87"/>
      <c r="AQ35" s="87"/>
      <c r="AR35" s="87"/>
      <c r="AS35" s="87"/>
      <c r="AT35" s="87"/>
      <c r="AU35" s="87"/>
      <c r="AV35" s="67"/>
      <c r="AW35" s="67"/>
      <c r="AX35" s="67"/>
      <c r="AY35" s="67"/>
      <c r="AZ35" s="68"/>
      <c r="BA35" s="25" t="b">
        <f t="shared" ca="1" si="6"/>
        <v>0</v>
      </c>
    </row>
    <row r="36" spans="2:54" ht="13.5" customHeight="1">
      <c r="B36" s="2614"/>
      <c r="C36" s="2616"/>
      <c r="D36" s="2681"/>
      <c r="E36" s="2682"/>
      <c r="F36" s="88"/>
      <c r="G36" s="4"/>
      <c r="H36" s="4"/>
      <c r="I36" s="4"/>
      <c r="J36" s="4"/>
      <c r="K36" s="4"/>
      <c r="L36" s="4"/>
      <c r="M36" s="4"/>
      <c r="N36" s="4"/>
      <c r="O36" s="4"/>
      <c r="P36" s="4"/>
      <c r="Q36" s="4"/>
      <c r="R36" s="1570"/>
      <c r="S36" s="1570"/>
      <c r="T36" s="1570"/>
      <c r="U36" s="1570"/>
      <c r="V36" s="1571"/>
      <c r="W36" s="1571"/>
      <c r="X36" s="1571"/>
      <c r="Y36" s="1571"/>
      <c r="Z36" s="94"/>
      <c r="AA36" s="94"/>
      <c r="AB36" s="94"/>
      <c r="AC36" s="94"/>
      <c r="AD36" s="94"/>
      <c r="AE36" s="94"/>
      <c r="AF36" s="94"/>
      <c r="AG36" s="94"/>
      <c r="AH36" s="94"/>
      <c r="AI36" s="94"/>
      <c r="AJ36" s="94"/>
      <c r="AK36" s="94"/>
      <c r="AL36" s="87"/>
      <c r="AM36" s="87"/>
      <c r="AN36" s="86"/>
      <c r="AO36" s="86"/>
      <c r="AP36" s="87"/>
      <c r="AQ36" s="87"/>
      <c r="AR36" s="87"/>
      <c r="AS36" s="87"/>
      <c r="AT36" s="87"/>
      <c r="AU36" s="87"/>
      <c r="AV36" s="67"/>
      <c r="AW36" s="67"/>
      <c r="AX36" s="67"/>
      <c r="AY36" s="67"/>
      <c r="AZ36" s="68"/>
      <c r="BA36" s="25" t="b">
        <f t="shared" ca="1" si="6"/>
        <v>0</v>
      </c>
    </row>
    <row r="37" spans="2:54" s="1992" customFormat="1" ht="13.5" customHeight="1">
      <c r="B37" s="2614"/>
      <c r="C37" s="2617"/>
      <c r="D37" s="2681"/>
      <c r="E37" s="2683"/>
      <c r="F37" s="2963" t="s">
        <v>2055</v>
      </c>
      <c r="G37" s="2963"/>
      <c r="H37" s="2963"/>
      <c r="I37" s="2963"/>
      <c r="J37" s="2963"/>
      <c r="K37" s="2963"/>
      <c r="L37" s="2963"/>
      <c r="M37" s="2963"/>
      <c r="N37" s="2963"/>
      <c r="O37" s="2963"/>
      <c r="P37" s="2963"/>
      <c r="Q37" s="2963"/>
      <c r="R37" s="2881" t="s">
        <v>2056</v>
      </c>
      <c r="S37" s="2881"/>
      <c r="T37" s="2881"/>
      <c r="U37" s="2881"/>
      <c r="V37" s="2955" t="s">
        <v>761</v>
      </c>
      <c r="W37" s="2955"/>
      <c r="X37" s="2955"/>
      <c r="Y37" s="2955"/>
      <c r="Z37" s="2955"/>
      <c r="AA37" s="2955"/>
      <c r="AB37" s="2955" t="s">
        <v>976</v>
      </c>
      <c r="AC37" s="2955"/>
      <c r="AD37" s="2955"/>
      <c r="AE37" s="2955"/>
      <c r="AF37" s="2879" t="s">
        <v>2061</v>
      </c>
      <c r="AG37" s="2880"/>
      <c r="AH37" s="2880"/>
      <c r="AI37" s="2880"/>
      <c r="AJ37" s="2955" t="s">
        <v>2059</v>
      </c>
      <c r="AK37" s="2955"/>
      <c r="AL37" s="2955"/>
      <c r="AM37" s="2955"/>
      <c r="AN37" s="2879" t="s">
        <v>2061</v>
      </c>
      <c r="AO37" s="2880"/>
      <c r="AP37" s="2880"/>
      <c r="AQ37" s="2880"/>
      <c r="AR37" s="2964" t="s">
        <v>2199</v>
      </c>
      <c r="AS37" s="2964"/>
      <c r="AT37" s="2964"/>
      <c r="AU37" s="2964"/>
      <c r="AV37" s="2963" t="s">
        <v>2060</v>
      </c>
      <c r="AW37" s="2963"/>
      <c r="AX37" s="2963"/>
      <c r="AY37" s="2963"/>
      <c r="AZ37" s="2963"/>
      <c r="BA37" s="25" t="b">
        <f ca="1">SUM(V38:Y49)&lt;&gt;0</f>
        <v>0</v>
      </c>
      <c r="BB37" s="6" t="s">
        <v>2381</v>
      </c>
    </row>
    <row r="38" spans="2:54" s="1992" customFormat="1" ht="13.5" customHeight="1">
      <c r="B38" s="2614"/>
      <c r="C38" s="2617"/>
      <c r="D38" s="2681"/>
      <c r="E38" s="2683"/>
      <c r="F38" s="2340" t="s">
        <v>2209</v>
      </c>
      <c r="G38" s="2341"/>
      <c r="H38" s="2342"/>
      <c r="I38" s="2342"/>
      <c r="J38" s="2342"/>
      <c r="K38" s="2342"/>
      <c r="L38" s="2342"/>
      <c r="M38" s="2342"/>
      <c r="N38" s="2342"/>
      <c r="O38" s="2342"/>
      <c r="P38" s="2342"/>
      <c r="Q38" s="2343"/>
      <c r="R38" s="2609">
        <v>940</v>
      </c>
      <c r="S38" s="2610"/>
      <c r="T38" s="2610"/>
      <c r="U38" s="2611"/>
      <c r="V38" s="2882">
        <f ca="1">SUMIF(見積拾!C$7:D$33,F38,見積拾!T$7:T$33)</f>
        <v>0</v>
      </c>
      <c r="W38" s="2883"/>
      <c r="X38" s="2883"/>
      <c r="Y38" s="2883"/>
      <c r="Z38" s="2652" t="s">
        <v>2020</v>
      </c>
      <c r="AA38" s="2653"/>
      <c r="AB38" s="2651">
        <f t="shared" ref="AB38:AB44" ca="1" si="7">INT(R38*V38)</f>
        <v>0</v>
      </c>
      <c r="AC38" s="2652"/>
      <c r="AD38" s="2652"/>
      <c r="AE38" s="2653"/>
      <c r="AF38" s="2959" t="s">
        <v>2061</v>
      </c>
      <c r="AG38" s="2959"/>
      <c r="AH38" s="2959"/>
      <c r="AI38" s="2959"/>
      <c r="AJ38" s="2965">
        <v>1.3</v>
      </c>
      <c r="AK38" s="2966"/>
      <c r="AL38" s="2966"/>
      <c r="AM38" s="2967"/>
      <c r="AN38" s="2959" t="s">
        <v>2061</v>
      </c>
      <c r="AO38" s="2959"/>
      <c r="AP38" s="2959"/>
      <c r="AQ38" s="2959"/>
      <c r="AR38" s="2621">
        <f ca="1">+INT(AJ38*AB38)</f>
        <v>0</v>
      </c>
      <c r="AS38" s="2622"/>
      <c r="AT38" s="2622"/>
      <c r="AU38" s="2623"/>
      <c r="AV38" s="3211">
        <f ca="1">SUM(AR38:AU49)</f>
        <v>0</v>
      </c>
      <c r="AW38" s="3212"/>
      <c r="AX38" s="3212"/>
      <c r="AY38" s="3212"/>
      <c r="AZ38" s="2933"/>
      <c r="BA38" s="25" t="b">
        <f t="shared" ref="BA38:BA47" ca="1" si="8">V38&lt;&gt;0</f>
        <v>0</v>
      </c>
      <c r="BB38" s="2277" t="s">
        <v>2267</v>
      </c>
    </row>
    <row r="39" spans="2:54" s="1996" customFormat="1" ht="13.5" customHeight="1">
      <c r="B39" s="2614"/>
      <c r="C39" s="2617"/>
      <c r="D39" s="2681"/>
      <c r="E39" s="2683"/>
      <c r="F39" s="2344" t="s">
        <v>2210</v>
      </c>
      <c r="G39" s="2345"/>
      <c r="H39" s="2346"/>
      <c r="I39" s="2346"/>
      <c r="J39" s="2346"/>
      <c r="K39" s="2346"/>
      <c r="L39" s="2346"/>
      <c r="M39" s="2346"/>
      <c r="N39" s="2346"/>
      <c r="O39" s="2346"/>
      <c r="P39" s="2346"/>
      <c r="Q39" s="2347"/>
      <c r="R39" s="2561">
        <v>940</v>
      </c>
      <c r="S39" s="2562"/>
      <c r="T39" s="2562"/>
      <c r="U39" s="2563"/>
      <c r="V39" s="2612">
        <f ca="1">SUMIF(見積拾!C$7:D$33,F39,見積拾!T$7:T$33)</f>
        <v>0</v>
      </c>
      <c r="W39" s="2613"/>
      <c r="X39" s="2613"/>
      <c r="Y39" s="2613"/>
      <c r="Z39" s="2500" t="s">
        <v>2020</v>
      </c>
      <c r="AA39" s="2501"/>
      <c r="AB39" s="2499">
        <f t="shared" ref="AB39:AB40" ca="1" si="9">INT(R39*V39)</f>
        <v>0</v>
      </c>
      <c r="AC39" s="2500"/>
      <c r="AD39" s="2500"/>
      <c r="AE39" s="2501"/>
      <c r="AF39" s="2859" t="s">
        <v>2061</v>
      </c>
      <c r="AG39" s="2859"/>
      <c r="AH39" s="2859"/>
      <c r="AI39" s="2859"/>
      <c r="AJ39" s="2952">
        <v>1.1499999999999999</v>
      </c>
      <c r="AK39" s="2953"/>
      <c r="AL39" s="2953"/>
      <c r="AM39" s="2954"/>
      <c r="AN39" s="2859" t="s">
        <v>2061</v>
      </c>
      <c r="AO39" s="2859"/>
      <c r="AP39" s="2859"/>
      <c r="AQ39" s="2859"/>
      <c r="AR39" s="2891">
        <f t="shared" ref="AR39:AR49" ca="1" si="10">+INT(AJ39*AB39)</f>
        <v>0</v>
      </c>
      <c r="AS39" s="2892"/>
      <c r="AT39" s="2892"/>
      <c r="AU39" s="2893"/>
      <c r="AV39" s="2934"/>
      <c r="AW39" s="2935"/>
      <c r="AX39" s="2935"/>
      <c r="AY39" s="2935"/>
      <c r="AZ39" s="2936"/>
      <c r="BA39" s="25" t="b">
        <f t="shared" ref="BA39:BA40" ca="1" si="11">V39&lt;&gt;0</f>
        <v>0</v>
      </c>
      <c r="BB39" s="2277"/>
    </row>
    <row r="40" spans="2:54" s="1996" customFormat="1" ht="13.5" customHeight="1">
      <c r="B40" s="2614"/>
      <c r="C40" s="2617"/>
      <c r="D40" s="2681"/>
      <c r="E40" s="2683"/>
      <c r="F40" s="2344" t="s">
        <v>2211</v>
      </c>
      <c r="G40" s="2345"/>
      <c r="H40" s="2346"/>
      <c r="I40" s="2346"/>
      <c r="J40" s="2346"/>
      <c r="K40" s="2346"/>
      <c r="L40" s="2346"/>
      <c r="M40" s="2346"/>
      <c r="N40" s="2346"/>
      <c r="O40" s="2346"/>
      <c r="P40" s="2346"/>
      <c r="Q40" s="2347"/>
      <c r="R40" s="2561">
        <v>940</v>
      </c>
      <c r="S40" s="2562"/>
      <c r="T40" s="2562"/>
      <c r="U40" s="2563"/>
      <c r="V40" s="2612">
        <f ca="1">SUMIF(見積拾!C$7:D$33,F40,見積拾!T$7:T$33)</f>
        <v>0</v>
      </c>
      <c r="W40" s="2613"/>
      <c r="X40" s="2613"/>
      <c r="Y40" s="2613"/>
      <c r="Z40" s="2500" t="s">
        <v>2020</v>
      </c>
      <c r="AA40" s="2501"/>
      <c r="AB40" s="2499">
        <f t="shared" ca="1" si="9"/>
        <v>0</v>
      </c>
      <c r="AC40" s="2500"/>
      <c r="AD40" s="2500"/>
      <c r="AE40" s="2501"/>
      <c r="AF40" s="2859" t="s">
        <v>2061</v>
      </c>
      <c r="AG40" s="2859"/>
      <c r="AH40" s="2859"/>
      <c r="AI40" s="2859"/>
      <c r="AJ40" s="2952">
        <v>1</v>
      </c>
      <c r="AK40" s="2953"/>
      <c r="AL40" s="2953"/>
      <c r="AM40" s="2954"/>
      <c r="AN40" s="2859" t="s">
        <v>2061</v>
      </c>
      <c r="AO40" s="2859"/>
      <c r="AP40" s="2859"/>
      <c r="AQ40" s="2859"/>
      <c r="AR40" s="2891">
        <f t="shared" ca="1" si="10"/>
        <v>0</v>
      </c>
      <c r="AS40" s="2892"/>
      <c r="AT40" s="2892"/>
      <c r="AU40" s="2893"/>
      <c r="AV40" s="2934"/>
      <c r="AW40" s="2935"/>
      <c r="AX40" s="2935"/>
      <c r="AY40" s="2935"/>
      <c r="AZ40" s="2936"/>
      <c r="BA40" s="25" t="b">
        <f t="shared" ca="1" si="11"/>
        <v>0</v>
      </c>
      <c r="BB40" s="2277"/>
    </row>
    <row r="41" spans="2:54" s="1992" customFormat="1" ht="13.5" customHeight="1">
      <c r="B41" s="2614"/>
      <c r="C41" s="2617"/>
      <c r="D41" s="2681"/>
      <c r="E41" s="2683"/>
      <c r="F41" s="2344" t="s">
        <v>2212</v>
      </c>
      <c r="G41" s="2345"/>
      <c r="H41" s="2346"/>
      <c r="I41" s="2346"/>
      <c r="J41" s="2346"/>
      <c r="K41" s="2346"/>
      <c r="L41" s="2346"/>
      <c r="M41" s="2346"/>
      <c r="N41" s="2346"/>
      <c r="O41" s="2346"/>
      <c r="P41" s="2346"/>
      <c r="Q41" s="2347"/>
      <c r="R41" s="2561">
        <v>2050</v>
      </c>
      <c r="S41" s="2562"/>
      <c r="T41" s="2562"/>
      <c r="U41" s="2563"/>
      <c r="V41" s="2612">
        <f ca="1">SUMIF(見積拾!C$7:D$33,F41,見積拾!T$7:T$33)</f>
        <v>0</v>
      </c>
      <c r="W41" s="2613"/>
      <c r="X41" s="2613"/>
      <c r="Y41" s="2613"/>
      <c r="Z41" s="2500" t="s">
        <v>2020</v>
      </c>
      <c r="AA41" s="2501"/>
      <c r="AB41" s="2499">
        <f t="shared" ca="1" si="7"/>
        <v>0</v>
      </c>
      <c r="AC41" s="2500"/>
      <c r="AD41" s="2500"/>
      <c r="AE41" s="2501"/>
      <c r="AF41" s="2859" t="s">
        <v>2061</v>
      </c>
      <c r="AG41" s="2859"/>
      <c r="AH41" s="2859"/>
      <c r="AI41" s="2859"/>
      <c r="AJ41" s="2952">
        <v>1.3</v>
      </c>
      <c r="AK41" s="2953"/>
      <c r="AL41" s="2953"/>
      <c r="AM41" s="2954"/>
      <c r="AN41" s="2859" t="s">
        <v>2061</v>
      </c>
      <c r="AO41" s="2859"/>
      <c r="AP41" s="2859"/>
      <c r="AQ41" s="2859"/>
      <c r="AR41" s="2891">
        <f t="shared" ca="1" si="10"/>
        <v>0</v>
      </c>
      <c r="AS41" s="2892"/>
      <c r="AT41" s="2892"/>
      <c r="AU41" s="2893"/>
      <c r="AV41" s="2934"/>
      <c r="AW41" s="2935"/>
      <c r="AX41" s="2935"/>
      <c r="AY41" s="2935"/>
      <c r="AZ41" s="2936"/>
      <c r="BA41" s="25" t="b">
        <f t="shared" ca="1" si="8"/>
        <v>0</v>
      </c>
      <c r="BB41" s="2277" t="s">
        <v>2266</v>
      </c>
    </row>
    <row r="42" spans="2:54" s="1996" customFormat="1" ht="13.5" customHeight="1">
      <c r="B42" s="2614"/>
      <c r="C42" s="2617"/>
      <c r="D42" s="2681"/>
      <c r="E42" s="2683"/>
      <c r="F42" s="2344" t="s">
        <v>2213</v>
      </c>
      <c r="G42" s="2345"/>
      <c r="H42" s="2346"/>
      <c r="I42" s="2346"/>
      <c r="J42" s="2346"/>
      <c r="K42" s="2346"/>
      <c r="L42" s="2346"/>
      <c r="M42" s="2346"/>
      <c r="N42" s="2346"/>
      <c r="O42" s="2346"/>
      <c r="P42" s="2346"/>
      <c r="Q42" s="2347"/>
      <c r="R42" s="2561">
        <v>2050</v>
      </c>
      <c r="S42" s="2562"/>
      <c r="T42" s="2562"/>
      <c r="U42" s="2563"/>
      <c r="V42" s="2612">
        <f ca="1">SUMIF(見積拾!C$7:D$33,F42,見積拾!T$7:T$33)</f>
        <v>0</v>
      </c>
      <c r="W42" s="2613"/>
      <c r="X42" s="2613"/>
      <c r="Y42" s="2613"/>
      <c r="Z42" s="2500" t="s">
        <v>2020</v>
      </c>
      <c r="AA42" s="2501"/>
      <c r="AB42" s="2499">
        <f t="shared" ref="AB42:AB43" ca="1" si="12">INT(R42*V42)</f>
        <v>0</v>
      </c>
      <c r="AC42" s="2500"/>
      <c r="AD42" s="2500"/>
      <c r="AE42" s="2501"/>
      <c r="AF42" s="2859" t="s">
        <v>2061</v>
      </c>
      <c r="AG42" s="2859"/>
      <c r="AH42" s="2859"/>
      <c r="AI42" s="2859"/>
      <c r="AJ42" s="2952">
        <v>1.1499999999999999</v>
      </c>
      <c r="AK42" s="2953"/>
      <c r="AL42" s="2953"/>
      <c r="AM42" s="2954"/>
      <c r="AN42" s="2859" t="s">
        <v>2061</v>
      </c>
      <c r="AO42" s="2859"/>
      <c r="AP42" s="2859"/>
      <c r="AQ42" s="2859"/>
      <c r="AR42" s="2891">
        <f t="shared" ca="1" si="10"/>
        <v>0</v>
      </c>
      <c r="AS42" s="2892"/>
      <c r="AT42" s="2892"/>
      <c r="AU42" s="2893"/>
      <c r="AV42" s="2934"/>
      <c r="AW42" s="2935"/>
      <c r="AX42" s="2935"/>
      <c r="AY42" s="2935"/>
      <c r="AZ42" s="2936"/>
      <c r="BA42" s="25" t="b">
        <f t="shared" ref="BA42:BA43" ca="1" si="13">V42&lt;&gt;0</f>
        <v>0</v>
      </c>
      <c r="BB42" s="2277"/>
    </row>
    <row r="43" spans="2:54" s="1996" customFormat="1" ht="13.5" customHeight="1">
      <c r="B43" s="2614"/>
      <c r="C43" s="2617"/>
      <c r="D43" s="2681"/>
      <c r="E43" s="2683"/>
      <c r="F43" s="2344" t="s">
        <v>2214</v>
      </c>
      <c r="G43" s="2345"/>
      <c r="H43" s="2346"/>
      <c r="I43" s="2346"/>
      <c r="J43" s="2346"/>
      <c r="K43" s="2346"/>
      <c r="L43" s="2346"/>
      <c r="M43" s="2346"/>
      <c r="N43" s="2346"/>
      <c r="O43" s="2346"/>
      <c r="P43" s="2346"/>
      <c r="Q43" s="2347"/>
      <c r="R43" s="2561">
        <v>2050</v>
      </c>
      <c r="S43" s="2562"/>
      <c r="T43" s="2562"/>
      <c r="U43" s="2563"/>
      <c r="V43" s="2612">
        <f ca="1">SUMIF(見積拾!C$7:D$33,F43,見積拾!T$7:T$33)</f>
        <v>0</v>
      </c>
      <c r="W43" s="2613"/>
      <c r="X43" s="2613"/>
      <c r="Y43" s="2613"/>
      <c r="Z43" s="2500" t="s">
        <v>2020</v>
      </c>
      <c r="AA43" s="2501"/>
      <c r="AB43" s="2499">
        <f t="shared" ca="1" si="12"/>
        <v>0</v>
      </c>
      <c r="AC43" s="2500"/>
      <c r="AD43" s="2500"/>
      <c r="AE43" s="2501"/>
      <c r="AF43" s="2859" t="s">
        <v>2061</v>
      </c>
      <c r="AG43" s="2859"/>
      <c r="AH43" s="2859"/>
      <c r="AI43" s="2859"/>
      <c r="AJ43" s="2952">
        <v>1</v>
      </c>
      <c r="AK43" s="2953"/>
      <c r="AL43" s="2953"/>
      <c r="AM43" s="2954"/>
      <c r="AN43" s="2859" t="s">
        <v>2061</v>
      </c>
      <c r="AO43" s="2859"/>
      <c r="AP43" s="2859"/>
      <c r="AQ43" s="2859"/>
      <c r="AR43" s="2891">
        <f t="shared" ca="1" si="10"/>
        <v>0</v>
      </c>
      <c r="AS43" s="2892"/>
      <c r="AT43" s="2892"/>
      <c r="AU43" s="2893"/>
      <c r="AV43" s="2934"/>
      <c r="AW43" s="2935"/>
      <c r="AX43" s="2935"/>
      <c r="AY43" s="2935"/>
      <c r="AZ43" s="2936"/>
      <c r="BA43" s="25" t="b">
        <f t="shared" ca="1" si="13"/>
        <v>0</v>
      </c>
      <c r="BB43" s="2277"/>
    </row>
    <row r="44" spans="2:54" ht="13.5" customHeight="1">
      <c r="B44" s="2614"/>
      <c r="C44" s="2616"/>
      <c r="D44" s="2681"/>
      <c r="E44" s="2682"/>
      <c r="F44" s="2344" t="s">
        <v>2289</v>
      </c>
      <c r="G44" s="2345"/>
      <c r="H44" s="2346"/>
      <c r="I44" s="2346"/>
      <c r="J44" s="2346"/>
      <c r="K44" s="2346"/>
      <c r="L44" s="2346"/>
      <c r="M44" s="2346"/>
      <c r="N44" s="2346"/>
      <c r="O44" s="2346"/>
      <c r="P44" s="2346"/>
      <c r="Q44" s="2347"/>
      <c r="R44" s="2561">
        <v>3570</v>
      </c>
      <c r="S44" s="2562"/>
      <c r="T44" s="2562"/>
      <c r="U44" s="2563"/>
      <c r="V44" s="2612">
        <f ca="1">SUMIF(見積拾!C$7:D$33,F44,見積拾!T$7:T$33)</f>
        <v>0</v>
      </c>
      <c r="W44" s="2613"/>
      <c r="X44" s="2613"/>
      <c r="Y44" s="2613"/>
      <c r="Z44" s="2500" t="s">
        <v>2020</v>
      </c>
      <c r="AA44" s="2501"/>
      <c r="AB44" s="2499">
        <f t="shared" ca="1" si="7"/>
        <v>0</v>
      </c>
      <c r="AC44" s="2500"/>
      <c r="AD44" s="2500"/>
      <c r="AE44" s="2501"/>
      <c r="AF44" s="2859" t="s">
        <v>2061</v>
      </c>
      <c r="AG44" s="2859"/>
      <c r="AH44" s="2859"/>
      <c r="AI44" s="2859"/>
      <c r="AJ44" s="2952">
        <v>1.3</v>
      </c>
      <c r="AK44" s="2953"/>
      <c r="AL44" s="2953"/>
      <c r="AM44" s="2954"/>
      <c r="AN44" s="2859" t="s">
        <v>2061</v>
      </c>
      <c r="AO44" s="2859"/>
      <c r="AP44" s="2859"/>
      <c r="AQ44" s="2859"/>
      <c r="AR44" s="2891">
        <f t="shared" ca="1" si="10"/>
        <v>0</v>
      </c>
      <c r="AS44" s="2892"/>
      <c r="AT44" s="2892"/>
      <c r="AU44" s="2893"/>
      <c r="AV44" s="2934"/>
      <c r="AW44" s="2935"/>
      <c r="AX44" s="2935"/>
      <c r="AY44" s="2935"/>
      <c r="AZ44" s="2936"/>
      <c r="BA44" s="25" t="b">
        <f t="shared" ca="1" si="8"/>
        <v>0</v>
      </c>
      <c r="BB44" s="2277" t="s">
        <v>2265</v>
      </c>
    </row>
    <row r="45" spans="2:54" s="1996" customFormat="1" ht="13.5" customHeight="1">
      <c r="B45" s="2614"/>
      <c r="C45" s="2617"/>
      <c r="D45" s="2681"/>
      <c r="E45" s="2683"/>
      <c r="F45" s="2344" t="s">
        <v>2068</v>
      </c>
      <c r="G45" s="2345"/>
      <c r="H45" s="2346"/>
      <c r="I45" s="2346"/>
      <c r="J45" s="2346"/>
      <c r="K45" s="2346"/>
      <c r="L45" s="2346"/>
      <c r="M45" s="2346"/>
      <c r="N45" s="2346"/>
      <c r="O45" s="2346"/>
      <c r="P45" s="2346"/>
      <c r="Q45" s="2347"/>
      <c r="R45" s="2561">
        <v>3570</v>
      </c>
      <c r="S45" s="2562"/>
      <c r="T45" s="2562"/>
      <c r="U45" s="2563"/>
      <c r="V45" s="2612">
        <f ca="1">SUMIF(見積拾!C$7:D$33,F45,見積拾!T$7:T$33)</f>
        <v>0</v>
      </c>
      <c r="W45" s="2613"/>
      <c r="X45" s="2613"/>
      <c r="Y45" s="2613"/>
      <c r="Z45" s="2500" t="s">
        <v>2020</v>
      </c>
      <c r="AA45" s="2501"/>
      <c r="AB45" s="2499">
        <f t="shared" ref="AB45:AB46" ca="1" si="14">INT(R45*V45)</f>
        <v>0</v>
      </c>
      <c r="AC45" s="2500"/>
      <c r="AD45" s="2500"/>
      <c r="AE45" s="2501"/>
      <c r="AF45" s="2859" t="s">
        <v>2061</v>
      </c>
      <c r="AG45" s="2859"/>
      <c r="AH45" s="2859"/>
      <c r="AI45" s="2859"/>
      <c r="AJ45" s="2952">
        <v>1.1499999999999999</v>
      </c>
      <c r="AK45" s="2953"/>
      <c r="AL45" s="2953"/>
      <c r="AM45" s="2954"/>
      <c r="AN45" s="2859" t="s">
        <v>2061</v>
      </c>
      <c r="AO45" s="2859"/>
      <c r="AP45" s="2859"/>
      <c r="AQ45" s="2859"/>
      <c r="AR45" s="2891">
        <f t="shared" ca="1" si="10"/>
        <v>0</v>
      </c>
      <c r="AS45" s="2892"/>
      <c r="AT45" s="2892"/>
      <c r="AU45" s="2893"/>
      <c r="AV45" s="2934"/>
      <c r="AW45" s="2935"/>
      <c r="AX45" s="2935"/>
      <c r="AY45" s="2935"/>
      <c r="AZ45" s="2936"/>
      <c r="BA45" s="25" t="b">
        <f t="shared" ref="BA45:BA46" ca="1" si="15">V45&lt;&gt;0</f>
        <v>0</v>
      </c>
      <c r="BB45" s="2277"/>
    </row>
    <row r="46" spans="2:54" s="1996" customFormat="1" ht="13.5" customHeight="1">
      <c r="B46" s="2614"/>
      <c r="C46" s="2617"/>
      <c r="D46" s="2681"/>
      <c r="E46" s="2683"/>
      <c r="F46" s="2344" t="s">
        <v>2069</v>
      </c>
      <c r="G46" s="2345"/>
      <c r="H46" s="2346"/>
      <c r="I46" s="2346"/>
      <c r="J46" s="2346"/>
      <c r="K46" s="2346"/>
      <c r="L46" s="2346"/>
      <c r="M46" s="2346"/>
      <c r="N46" s="2346"/>
      <c r="O46" s="2346"/>
      <c r="P46" s="2346"/>
      <c r="Q46" s="2347"/>
      <c r="R46" s="2561">
        <v>3570</v>
      </c>
      <c r="S46" s="2562"/>
      <c r="T46" s="2562"/>
      <c r="U46" s="2563"/>
      <c r="V46" s="2612">
        <f ca="1">SUMIF(見積拾!C$7:D$33,F46,見積拾!T$7:T$33)</f>
        <v>0</v>
      </c>
      <c r="W46" s="2613"/>
      <c r="X46" s="2613"/>
      <c r="Y46" s="2613"/>
      <c r="Z46" s="2500" t="s">
        <v>2020</v>
      </c>
      <c r="AA46" s="2501"/>
      <c r="AB46" s="2499">
        <f t="shared" ca="1" si="14"/>
        <v>0</v>
      </c>
      <c r="AC46" s="2500"/>
      <c r="AD46" s="2500"/>
      <c r="AE46" s="2501"/>
      <c r="AF46" s="2859" t="s">
        <v>2061</v>
      </c>
      <c r="AG46" s="2859"/>
      <c r="AH46" s="2859"/>
      <c r="AI46" s="2859"/>
      <c r="AJ46" s="2952">
        <v>1</v>
      </c>
      <c r="AK46" s="2953"/>
      <c r="AL46" s="2953"/>
      <c r="AM46" s="2954"/>
      <c r="AN46" s="2859" t="s">
        <v>2061</v>
      </c>
      <c r="AO46" s="2859"/>
      <c r="AP46" s="2859"/>
      <c r="AQ46" s="2859"/>
      <c r="AR46" s="2891">
        <f t="shared" ca="1" si="10"/>
        <v>0</v>
      </c>
      <c r="AS46" s="2892"/>
      <c r="AT46" s="2892"/>
      <c r="AU46" s="2893"/>
      <c r="AV46" s="2934"/>
      <c r="AW46" s="2935"/>
      <c r="AX46" s="2935"/>
      <c r="AY46" s="2935"/>
      <c r="AZ46" s="2936"/>
      <c r="BA46" s="25" t="b">
        <f t="shared" ca="1" si="15"/>
        <v>0</v>
      </c>
      <c r="BB46" s="2277"/>
    </row>
    <row r="47" spans="2:54" ht="13.5" customHeight="1">
      <c r="B47" s="2614"/>
      <c r="C47" s="2616"/>
      <c r="D47" s="2681"/>
      <c r="E47" s="2682"/>
      <c r="F47" s="2344" t="s">
        <v>2065</v>
      </c>
      <c r="G47" s="2345"/>
      <c r="H47" s="2346"/>
      <c r="I47" s="2346"/>
      <c r="J47" s="2346"/>
      <c r="K47" s="2346"/>
      <c r="L47" s="2346"/>
      <c r="M47" s="2346"/>
      <c r="N47" s="2346"/>
      <c r="O47" s="2346"/>
      <c r="P47" s="2346"/>
      <c r="Q47" s="2347"/>
      <c r="R47" s="2956">
        <v>11200</v>
      </c>
      <c r="S47" s="2957"/>
      <c r="T47" s="2957"/>
      <c r="U47" s="2958"/>
      <c r="V47" s="2612">
        <f ca="1">SUMIF(見積拾!C$7:D$33,F47,見積拾!T$7:T$33)</f>
        <v>0</v>
      </c>
      <c r="W47" s="2613"/>
      <c r="X47" s="2613"/>
      <c r="Y47" s="2613"/>
      <c r="Z47" s="2500" t="s">
        <v>2020</v>
      </c>
      <c r="AA47" s="2501"/>
      <c r="AB47" s="2499">
        <f ca="1">INT(R47*V47)</f>
        <v>0</v>
      </c>
      <c r="AC47" s="2500"/>
      <c r="AD47" s="2500"/>
      <c r="AE47" s="2501"/>
      <c r="AF47" s="2859" t="s">
        <v>2061</v>
      </c>
      <c r="AG47" s="2859"/>
      <c r="AH47" s="2859"/>
      <c r="AI47" s="2859"/>
      <c r="AJ47" s="2952">
        <v>1.3</v>
      </c>
      <c r="AK47" s="2953"/>
      <c r="AL47" s="2953"/>
      <c r="AM47" s="2954"/>
      <c r="AN47" s="2859" t="s">
        <v>2061</v>
      </c>
      <c r="AO47" s="2859"/>
      <c r="AP47" s="2859"/>
      <c r="AQ47" s="2859"/>
      <c r="AR47" s="2891">
        <f t="shared" ca="1" si="10"/>
        <v>0</v>
      </c>
      <c r="AS47" s="2892"/>
      <c r="AT47" s="2892"/>
      <c r="AU47" s="2893"/>
      <c r="AV47" s="2934"/>
      <c r="AW47" s="2935"/>
      <c r="AX47" s="2935"/>
      <c r="AY47" s="2935"/>
      <c r="AZ47" s="2936"/>
      <c r="BA47" s="25" t="b">
        <f t="shared" ca="1" si="8"/>
        <v>0</v>
      </c>
      <c r="BB47" s="2277" t="s">
        <v>2264</v>
      </c>
    </row>
    <row r="48" spans="2:54" s="1996" customFormat="1" ht="13.5" customHeight="1">
      <c r="B48" s="2614"/>
      <c r="C48" s="2617"/>
      <c r="D48" s="2681"/>
      <c r="E48" s="2683"/>
      <c r="F48" s="2344" t="s">
        <v>2066</v>
      </c>
      <c r="G48" s="2345"/>
      <c r="H48" s="2346"/>
      <c r="I48" s="2346"/>
      <c r="J48" s="2346"/>
      <c r="K48" s="2346"/>
      <c r="L48" s="2346"/>
      <c r="M48" s="2346"/>
      <c r="N48" s="2346"/>
      <c r="O48" s="2346"/>
      <c r="P48" s="2346"/>
      <c r="Q48" s="2347"/>
      <c r="R48" s="2956">
        <v>11200</v>
      </c>
      <c r="S48" s="2957"/>
      <c r="T48" s="2957"/>
      <c r="U48" s="2958"/>
      <c r="V48" s="2612">
        <f ca="1">SUMIF(見積拾!C$7:D$33,F48,見積拾!T$7:T$33)</f>
        <v>0</v>
      </c>
      <c r="W48" s="2613"/>
      <c r="X48" s="2613"/>
      <c r="Y48" s="2613"/>
      <c r="Z48" s="2500" t="s">
        <v>2020</v>
      </c>
      <c r="AA48" s="2501"/>
      <c r="AB48" s="2499">
        <f ca="1">INT(R48*V48)</f>
        <v>0</v>
      </c>
      <c r="AC48" s="2500"/>
      <c r="AD48" s="2500"/>
      <c r="AE48" s="2501"/>
      <c r="AF48" s="2859" t="s">
        <v>2061</v>
      </c>
      <c r="AG48" s="2859"/>
      <c r="AH48" s="2859"/>
      <c r="AI48" s="2859"/>
      <c r="AJ48" s="2952">
        <v>1.1499999999999999</v>
      </c>
      <c r="AK48" s="2953"/>
      <c r="AL48" s="2953"/>
      <c r="AM48" s="2954"/>
      <c r="AN48" s="2859" t="s">
        <v>2061</v>
      </c>
      <c r="AO48" s="2859"/>
      <c r="AP48" s="2859"/>
      <c r="AQ48" s="2859"/>
      <c r="AR48" s="2891">
        <f t="shared" ca="1" si="10"/>
        <v>0</v>
      </c>
      <c r="AS48" s="2892"/>
      <c r="AT48" s="2892"/>
      <c r="AU48" s="2893"/>
      <c r="AV48" s="2934"/>
      <c r="AW48" s="2935"/>
      <c r="AX48" s="2935"/>
      <c r="AY48" s="2935"/>
      <c r="AZ48" s="2936"/>
      <c r="BA48" s="25" t="b">
        <f t="shared" ref="BA48:BA49" ca="1" si="16">V48&lt;&gt;0</f>
        <v>0</v>
      </c>
      <c r="BB48" s="2277"/>
    </row>
    <row r="49" spans="2:54" s="1996" customFormat="1" ht="13.5" customHeight="1">
      <c r="B49" s="2614"/>
      <c r="C49" s="2617"/>
      <c r="D49" s="2681"/>
      <c r="E49" s="2683"/>
      <c r="F49" s="2348" t="s">
        <v>2067</v>
      </c>
      <c r="G49" s="2349"/>
      <c r="H49" s="2350"/>
      <c r="I49" s="2350"/>
      <c r="J49" s="2350"/>
      <c r="K49" s="2350"/>
      <c r="L49" s="2350"/>
      <c r="M49" s="2350"/>
      <c r="N49" s="2350"/>
      <c r="O49" s="2350"/>
      <c r="P49" s="2350"/>
      <c r="Q49" s="2351"/>
      <c r="R49" s="2960">
        <v>11200</v>
      </c>
      <c r="S49" s="2961"/>
      <c r="T49" s="2961"/>
      <c r="U49" s="2962"/>
      <c r="V49" s="2771">
        <f ca="1">SUMIF(見積拾!C$7:D$33,F49,見積拾!T$7:T$33)</f>
        <v>0</v>
      </c>
      <c r="W49" s="2772"/>
      <c r="X49" s="2772"/>
      <c r="Y49" s="2772"/>
      <c r="Z49" s="2760" t="s">
        <v>2020</v>
      </c>
      <c r="AA49" s="2838"/>
      <c r="AB49" s="2866">
        <f ca="1">INT(R49*V49)</f>
        <v>0</v>
      </c>
      <c r="AC49" s="2760"/>
      <c r="AD49" s="2760"/>
      <c r="AE49" s="2838"/>
      <c r="AF49" s="3213" t="s">
        <v>2061</v>
      </c>
      <c r="AG49" s="3213"/>
      <c r="AH49" s="3213"/>
      <c r="AI49" s="3213"/>
      <c r="AJ49" s="3214">
        <v>1</v>
      </c>
      <c r="AK49" s="3215"/>
      <c r="AL49" s="3215"/>
      <c r="AM49" s="3216"/>
      <c r="AN49" s="3213" t="s">
        <v>2061</v>
      </c>
      <c r="AO49" s="3213"/>
      <c r="AP49" s="3213"/>
      <c r="AQ49" s="3213"/>
      <c r="AR49" s="3208">
        <f t="shared" ca="1" si="10"/>
        <v>0</v>
      </c>
      <c r="AS49" s="3209"/>
      <c r="AT49" s="3209"/>
      <c r="AU49" s="3210"/>
      <c r="AV49" s="2937"/>
      <c r="AW49" s="2938"/>
      <c r="AX49" s="2938"/>
      <c r="AY49" s="2938"/>
      <c r="AZ49" s="2939"/>
      <c r="BA49" s="25" t="b">
        <f t="shared" ca="1" si="16"/>
        <v>0</v>
      </c>
      <c r="BB49" s="6"/>
    </row>
    <row r="50" spans="2:54" ht="13.5" customHeight="1">
      <c r="B50" s="2614"/>
      <c r="C50" s="2616"/>
      <c r="D50" s="2684"/>
      <c r="E50" s="2686"/>
      <c r="F50" s="95"/>
      <c r="G50" s="96"/>
      <c r="H50" s="96"/>
      <c r="I50" s="96"/>
      <c r="J50" s="96"/>
      <c r="K50" s="96"/>
      <c r="L50" s="96"/>
      <c r="M50" s="96"/>
      <c r="N50" s="96"/>
      <c r="O50" s="96"/>
      <c r="P50" s="96"/>
      <c r="Q50" s="96"/>
      <c r="R50" s="96"/>
      <c r="S50" s="96"/>
      <c r="T50" s="96"/>
      <c r="U50" s="96"/>
      <c r="V50" s="97"/>
      <c r="W50" s="97"/>
      <c r="X50" s="97"/>
      <c r="Y50" s="97"/>
      <c r="Z50" s="96"/>
      <c r="AA50" s="96"/>
      <c r="AB50" s="96"/>
      <c r="AC50" s="96"/>
      <c r="AD50" s="96"/>
      <c r="AE50" s="96"/>
      <c r="AF50" s="98"/>
      <c r="AG50" s="98"/>
      <c r="AH50" s="98"/>
      <c r="AI50" s="98"/>
      <c r="AJ50" s="99"/>
      <c r="AK50" s="99"/>
      <c r="AL50" s="100"/>
      <c r="AM50" s="100"/>
      <c r="AN50" s="99"/>
      <c r="AO50" s="99"/>
      <c r="AP50" s="100"/>
      <c r="AQ50" s="100"/>
      <c r="AR50" s="100"/>
      <c r="AS50" s="100"/>
      <c r="AT50" s="100"/>
      <c r="AU50" s="100"/>
      <c r="AV50" s="67"/>
      <c r="AW50" s="67"/>
      <c r="AX50" s="67"/>
      <c r="AY50" s="67"/>
      <c r="AZ50" s="68"/>
      <c r="BA50" s="25" t="b">
        <f ca="1">BA$37</f>
        <v>0</v>
      </c>
    </row>
    <row r="51" spans="2:54" ht="13.5" customHeight="1">
      <c r="B51" s="2614"/>
      <c r="C51" s="2616"/>
      <c r="D51" s="2831"/>
      <c r="E51" s="2832"/>
      <c r="F51" s="32" t="s">
        <v>759</v>
      </c>
      <c r="G51" s="101"/>
      <c r="H51" s="101"/>
      <c r="I51" s="101"/>
      <c r="J51" s="101"/>
      <c r="K51" s="101"/>
      <c r="L51" s="101"/>
      <c r="M51" s="101"/>
      <c r="N51" s="101"/>
      <c r="O51" s="101"/>
      <c r="P51" s="102"/>
      <c r="Q51" s="101"/>
      <c r="R51" s="103" t="s">
        <v>760</v>
      </c>
      <c r="S51" s="101"/>
      <c r="T51" s="101"/>
      <c r="U51" s="101"/>
      <c r="V51" s="103" t="s">
        <v>761</v>
      </c>
      <c r="W51" s="101"/>
      <c r="X51" s="101"/>
      <c r="Y51" s="101"/>
      <c r="Z51" s="102"/>
      <c r="AA51" s="101"/>
      <c r="AB51" s="35" t="s">
        <v>58</v>
      </c>
      <c r="AC51" s="35"/>
      <c r="AD51" s="35"/>
      <c r="AE51" s="35"/>
      <c r="AF51" s="103" t="s">
        <v>762</v>
      </c>
      <c r="AG51" s="101"/>
      <c r="AH51" s="101"/>
      <c r="AI51" s="33"/>
      <c r="AJ51" s="101" t="s">
        <v>59</v>
      </c>
      <c r="AK51" s="101"/>
      <c r="AL51" s="101"/>
      <c r="AM51" s="33"/>
      <c r="AN51" s="34" t="s">
        <v>764</v>
      </c>
      <c r="AO51" s="32"/>
      <c r="AP51" s="32"/>
      <c r="AQ51" s="32"/>
      <c r="AR51" s="104" t="s">
        <v>765</v>
      </c>
      <c r="AS51" s="103"/>
      <c r="AT51" s="103"/>
      <c r="AU51" s="101"/>
      <c r="AV51" s="105" t="s">
        <v>775</v>
      </c>
      <c r="AW51" s="106"/>
      <c r="AX51" s="106"/>
      <c r="AY51" s="107"/>
      <c r="AZ51" s="108"/>
      <c r="BA51" s="109" t="b">
        <f ca="1">SUM(V52:Y53)&lt;&gt;0</f>
        <v>0</v>
      </c>
    </row>
    <row r="52" spans="2:54" ht="13.5" customHeight="1">
      <c r="B52" s="2614"/>
      <c r="C52" s="2616"/>
      <c r="D52" s="2681" t="s">
        <v>776</v>
      </c>
      <c r="E52" s="2682"/>
      <c r="F52" s="110" t="s">
        <v>799</v>
      </c>
      <c r="G52" s="41"/>
      <c r="H52" s="41"/>
      <c r="I52" s="41"/>
      <c r="J52" s="41"/>
      <c r="K52" s="41"/>
      <c r="L52" s="41"/>
      <c r="M52" s="41"/>
      <c r="N52" s="41"/>
      <c r="O52" s="41"/>
      <c r="P52" s="41"/>
      <c r="Q52" s="42"/>
      <c r="R52" s="2609">
        <v>272850</v>
      </c>
      <c r="S52" s="2610"/>
      <c r="T52" s="2610"/>
      <c r="U52" s="2611"/>
      <c r="V52" s="2882">
        <f ca="1">SUMIF(見積拾!C$7:D$33,F52,見積拾!T$7:T$33)</f>
        <v>0</v>
      </c>
      <c r="W52" s="2883"/>
      <c r="X52" s="2883"/>
      <c r="Y52" s="2883"/>
      <c r="Z52" s="2652" t="s">
        <v>768</v>
      </c>
      <c r="AA52" s="2653"/>
      <c r="AB52" s="2651">
        <f ca="1">INT(R52*V52)</f>
        <v>0</v>
      </c>
      <c r="AC52" s="2652"/>
      <c r="AD52" s="2652"/>
      <c r="AE52" s="2653"/>
      <c r="AF52" s="2776">
        <f ca="1">SUM(AB52:AE53)</f>
        <v>0</v>
      </c>
      <c r="AG52" s="2577"/>
      <c r="AH52" s="2577"/>
      <c r="AI52" s="2777"/>
      <c r="AJ52" s="2312"/>
      <c r="AK52" s="2310"/>
      <c r="AL52" s="2311"/>
      <c r="AM52" s="2315"/>
      <c r="AN52" s="2860"/>
      <c r="AO52" s="2861"/>
      <c r="AP52" s="2781" t="e">
        <f>VLOOKUP(AN52,AN54:AQ56,3,0)</f>
        <v>#N/A</v>
      </c>
      <c r="AQ52" s="2782"/>
      <c r="AR52" s="2870" t="e">
        <f>AP52</f>
        <v>#N/A</v>
      </c>
      <c r="AS52" s="2871"/>
      <c r="AT52" s="2871"/>
      <c r="AU52" s="2887"/>
      <c r="AV52" s="2776">
        <f ca="1">IF(AF52&lt;&gt;0,INT(AF52*AR52),0)</f>
        <v>0</v>
      </c>
      <c r="AW52" s="2577"/>
      <c r="AX52" s="2577"/>
      <c r="AY52" s="2577"/>
      <c r="AZ52" s="2777"/>
      <c r="BA52" s="109" t="b">
        <f ca="1">V52&lt;&gt;0</f>
        <v>0</v>
      </c>
    </row>
    <row r="53" spans="2:54" ht="13.5" customHeight="1">
      <c r="B53" s="2614"/>
      <c r="C53" s="2616"/>
      <c r="D53" s="2681"/>
      <c r="E53" s="2682"/>
      <c r="F53" s="111" t="s">
        <v>778</v>
      </c>
      <c r="G53" s="111"/>
      <c r="H53" s="111"/>
      <c r="I53" s="111"/>
      <c r="J53" s="111"/>
      <c r="K53" s="111"/>
      <c r="L53" s="111"/>
      <c r="M53" s="111"/>
      <c r="N53" s="111"/>
      <c r="O53" s="111"/>
      <c r="P53" s="111"/>
      <c r="Q53" s="112"/>
      <c r="R53" s="2665">
        <v>348350</v>
      </c>
      <c r="S53" s="2666"/>
      <c r="T53" s="2666"/>
      <c r="U53" s="2667"/>
      <c r="V53" s="2900">
        <f ca="1">SUMIF(見積拾!C$7:D$33,F53,見積拾!T$7:T$33)</f>
        <v>0</v>
      </c>
      <c r="W53" s="2901"/>
      <c r="X53" s="2901"/>
      <c r="Y53" s="2901"/>
      <c r="Z53" s="2663" t="s">
        <v>768</v>
      </c>
      <c r="AA53" s="2664"/>
      <c r="AB53" s="2662">
        <f ca="1">INT(R53*V53)</f>
        <v>0</v>
      </c>
      <c r="AC53" s="2663"/>
      <c r="AD53" s="2663"/>
      <c r="AE53" s="2664"/>
      <c r="AF53" s="2778"/>
      <c r="AG53" s="2779"/>
      <c r="AH53" s="2779"/>
      <c r="AI53" s="2780"/>
      <c r="AJ53" s="2313"/>
      <c r="AK53" s="2314"/>
      <c r="AL53" s="2316"/>
      <c r="AM53" s="113"/>
      <c r="AN53" s="2862"/>
      <c r="AO53" s="2863"/>
      <c r="AP53" s="2929"/>
      <c r="AQ53" s="2930"/>
      <c r="AR53" s="2888"/>
      <c r="AS53" s="2889"/>
      <c r="AT53" s="2889"/>
      <c r="AU53" s="2890"/>
      <c r="AV53" s="2778"/>
      <c r="AW53" s="2779"/>
      <c r="AX53" s="2779"/>
      <c r="AY53" s="2779"/>
      <c r="AZ53" s="2780"/>
      <c r="BA53" s="109" t="b">
        <f ca="1">V53&lt;&gt;0</f>
        <v>0</v>
      </c>
    </row>
    <row r="54" spans="2:54" ht="13.5" customHeight="1">
      <c r="B54" s="2614"/>
      <c r="C54" s="2616"/>
      <c r="D54" s="2681"/>
      <c r="E54" s="2682"/>
      <c r="F54" s="114"/>
      <c r="G54" s="115"/>
      <c r="H54" s="115"/>
      <c r="I54" s="115"/>
      <c r="J54" s="115"/>
      <c r="K54" s="115"/>
      <c r="L54" s="115"/>
      <c r="M54" s="115"/>
      <c r="N54" s="115"/>
      <c r="O54" s="115"/>
      <c r="P54" s="115"/>
      <c r="Q54" s="115"/>
      <c r="R54" s="115"/>
      <c r="S54" s="115"/>
      <c r="T54" s="115"/>
      <c r="U54" s="115"/>
      <c r="V54" s="116"/>
      <c r="W54" s="116"/>
      <c r="X54" s="116"/>
      <c r="Y54" s="116"/>
      <c r="Z54" s="115"/>
      <c r="AA54" s="115"/>
      <c r="AB54" s="115"/>
      <c r="AC54" s="115"/>
      <c r="AD54" s="115"/>
      <c r="AE54" s="115"/>
      <c r="AF54" s="117"/>
      <c r="AG54" s="117"/>
      <c r="AH54" s="117"/>
      <c r="AI54" s="117"/>
      <c r="AJ54" s="118"/>
      <c r="AK54" s="118"/>
      <c r="AL54" s="119"/>
      <c r="AM54" s="119"/>
      <c r="AN54" s="1286" t="e">
        <f>VLOOKUP($AD$8,主体明確補正,36,0)</f>
        <v>#N/A</v>
      </c>
      <c r="AO54" s="1287"/>
      <c r="AP54" s="2864" t="e">
        <f>VLOOKUP($AD$8,主体明確補正,37,0)</f>
        <v>#N/A</v>
      </c>
      <c r="AQ54" s="2865"/>
      <c r="AR54" s="120"/>
      <c r="AS54" s="120"/>
      <c r="AT54" s="87"/>
      <c r="AU54" s="87"/>
      <c r="AV54" s="121"/>
      <c r="AW54" s="121"/>
      <c r="AX54" s="121"/>
      <c r="AY54" s="121"/>
      <c r="AZ54" s="122"/>
      <c r="BA54" s="109" t="b">
        <f ca="1">BA$51</f>
        <v>0</v>
      </c>
    </row>
    <row r="55" spans="2:54" ht="13.5" customHeight="1">
      <c r="B55" s="2614"/>
      <c r="C55" s="2616"/>
      <c r="D55" s="2681"/>
      <c r="E55" s="2682"/>
      <c r="F55" s="88"/>
      <c r="G55" s="4"/>
      <c r="H55" s="4"/>
      <c r="I55" s="4"/>
      <c r="J55" s="4"/>
      <c r="K55" s="4"/>
      <c r="L55" s="4"/>
      <c r="M55" s="4"/>
      <c r="N55" s="4"/>
      <c r="O55" s="4"/>
      <c r="P55" s="4"/>
      <c r="Q55" s="4"/>
      <c r="R55" s="4"/>
      <c r="S55" s="4"/>
      <c r="T55" s="4"/>
      <c r="U55" s="4"/>
      <c r="V55" s="57"/>
      <c r="W55" s="57"/>
      <c r="X55" s="57"/>
      <c r="Y55" s="57"/>
      <c r="Z55" s="4"/>
      <c r="AA55" s="4"/>
      <c r="AB55" s="4"/>
      <c r="AC55" s="4"/>
      <c r="AD55" s="4"/>
      <c r="AE55" s="4"/>
      <c r="AF55" s="58"/>
      <c r="AG55" s="58"/>
      <c r="AH55" s="58"/>
      <c r="AI55" s="58"/>
      <c r="AJ55" s="123"/>
      <c r="AK55" s="123"/>
      <c r="AL55" s="124"/>
      <c r="AM55" s="124"/>
      <c r="AN55" s="1286" t="e">
        <f>VLOOKUP($AD$8,主体明確補正,38,0)</f>
        <v>#N/A</v>
      </c>
      <c r="AO55" s="1287"/>
      <c r="AP55" s="2864" t="e">
        <f>VLOOKUP($AD$8,主体明確補正,39,0)</f>
        <v>#N/A</v>
      </c>
      <c r="AQ55" s="2865"/>
      <c r="AR55" s="87"/>
      <c r="AS55" s="87"/>
      <c r="AT55" s="87"/>
      <c r="AU55" s="87"/>
      <c r="AV55" s="67"/>
      <c r="AW55" s="67"/>
      <c r="AX55" s="67"/>
      <c r="AY55" s="67"/>
      <c r="AZ55" s="68"/>
      <c r="BA55" s="109" t="b">
        <f ca="1">BA$51</f>
        <v>0</v>
      </c>
    </row>
    <row r="56" spans="2:54" ht="13.5" customHeight="1">
      <c r="B56" s="2614"/>
      <c r="C56" s="2616"/>
      <c r="D56" s="2681"/>
      <c r="E56" s="2682"/>
      <c r="F56" s="88"/>
      <c r="G56" s="4"/>
      <c r="H56" s="4"/>
      <c r="I56" s="4"/>
      <c r="J56" s="4"/>
      <c r="K56" s="4"/>
      <c r="L56" s="4"/>
      <c r="M56" s="4"/>
      <c r="N56" s="4"/>
      <c r="O56" s="4"/>
      <c r="P56" s="4"/>
      <c r="Q56" s="4"/>
      <c r="R56" s="4"/>
      <c r="S56" s="4"/>
      <c r="T56" s="4"/>
      <c r="U56" s="4"/>
      <c r="V56" s="57"/>
      <c r="W56" s="57"/>
      <c r="X56" s="57"/>
      <c r="Y56" s="57"/>
      <c r="Z56" s="4"/>
      <c r="AA56" s="4"/>
      <c r="AB56" s="4"/>
      <c r="AC56" s="4"/>
      <c r="AD56" s="4"/>
      <c r="AE56" s="4"/>
      <c r="AF56" s="58"/>
      <c r="AG56" s="58"/>
      <c r="AH56" s="58"/>
      <c r="AI56" s="58"/>
      <c r="AJ56" s="123"/>
      <c r="AK56" s="123"/>
      <c r="AL56" s="124"/>
      <c r="AM56" s="124"/>
      <c r="AN56" s="1286" t="e">
        <f>VLOOKUP($AD$8,主体明確補正,40,0)</f>
        <v>#N/A</v>
      </c>
      <c r="AO56" s="1287"/>
      <c r="AP56" s="2864" t="e">
        <f>VLOOKUP($AD$8,主体明確補正,41,0)</f>
        <v>#N/A</v>
      </c>
      <c r="AQ56" s="2865"/>
      <c r="AR56" s="87"/>
      <c r="AS56" s="87"/>
      <c r="AT56" s="87"/>
      <c r="AU56" s="87"/>
      <c r="AV56" s="67"/>
      <c r="AW56" s="67"/>
      <c r="AX56" s="67"/>
      <c r="AY56" s="67"/>
      <c r="AZ56" s="68"/>
      <c r="BA56" s="109" t="b">
        <f ca="1">BA$51</f>
        <v>0</v>
      </c>
    </row>
    <row r="57" spans="2:54" ht="13.5" customHeight="1">
      <c r="B57" s="2614"/>
      <c r="C57" s="2616"/>
      <c r="D57" s="2681"/>
      <c r="E57" s="2682"/>
      <c r="F57" s="4"/>
      <c r="G57" s="4"/>
      <c r="H57" s="4"/>
      <c r="I57" s="4"/>
      <c r="J57" s="4"/>
      <c r="K57" s="4"/>
      <c r="L57" s="4"/>
      <c r="M57" s="4"/>
      <c r="N57" s="4"/>
      <c r="O57" s="4"/>
      <c r="P57" s="4"/>
      <c r="Q57" s="4"/>
      <c r="R57" s="4"/>
      <c r="S57" s="4"/>
      <c r="T57" s="4"/>
      <c r="U57" s="4"/>
      <c r="V57" s="57"/>
      <c r="W57" s="57"/>
      <c r="X57" s="57"/>
      <c r="Y57" s="57"/>
      <c r="Z57" s="4"/>
      <c r="AA57" s="4"/>
      <c r="AB57" s="4"/>
      <c r="AC57" s="4"/>
      <c r="AD57" s="4"/>
      <c r="AE57" s="4"/>
      <c r="AF57" s="58"/>
      <c r="AG57" s="58"/>
      <c r="AH57" s="58"/>
      <c r="AI57" s="58"/>
      <c r="AJ57" s="86"/>
      <c r="AK57" s="86"/>
      <c r="AL57" s="87"/>
      <c r="AM57" s="87"/>
      <c r="AN57" s="86"/>
      <c r="AO57" s="86"/>
      <c r="AP57" s="87"/>
      <c r="AQ57" s="87"/>
      <c r="AR57" s="87"/>
      <c r="AS57" s="87"/>
      <c r="AT57" s="87"/>
      <c r="AU57" s="87"/>
      <c r="AV57" s="67"/>
      <c r="AW57" s="67"/>
      <c r="AX57" s="67"/>
      <c r="AY57" s="67"/>
      <c r="AZ57" s="68"/>
      <c r="BA57" s="109" t="b">
        <f ca="1">BA$51</f>
        <v>0</v>
      </c>
    </row>
    <row r="58" spans="2:54" ht="13.5" customHeight="1">
      <c r="B58" s="2614"/>
      <c r="C58" s="2616"/>
      <c r="D58" s="2831"/>
      <c r="E58" s="2832"/>
      <c r="F58" s="32" t="s">
        <v>759</v>
      </c>
      <c r="G58" s="32"/>
      <c r="H58" s="32"/>
      <c r="I58" s="32"/>
      <c r="J58" s="32"/>
      <c r="K58" s="32"/>
      <c r="L58" s="32"/>
      <c r="M58" s="32"/>
      <c r="N58" s="32"/>
      <c r="O58" s="32"/>
      <c r="P58" s="33"/>
      <c r="Q58" s="32"/>
      <c r="R58" s="34" t="s">
        <v>760</v>
      </c>
      <c r="S58" s="32"/>
      <c r="T58" s="32"/>
      <c r="U58" s="32"/>
      <c r="V58" s="34" t="s">
        <v>761</v>
      </c>
      <c r="W58" s="32"/>
      <c r="X58" s="32"/>
      <c r="Y58" s="32"/>
      <c r="Z58" s="33"/>
      <c r="AA58" s="33"/>
      <c r="AB58" s="35" t="s">
        <v>779</v>
      </c>
      <c r="AC58" s="35"/>
      <c r="AD58" s="35"/>
      <c r="AE58" s="35"/>
      <c r="AF58" s="34" t="s">
        <v>762</v>
      </c>
      <c r="AG58" s="32"/>
      <c r="AH58" s="32"/>
      <c r="AI58" s="33"/>
      <c r="AJ58" s="34" t="s">
        <v>764</v>
      </c>
      <c r="AK58" s="32"/>
      <c r="AL58" s="32"/>
      <c r="AM58" s="32"/>
      <c r="AN58" s="35" t="s">
        <v>780</v>
      </c>
      <c r="AO58" s="34"/>
      <c r="AP58" s="34"/>
      <c r="AQ58" s="33"/>
      <c r="AR58" s="35" t="s">
        <v>765</v>
      </c>
      <c r="AS58" s="34"/>
      <c r="AT58" s="34"/>
      <c r="AU58" s="32"/>
      <c r="AV58" s="36" t="s">
        <v>781</v>
      </c>
      <c r="AW58" s="37"/>
      <c r="AX58" s="37"/>
      <c r="AY58" s="38"/>
      <c r="AZ58" s="39"/>
      <c r="BA58" s="25" t="b">
        <f ca="1">SUM(V59:Y69)&lt;&gt;0</f>
        <v>0</v>
      </c>
    </row>
    <row r="59" spans="2:54" ht="13.5" customHeight="1">
      <c r="B59" s="2614"/>
      <c r="C59" s="2616"/>
      <c r="D59" s="2681" t="s">
        <v>1608</v>
      </c>
      <c r="E59" s="2683"/>
      <c r="F59" s="1837" t="s">
        <v>1849</v>
      </c>
      <c r="G59" s="1835"/>
      <c r="H59" s="1835"/>
      <c r="I59" s="1835"/>
      <c r="J59" s="1835"/>
      <c r="K59" s="1835"/>
      <c r="L59" s="1835"/>
      <c r="M59" s="1835"/>
      <c r="N59" s="1835"/>
      <c r="O59" s="1835"/>
      <c r="P59" s="1835"/>
      <c r="Q59" s="1836"/>
      <c r="R59" s="2609">
        <v>244100</v>
      </c>
      <c r="S59" s="2610"/>
      <c r="T59" s="2610"/>
      <c r="U59" s="2611"/>
      <c r="V59" s="2882">
        <f ca="1">SUMIF(見積拾!C$7:D$33,F59,見積拾!T$7:T$33)</f>
        <v>0</v>
      </c>
      <c r="W59" s="2883"/>
      <c r="X59" s="2883"/>
      <c r="Y59" s="2883"/>
      <c r="Z59" s="2652" t="s">
        <v>768</v>
      </c>
      <c r="AA59" s="2653"/>
      <c r="AB59" s="2651">
        <f t="shared" ref="AB59:AB69" ca="1" si="17">INT(R59*V59)</f>
        <v>0</v>
      </c>
      <c r="AC59" s="2652"/>
      <c r="AD59" s="2652"/>
      <c r="AE59" s="2653"/>
      <c r="AF59" s="2776">
        <f ca="1">SUM(AB59:AE69)</f>
        <v>0</v>
      </c>
      <c r="AG59" s="2577"/>
      <c r="AH59" s="2577"/>
      <c r="AI59" s="2777"/>
      <c r="AJ59" s="2875"/>
      <c r="AK59" s="2876"/>
      <c r="AL59" s="2781" t="e">
        <f>VLOOKUP(AJ59,AJ70:AM72,3,0)</f>
        <v>#N/A</v>
      </c>
      <c r="AM59" s="2782"/>
      <c r="AN59" s="1984"/>
      <c r="AO59" s="1985"/>
      <c r="AP59" s="1985"/>
      <c r="AQ59" s="1986"/>
      <c r="AR59" s="2870">
        <f ca="1">IF(AF59=0,0,AL59)</f>
        <v>0</v>
      </c>
      <c r="AS59" s="2871"/>
      <c r="AT59" s="2871"/>
      <c r="AU59" s="2871"/>
      <c r="AV59" s="2776">
        <f ca="1">INT(AF59*AR59)</f>
        <v>0</v>
      </c>
      <c r="AW59" s="2577"/>
      <c r="AX59" s="2577"/>
      <c r="AY59" s="2577"/>
      <c r="AZ59" s="2777"/>
      <c r="BA59" s="25" t="b">
        <f t="shared" ref="BA59:BA69" ca="1" si="18">V59&lt;&gt;0</f>
        <v>0</v>
      </c>
      <c r="BB59" s="6" t="s">
        <v>1990</v>
      </c>
    </row>
    <row r="60" spans="2:54" s="1847" customFormat="1" ht="13.5" customHeight="1">
      <c r="B60" s="2614"/>
      <c r="C60" s="2617"/>
      <c r="D60" s="2681"/>
      <c r="E60" s="2683"/>
      <c r="F60" s="1844" t="s">
        <v>1850</v>
      </c>
      <c r="G60" s="1845"/>
      <c r="H60" s="1845"/>
      <c r="I60" s="1845"/>
      <c r="J60" s="1845"/>
      <c r="K60" s="1845"/>
      <c r="L60" s="1845"/>
      <c r="M60" s="1845"/>
      <c r="N60" s="1845"/>
      <c r="O60" s="1845"/>
      <c r="P60" s="1845"/>
      <c r="Q60" s="1846"/>
      <c r="R60" s="2561">
        <v>179050</v>
      </c>
      <c r="S60" s="2562"/>
      <c r="T60" s="2562"/>
      <c r="U60" s="2563"/>
      <c r="V60" s="2612">
        <f ca="1">SUMIF(見積拾!C$7:D$33,F60,見積拾!T$7:T$33)</f>
        <v>0</v>
      </c>
      <c r="W60" s="2613"/>
      <c r="X60" s="2613"/>
      <c r="Y60" s="2613"/>
      <c r="Z60" s="2500" t="s">
        <v>768</v>
      </c>
      <c r="AA60" s="2501"/>
      <c r="AB60" s="2499">
        <f t="shared" ref="AB60:AB61" ca="1" si="19">INT(R60*V60)</f>
        <v>0</v>
      </c>
      <c r="AC60" s="2500"/>
      <c r="AD60" s="2500"/>
      <c r="AE60" s="2501"/>
      <c r="AF60" s="2778"/>
      <c r="AG60" s="2779"/>
      <c r="AH60" s="2779"/>
      <c r="AI60" s="2874"/>
      <c r="AJ60" s="2877"/>
      <c r="AK60" s="2878"/>
      <c r="AL60" s="2783"/>
      <c r="AM60" s="2784"/>
      <c r="AN60" s="128"/>
      <c r="AO60" s="6"/>
      <c r="AP60" s="6"/>
      <c r="AQ60" s="1748"/>
      <c r="AR60" s="2872"/>
      <c r="AS60" s="2873"/>
      <c r="AT60" s="2873"/>
      <c r="AU60" s="2873"/>
      <c r="AV60" s="2778"/>
      <c r="AW60" s="2779"/>
      <c r="AX60" s="2779"/>
      <c r="AY60" s="2779"/>
      <c r="AZ60" s="2874"/>
      <c r="BA60" s="25" t="b">
        <f t="shared" ref="BA60:BA61" ca="1" si="20">V60&lt;&gt;0</f>
        <v>0</v>
      </c>
      <c r="BB60" s="6" t="s">
        <v>1991</v>
      </c>
    </row>
    <row r="61" spans="2:54" s="1847" customFormat="1" ht="13.5" customHeight="1">
      <c r="B61" s="2614"/>
      <c r="C61" s="2617"/>
      <c r="D61" s="2681"/>
      <c r="E61" s="2683"/>
      <c r="F61" s="1844" t="s">
        <v>1851</v>
      </c>
      <c r="G61" s="1845"/>
      <c r="H61" s="1845"/>
      <c r="I61" s="1845"/>
      <c r="J61" s="1845"/>
      <c r="K61" s="1845"/>
      <c r="L61" s="1845"/>
      <c r="M61" s="1845"/>
      <c r="N61" s="1845"/>
      <c r="O61" s="1845"/>
      <c r="P61" s="1845"/>
      <c r="Q61" s="1846"/>
      <c r="R61" s="2561">
        <v>133200</v>
      </c>
      <c r="S61" s="2562"/>
      <c r="T61" s="2562"/>
      <c r="U61" s="2563"/>
      <c r="V61" s="2612">
        <f ca="1">SUMIF(見積拾!C$7:D$33,F61,見積拾!T$7:T$33)</f>
        <v>0</v>
      </c>
      <c r="W61" s="2613"/>
      <c r="X61" s="2613"/>
      <c r="Y61" s="2613"/>
      <c r="Z61" s="2500" t="s">
        <v>768</v>
      </c>
      <c r="AA61" s="2501"/>
      <c r="AB61" s="2499">
        <f t="shared" ca="1" si="19"/>
        <v>0</v>
      </c>
      <c r="AC61" s="2500"/>
      <c r="AD61" s="2500"/>
      <c r="AE61" s="2501"/>
      <c r="AF61" s="2778"/>
      <c r="AG61" s="2779"/>
      <c r="AH61" s="2779"/>
      <c r="AI61" s="2874"/>
      <c r="AJ61" s="2877"/>
      <c r="AK61" s="2878"/>
      <c r="AL61" s="2783"/>
      <c r="AM61" s="2784"/>
      <c r="AN61" s="128"/>
      <c r="AO61" s="6"/>
      <c r="AP61" s="6"/>
      <c r="AQ61" s="1748"/>
      <c r="AR61" s="2872"/>
      <c r="AS61" s="2873"/>
      <c r="AT61" s="2873"/>
      <c r="AU61" s="2873"/>
      <c r="AV61" s="2778"/>
      <c r="AW61" s="2779"/>
      <c r="AX61" s="2779"/>
      <c r="AY61" s="2779"/>
      <c r="AZ61" s="2874"/>
      <c r="BA61" s="25" t="b">
        <f t="shared" ca="1" si="20"/>
        <v>0</v>
      </c>
      <c r="BB61" s="6" t="s">
        <v>2024</v>
      </c>
    </row>
    <row r="62" spans="2:54" ht="13.5" customHeight="1">
      <c r="B62" s="2614"/>
      <c r="C62" s="2616"/>
      <c r="D62" s="2681"/>
      <c r="E62" s="2683"/>
      <c r="F62" s="48" t="s">
        <v>1852</v>
      </c>
      <c r="G62" s="49"/>
      <c r="H62" s="49"/>
      <c r="I62" s="49"/>
      <c r="J62" s="49"/>
      <c r="K62" s="49"/>
      <c r="L62" s="49"/>
      <c r="M62" s="49"/>
      <c r="N62" s="49"/>
      <c r="O62" s="49"/>
      <c r="P62" s="49"/>
      <c r="Q62" s="50"/>
      <c r="R62" s="2561">
        <v>57980</v>
      </c>
      <c r="S62" s="2562"/>
      <c r="T62" s="2562"/>
      <c r="U62" s="2563"/>
      <c r="V62" s="2555">
        <f ca="1">SUMIF(見積拾!C$7:D$33,F62,見積拾!T$7:T$33)</f>
        <v>0</v>
      </c>
      <c r="W62" s="2556"/>
      <c r="X62" s="2556"/>
      <c r="Y62" s="2556"/>
      <c r="Z62" s="2500" t="s">
        <v>1153</v>
      </c>
      <c r="AA62" s="2501"/>
      <c r="AB62" s="2499">
        <f t="shared" ca="1" si="17"/>
        <v>0</v>
      </c>
      <c r="AC62" s="2500"/>
      <c r="AD62" s="2500"/>
      <c r="AE62" s="2501"/>
      <c r="AF62" s="2778"/>
      <c r="AG62" s="2779"/>
      <c r="AH62" s="2779"/>
      <c r="AI62" s="2780"/>
      <c r="AJ62" s="2877"/>
      <c r="AK62" s="2878"/>
      <c r="AL62" s="2783"/>
      <c r="AM62" s="2785"/>
      <c r="AN62" s="128"/>
      <c r="AO62" s="6"/>
      <c r="AP62" s="6"/>
      <c r="AQ62" s="130"/>
      <c r="AR62" s="2872"/>
      <c r="AS62" s="2873"/>
      <c r="AT62" s="2873"/>
      <c r="AU62" s="2873"/>
      <c r="AV62" s="2778"/>
      <c r="AW62" s="2779"/>
      <c r="AX62" s="2779"/>
      <c r="AY62" s="2779"/>
      <c r="AZ62" s="2780"/>
      <c r="BA62" s="25" t="b">
        <f t="shared" ca="1" si="18"/>
        <v>0</v>
      </c>
      <c r="BB62" s="6" t="s">
        <v>1992</v>
      </c>
    </row>
    <row r="63" spans="2:54" s="1847" customFormat="1" ht="13.5" customHeight="1">
      <c r="B63" s="2614"/>
      <c r="C63" s="2617"/>
      <c r="D63" s="2681"/>
      <c r="E63" s="2683"/>
      <c r="F63" s="1844" t="s">
        <v>1853</v>
      </c>
      <c r="G63" s="1845"/>
      <c r="H63" s="1845"/>
      <c r="I63" s="1845"/>
      <c r="J63" s="1845"/>
      <c r="K63" s="1845"/>
      <c r="L63" s="1845"/>
      <c r="M63" s="1845"/>
      <c r="N63" s="1845"/>
      <c r="O63" s="1845"/>
      <c r="P63" s="1845"/>
      <c r="Q63" s="1846"/>
      <c r="R63" s="2561">
        <v>46500</v>
      </c>
      <c r="S63" s="2562"/>
      <c r="T63" s="2562"/>
      <c r="U63" s="2563"/>
      <c r="V63" s="2555">
        <f ca="1">SUMIF(見積拾!C$7:D$33,F63,見積拾!T$7:T$33)</f>
        <v>0</v>
      </c>
      <c r="W63" s="2556"/>
      <c r="X63" s="2556"/>
      <c r="Y63" s="2556"/>
      <c r="Z63" s="2500" t="s">
        <v>1153</v>
      </c>
      <c r="AA63" s="2501"/>
      <c r="AB63" s="2499">
        <f t="shared" ref="AB63:AB64" ca="1" si="21">INT(R63*V63)</f>
        <v>0</v>
      </c>
      <c r="AC63" s="2500"/>
      <c r="AD63" s="2500"/>
      <c r="AE63" s="2501"/>
      <c r="AF63" s="2778"/>
      <c r="AG63" s="2779"/>
      <c r="AH63" s="2779"/>
      <c r="AI63" s="2874"/>
      <c r="AJ63" s="2877"/>
      <c r="AK63" s="2878"/>
      <c r="AL63" s="2783"/>
      <c r="AM63" s="2784"/>
      <c r="AN63" s="128"/>
      <c r="AO63" s="6"/>
      <c r="AP63" s="6"/>
      <c r="AQ63" s="130"/>
      <c r="AR63" s="2872"/>
      <c r="AS63" s="2873"/>
      <c r="AT63" s="2873"/>
      <c r="AU63" s="2873"/>
      <c r="AV63" s="2778"/>
      <c r="AW63" s="2779"/>
      <c r="AX63" s="2779"/>
      <c r="AY63" s="2779"/>
      <c r="AZ63" s="2874"/>
      <c r="BA63" s="25" t="b">
        <f t="shared" ref="BA63:BA64" ca="1" si="22">V63&lt;&gt;0</f>
        <v>0</v>
      </c>
      <c r="BB63" s="6" t="s">
        <v>1993</v>
      </c>
    </row>
    <row r="64" spans="2:54" s="1847" customFormat="1" ht="13.5" customHeight="1">
      <c r="B64" s="2614"/>
      <c r="C64" s="2617"/>
      <c r="D64" s="2681"/>
      <c r="E64" s="2683"/>
      <c r="F64" s="1844" t="s">
        <v>1854</v>
      </c>
      <c r="G64" s="1845"/>
      <c r="H64" s="1845"/>
      <c r="I64" s="1845"/>
      <c r="J64" s="1845"/>
      <c r="K64" s="1845"/>
      <c r="L64" s="1845"/>
      <c r="M64" s="1845"/>
      <c r="N64" s="1845"/>
      <c r="O64" s="1845"/>
      <c r="P64" s="1845"/>
      <c r="Q64" s="1846"/>
      <c r="R64" s="2561">
        <v>42150</v>
      </c>
      <c r="S64" s="2562"/>
      <c r="T64" s="2562"/>
      <c r="U64" s="2563"/>
      <c r="V64" s="2555">
        <f ca="1">SUMIF(見積拾!C$7:D$33,F64,見積拾!T$7:T$33)</f>
        <v>0</v>
      </c>
      <c r="W64" s="2556"/>
      <c r="X64" s="2556"/>
      <c r="Y64" s="2556"/>
      <c r="Z64" s="2500" t="s">
        <v>1153</v>
      </c>
      <c r="AA64" s="2501"/>
      <c r="AB64" s="2499">
        <f t="shared" ca="1" si="21"/>
        <v>0</v>
      </c>
      <c r="AC64" s="2500"/>
      <c r="AD64" s="2500"/>
      <c r="AE64" s="2501"/>
      <c r="AF64" s="2778"/>
      <c r="AG64" s="2779"/>
      <c r="AH64" s="2779"/>
      <c r="AI64" s="2874"/>
      <c r="AJ64" s="2877"/>
      <c r="AK64" s="2878"/>
      <c r="AL64" s="2783"/>
      <c r="AM64" s="2784"/>
      <c r="AN64" s="128"/>
      <c r="AO64" s="6"/>
      <c r="AP64" s="6"/>
      <c r="AQ64" s="130"/>
      <c r="AR64" s="2872"/>
      <c r="AS64" s="2873"/>
      <c r="AT64" s="2873"/>
      <c r="AU64" s="2873"/>
      <c r="AV64" s="2778"/>
      <c r="AW64" s="2779"/>
      <c r="AX64" s="2779"/>
      <c r="AY64" s="2779"/>
      <c r="AZ64" s="2874"/>
      <c r="BA64" s="25" t="b">
        <f t="shared" ca="1" si="22"/>
        <v>0</v>
      </c>
      <c r="BB64" s="6" t="s">
        <v>1994</v>
      </c>
    </row>
    <row r="65" spans="2:54" ht="13.5" customHeight="1">
      <c r="B65" s="2614"/>
      <c r="C65" s="2616"/>
      <c r="D65" s="2681"/>
      <c r="E65" s="2683"/>
      <c r="F65" s="48" t="s">
        <v>1154</v>
      </c>
      <c r="G65" s="49"/>
      <c r="H65" s="49"/>
      <c r="I65" s="49"/>
      <c r="J65" s="49"/>
      <c r="K65" s="49"/>
      <c r="L65" s="49"/>
      <c r="M65" s="49"/>
      <c r="N65" s="49"/>
      <c r="O65" s="49"/>
      <c r="P65" s="49"/>
      <c r="Q65" s="50"/>
      <c r="R65" s="2561">
        <v>18980</v>
      </c>
      <c r="S65" s="2562"/>
      <c r="T65" s="2562"/>
      <c r="U65" s="2563"/>
      <c r="V65" s="2555">
        <f ca="1">SUMIF(見積拾!C$7:D$33,F65,見積拾!T$7:T$33)</f>
        <v>0</v>
      </c>
      <c r="W65" s="2556"/>
      <c r="X65" s="2556"/>
      <c r="Y65" s="2556"/>
      <c r="Z65" s="2500" t="s">
        <v>1153</v>
      </c>
      <c r="AA65" s="2501"/>
      <c r="AB65" s="2499">
        <f t="shared" ca="1" si="17"/>
        <v>0</v>
      </c>
      <c r="AC65" s="2500"/>
      <c r="AD65" s="2500"/>
      <c r="AE65" s="2501"/>
      <c r="AF65" s="2778"/>
      <c r="AG65" s="2779"/>
      <c r="AH65" s="2779"/>
      <c r="AI65" s="2780"/>
      <c r="AJ65" s="2877"/>
      <c r="AK65" s="2878"/>
      <c r="AL65" s="2783"/>
      <c r="AM65" s="2785"/>
      <c r="AN65" s="128"/>
      <c r="AO65" s="6"/>
      <c r="AP65" s="6"/>
      <c r="AQ65" s="130"/>
      <c r="AR65" s="2872"/>
      <c r="AS65" s="2873"/>
      <c r="AT65" s="2873"/>
      <c r="AU65" s="2873"/>
      <c r="AV65" s="2778"/>
      <c r="AW65" s="2779"/>
      <c r="AX65" s="2779"/>
      <c r="AY65" s="2779"/>
      <c r="AZ65" s="2780"/>
      <c r="BA65" s="25" t="b">
        <f t="shared" ca="1" si="18"/>
        <v>0</v>
      </c>
      <c r="BB65" s="6" t="s">
        <v>2019</v>
      </c>
    </row>
    <row r="66" spans="2:54" ht="13.5" customHeight="1">
      <c r="B66" s="2614"/>
      <c r="C66" s="2616"/>
      <c r="D66" s="2681"/>
      <c r="E66" s="2683"/>
      <c r="F66" s="51" t="s">
        <v>1155</v>
      </c>
      <c r="G66" s="52"/>
      <c r="H66" s="52"/>
      <c r="I66" s="52"/>
      <c r="J66" s="52"/>
      <c r="K66" s="52"/>
      <c r="L66" s="52"/>
      <c r="M66" s="52"/>
      <c r="N66" s="52"/>
      <c r="O66" s="52"/>
      <c r="P66" s="52"/>
      <c r="Q66" s="53"/>
      <c r="R66" s="2561">
        <v>19360</v>
      </c>
      <c r="S66" s="2562"/>
      <c r="T66" s="2562"/>
      <c r="U66" s="2563"/>
      <c r="V66" s="2555">
        <f ca="1">SUMIF(見積拾!C$7:D$33,F66,見積拾!T$7:T$33)</f>
        <v>0</v>
      </c>
      <c r="W66" s="2556"/>
      <c r="X66" s="2556"/>
      <c r="Y66" s="2556"/>
      <c r="Z66" s="2500" t="s">
        <v>1153</v>
      </c>
      <c r="AA66" s="2501"/>
      <c r="AB66" s="2499">
        <f t="shared" ca="1" si="17"/>
        <v>0</v>
      </c>
      <c r="AC66" s="2500"/>
      <c r="AD66" s="2500"/>
      <c r="AE66" s="2501"/>
      <c r="AF66" s="2778"/>
      <c r="AG66" s="2779"/>
      <c r="AH66" s="2779"/>
      <c r="AI66" s="2780"/>
      <c r="AJ66" s="2877"/>
      <c r="AK66" s="2878"/>
      <c r="AL66" s="2783"/>
      <c r="AM66" s="2785"/>
      <c r="AN66" s="128"/>
      <c r="AO66" s="6"/>
      <c r="AP66" s="6"/>
      <c r="AQ66" s="130"/>
      <c r="AR66" s="2872"/>
      <c r="AS66" s="2873"/>
      <c r="AT66" s="2873"/>
      <c r="AU66" s="2873"/>
      <c r="AV66" s="2778"/>
      <c r="AW66" s="2779"/>
      <c r="AX66" s="2779"/>
      <c r="AY66" s="2779"/>
      <c r="AZ66" s="2780"/>
      <c r="BA66" s="25" t="b">
        <f t="shared" ca="1" si="18"/>
        <v>0</v>
      </c>
      <c r="BB66" s="6" t="s">
        <v>2018</v>
      </c>
    </row>
    <row r="67" spans="2:54" ht="13.5" customHeight="1">
      <c r="B67" s="2614"/>
      <c r="C67" s="2616"/>
      <c r="D67" s="2681"/>
      <c r="E67" s="2683"/>
      <c r="F67" s="48" t="s">
        <v>1156</v>
      </c>
      <c r="G67" s="49"/>
      <c r="H67" s="49"/>
      <c r="I67" s="49"/>
      <c r="J67" s="49"/>
      <c r="K67" s="49"/>
      <c r="L67" s="49"/>
      <c r="M67" s="49"/>
      <c r="N67" s="49"/>
      <c r="O67" s="49"/>
      <c r="P67" s="49"/>
      <c r="Q67" s="50"/>
      <c r="R67" s="2561">
        <v>48900</v>
      </c>
      <c r="S67" s="2562"/>
      <c r="T67" s="2562"/>
      <c r="U67" s="2563"/>
      <c r="V67" s="2555">
        <f ca="1">SUMIF(見積拾!C$7:D$33,F67,見積拾!T$7:T$33)</f>
        <v>0</v>
      </c>
      <c r="W67" s="2556"/>
      <c r="X67" s="2556"/>
      <c r="Y67" s="2556"/>
      <c r="Z67" s="2500" t="s">
        <v>1153</v>
      </c>
      <c r="AA67" s="2501"/>
      <c r="AB67" s="2499">
        <f t="shared" ca="1" si="17"/>
        <v>0</v>
      </c>
      <c r="AC67" s="2500"/>
      <c r="AD67" s="2500"/>
      <c r="AE67" s="2501"/>
      <c r="AF67" s="2778"/>
      <c r="AG67" s="2779"/>
      <c r="AH67" s="2779"/>
      <c r="AI67" s="2780"/>
      <c r="AJ67" s="2877"/>
      <c r="AK67" s="2878"/>
      <c r="AL67" s="2783"/>
      <c r="AM67" s="2785"/>
      <c r="AN67" s="128"/>
      <c r="AO67" s="6"/>
      <c r="AP67" s="6"/>
      <c r="AQ67" s="130"/>
      <c r="AR67" s="2872"/>
      <c r="AS67" s="2873"/>
      <c r="AT67" s="2873"/>
      <c r="AU67" s="2873"/>
      <c r="AV67" s="2778"/>
      <c r="AW67" s="2779"/>
      <c r="AX67" s="2779"/>
      <c r="AY67" s="2779"/>
      <c r="AZ67" s="2780"/>
      <c r="BA67" s="25" t="b">
        <f t="shared" ca="1" si="18"/>
        <v>0</v>
      </c>
    </row>
    <row r="68" spans="2:54" ht="13.5" customHeight="1">
      <c r="B68" s="2614"/>
      <c r="C68" s="2616"/>
      <c r="D68" s="2681"/>
      <c r="E68" s="2683"/>
      <c r="F68" s="48" t="s">
        <v>1157</v>
      </c>
      <c r="G68" s="49"/>
      <c r="H68" s="49"/>
      <c r="I68" s="49"/>
      <c r="J68" s="49"/>
      <c r="K68" s="49"/>
      <c r="L68" s="49"/>
      <c r="M68" s="49"/>
      <c r="N68" s="49"/>
      <c r="O68" s="49"/>
      <c r="P68" s="49"/>
      <c r="Q68" s="50"/>
      <c r="R68" s="2561">
        <v>95950</v>
      </c>
      <c r="S68" s="2562"/>
      <c r="T68" s="2562"/>
      <c r="U68" s="2563"/>
      <c r="V68" s="2555">
        <f ca="1">SUMIF(見積拾!C$7:D$33,F68,見積拾!T$7:T$33)</f>
        <v>0</v>
      </c>
      <c r="W68" s="2556"/>
      <c r="X68" s="2556"/>
      <c r="Y68" s="2556"/>
      <c r="Z68" s="2500" t="s">
        <v>1153</v>
      </c>
      <c r="AA68" s="2501"/>
      <c r="AB68" s="2499">
        <f t="shared" ca="1" si="17"/>
        <v>0</v>
      </c>
      <c r="AC68" s="2500"/>
      <c r="AD68" s="2500"/>
      <c r="AE68" s="2501"/>
      <c r="AF68" s="2778"/>
      <c r="AG68" s="2779"/>
      <c r="AH68" s="2779"/>
      <c r="AI68" s="2780"/>
      <c r="AJ68" s="2877"/>
      <c r="AK68" s="2878"/>
      <c r="AL68" s="2783"/>
      <c r="AM68" s="2785"/>
      <c r="AN68" s="128"/>
      <c r="AO68" s="6"/>
      <c r="AP68" s="6"/>
      <c r="AQ68" s="130"/>
      <c r="AR68" s="2872"/>
      <c r="AS68" s="2873"/>
      <c r="AT68" s="2873"/>
      <c r="AU68" s="2873"/>
      <c r="AV68" s="2778"/>
      <c r="AW68" s="2779"/>
      <c r="AX68" s="2779"/>
      <c r="AY68" s="2779"/>
      <c r="AZ68" s="2780"/>
      <c r="BA68" s="25" t="b">
        <f t="shared" ca="1" si="18"/>
        <v>0</v>
      </c>
    </row>
    <row r="69" spans="2:54" ht="13.5" customHeight="1">
      <c r="B69" s="2614"/>
      <c r="C69" s="2616"/>
      <c r="D69" s="2681"/>
      <c r="E69" s="2683"/>
      <c r="F69" s="1841" t="s">
        <v>1158</v>
      </c>
      <c r="G69" s="1842"/>
      <c r="H69" s="1842"/>
      <c r="I69" s="1842"/>
      <c r="J69" s="1842"/>
      <c r="K69" s="1842"/>
      <c r="L69" s="1352"/>
      <c r="M69" s="1842"/>
      <c r="N69" s="1842"/>
      <c r="O69" s="1842"/>
      <c r="P69" s="1842"/>
      <c r="Q69" s="1843"/>
      <c r="R69" s="2561">
        <v>780</v>
      </c>
      <c r="S69" s="2562"/>
      <c r="T69" s="2562"/>
      <c r="U69" s="2563"/>
      <c r="V69" s="2555">
        <f ca="1">SUMIF(見積拾!C$7:D$33,F69,見積拾!T$7:T$33)</f>
        <v>0</v>
      </c>
      <c r="W69" s="2556"/>
      <c r="X69" s="2556"/>
      <c r="Y69" s="2556"/>
      <c r="Z69" s="2500" t="s">
        <v>835</v>
      </c>
      <c r="AA69" s="2501"/>
      <c r="AB69" s="2499">
        <f t="shared" ca="1" si="17"/>
        <v>0</v>
      </c>
      <c r="AC69" s="2500"/>
      <c r="AD69" s="2500"/>
      <c r="AE69" s="2501"/>
      <c r="AF69" s="2778"/>
      <c r="AG69" s="2779"/>
      <c r="AH69" s="2779"/>
      <c r="AI69" s="2780"/>
      <c r="AJ69" s="2877"/>
      <c r="AK69" s="2878"/>
      <c r="AL69" s="2783"/>
      <c r="AM69" s="2785"/>
      <c r="AN69" s="128"/>
      <c r="AO69" s="6"/>
      <c r="AP69" s="6"/>
      <c r="AQ69" s="130"/>
      <c r="AR69" s="2872"/>
      <c r="AS69" s="2873"/>
      <c r="AT69" s="2873"/>
      <c r="AU69" s="2873"/>
      <c r="AV69" s="2778"/>
      <c r="AW69" s="2779"/>
      <c r="AX69" s="2779"/>
      <c r="AY69" s="2779"/>
      <c r="AZ69" s="2780"/>
      <c r="BA69" s="25" t="b">
        <f t="shared" ca="1" si="18"/>
        <v>0</v>
      </c>
    </row>
    <row r="70" spans="2:54" ht="13.5" customHeight="1">
      <c r="B70" s="2614"/>
      <c r="C70" s="2616"/>
      <c r="D70" s="2681"/>
      <c r="E70" s="2683"/>
      <c r="F70" s="125"/>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63" t="e">
        <f>VLOOKUP($AD$8,主体明確補正,IF($AM$7="SRC",2,26),0)</f>
        <v>#N/A</v>
      </c>
      <c r="AK70" s="64"/>
      <c r="AL70" s="65" t="e">
        <f>VLOOKUP($AD$8,主体明確補正,IF($AM$7="SRC",3,27),0)</f>
        <v>#N/A</v>
      </c>
      <c r="AM70" s="66"/>
      <c r="AN70" s="126"/>
      <c r="AO70" s="126"/>
      <c r="AP70" s="126"/>
      <c r="AQ70" s="126"/>
      <c r="AR70" s="126"/>
      <c r="AS70" s="126"/>
      <c r="AT70" s="126"/>
      <c r="AU70" s="126"/>
      <c r="AV70" s="126"/>
      <c r="AW70" s="126"/>
      <c r="AX70" s="126"/>
      <c r="AY70" s="126"/>
      <c r="AZ70" s="127"/>
      <c r="BA70" s="25" t="b">
        <f ca="1">BA$58</f>
        <v>0</v>
      </c>
    </row>
    <row r="71" spans="2:54" ht="13.5" customHeight="1">
      <c r="B71" s="2614"/>
      <c r="C71" s="2616"/>
      <c r="D71" s="2681"/>
      <c r="E71" s="2683"/>
      <c r="F71" s="88"/>
      <c r="G71" s="4"/>
      <c r="H71" s="4"/>
      <c r="I71" s="4"/>
      <c r="J71" s="4"/>
      <c r="K71" s="4"/>
      <c r="L71" s="4"/>
      <c r="M71" s="4"/>
      <c r="N71" s="4"/>
      <c r="O71" s="4"/>
      <c r="P71" s="4"/>
      <c r="Q71" s="4"/>
      <c r="R71" s="4"/>
      <c r="S71" s="4"/>
      <c r="T71" s="4"/>
      <c r="U71" s="4"/>
      <c r="V71" s="4"/>
      <c r="W71" s="4"/>
      <c r="X71" s="4"/>
      <c r="Y71" s="4"/>
      <c r="Z71" s="4"/>
      <c r="AA71" s="6"/>
      <c r="AB71" s="6"/>
      <c r="AC71" s="6"/>
      <c r="AD71" s="6"/>
      <c r="AE71" s="6"/>
      <c r="AF71" s="6"/>
      <c r="AG71" s="6"/>
      <c r="AH71" s="6"/>
      <c r="AI71" s="6"/>
      <c r="AJ71" s="78" t="e">
        <f>VLOOKUP($AD$8,主体明確補正,IF($AM$7="SRC",4,28),0)</f>
        <v>#N/A</v>
      </c>
      <c r="AK71" s="79"/>
      <c r="AL71" s="80" t="e">
        <f>VLOOKUP($AD$8,主体明確補正,IF($AM$7="SRC",5,29),0)</f>
        <v>#N/A</v>
      </c>
      <c r="AM71" s="81"/>
      <c r="AN71" s="6"/>
      <c r="AO71" s="6"/>
      <c r="AP71" s="6"/>
      <c r="AQ71" s="6"/>
      <c r="AR71" s="6"/>
      <c r="AS71" s="6"/>
      <c r="AT71" s="6"/>
      <c r="AU71" s="6"/>
      <c r="AV71" s="6"/>
      <c r="AW71" s="6"/>
      <c r="AX71" s="6"/>
      <c r="AY71" s="6"/>
      <c r="AZ71" s="130"/>
      <c r="BA71" s="25" t="b">
        <f ca="1">BA$58</f>
        <v>0</v>
      </c>
    </row>
    <row r="72" spans="2:54" ht="13.5" customHeight="1">
      <c r="B72" s="2614"/>
      <c r="C72" s="2616"/>
      <c r="D72" s="2681"/>
      <c r="E72" s="2683"/>
      <c r="F72" s="128"/>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82" t="e">
        <f>VLOOKUP($AD$8,主体明確補正,IF($AM$7="SRC",6,30),0)</f>
        <v>#N/A</v>
      </c>
      <c r="AK72" s="83"/>
      <c r="AL72" s="84" t="e">
        <f>VLOOKUP($AD$8,主体明確補正,IF($AM$7="SRC",7,31),0)</f>
        <v>#N/A</v>
      </c>
      <c r="AM72" s="85"/>
      <c r="AN72" s="6"/>
      <c r="AO72" s="6"/>
      <c r="AP72" s="6"/>
      <c r="AQ72" s="6"/>
      <c r="AR72" s="6"/>
      <c r="AS72" s="6"/>
      <c r="AT72" s="6"/>
      <c r="AU72" s="6"/>
      <c r="AV72" s="6"/>
      <c r="AW72" s="6"/>
      <c r="AX72" s="6"/>
      <c r="AY72" s="6"/>
      <c r="AZ72" s="130"/>
      <c r="BA72" s="25" t="b">
        <f ca="1">BA$58</f>
        <v>0</v>
      </c>
    </row>
    <row r="73" spans="2:54" s="1782" customFormat="1" ht="13.5" customHeight="1">
      <c r="B73" s="2614"/>
      <c r="C73" s="2617"/>
      <c r="D73" s="2681"/>
      <c r="E73" s="2683"/>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123"/>
      <c r="AK73" s="123"/>
      <c r="AL73" s="124"/>
      <c r="AM73" s="124"/>
      <c r="AN73" s="6"/>
      <c r="AO73" s="6"/>
      <c r="AP73" s="6"/>
      <c r="AQ73" s="6"/>
      <c r="AR73" s="6"/>
      <c r="AS73" s="6"/>
      <c r="AT73" s="6"/>
      <c r="AU73" s="6"/>
      <c r="AV73" s="6"/>
      <c r="AW73" s="6"/>
      <c r="AX73" s="6"/>
      <c r="AY73" s="6"/>
      <c r="AZ73" s="1748"/>
      <c r="BA73" s="25" t="b">
        <f ca="1">BA$58</f>
        <v>0</v>
      </c>
      <c r="BB73" s="6"/>
    </row>
    <row r="74" spans="2:54" s="1782" customFormat="1" ht="13.5" customHeight="1">
      <c r="B74" s="2614"/>
      <c r="C74" s="2617"/>
      <c r="D74" s="2969"/>
      <c r="E74" s="2970"/>
      <c r="F74" s="32" t="s">
        <v>759</v>
      </c>
      <c r="G74" s="32"/>
      <c r="H74" s="32"/>
      <c r="I74" s="32"/>
      <c r="J74" s="32"/>
      <c r="K74" s="32"/>
      <c r="L74" s="32"/>
      <c r="M74" s="32"/>
      <c r="N74" s="32"/>
      <c r="O74" s="32"/>
      <c r="P74" s="33"/>
      <c r="Q74" s="32"/>
      <c r="R74" s="34" t="s">
        <v>760</v>
      </c>
      <c r="S74" s="32"/>
      <c r="T74" s="32"/>
      <c r="U74" s="32"/>
      <c r="V74" s="34" t="s">
        <v>761</v>
      </c>
      <c r="W74" s="32"/>
      <c r="X74" s="32"/>
      <c r="Y74" s="32"/>
      <c r="Z74" s="33"/>
      <c r="AA74" s="33"/>
      <c r="AB74" s="35" t="s">
        <v>779</v>
      </c>
      <c r="AC74" s="35"/>
      <c r="AD74" s="35"/>
      <c r="AE74" s="35"/>
      <c r="AF74" s="34" t="s">
        <v>762</v>
      </c>
      <c r="AG74" s="32"/>
      <c r="AH74" s="32"/>
      <c r="AI74" s="33"/>
      <c r="AJ74" s="34" t="s">
        <v>1603</v>
      </c>
      <c r="AK74" s="32"/>
      <c r="AL74" s="32"/>
      <c r="AM74" s="33"/>
      <c r="AN74" s="34" t="s">
        <v>1604</v>
      </c>
      <c r="AO74" s="32"/>
      <c r="AP74" s="32"/>
      <c r="AQ74" s="33"/>
      <c r="AR74" s="35" t="s">
        <v>765</v>
      </c>
      <c r="AS74" s="34"/>
      <c r="AT74" s="34"/>
      <c r="AU74" s="32"/>
      <c r="AV74" s="36" t="s">
        <v>1602</v>
      </c>
      <c r="AW74" s="37"/>
      <c r="AX74" s="37"/>
      <c r="AY74" s="38"/>
      <c r="AZ74" s="39"/>
      <c r="BA74" s="25" t="b">
        <f ca="1">+$V$75&lt;&gt;0</f>
        <v>0</v>
      </c>
      <c r="BB74" s="3204" t="s">
        <v>1606</v>
      </c>
    </row>
    <row r="75" spans="2:54" s="1782" customFormat="1" ht="13.5" customHeight="1">
      <c r="B75" s="2614"/>
      <c r="C75" s="2617"/>
      <c r="D75" s="2681" t="s">
        <v>1607</v>
      </c>
      <c r="E75" s="2683"/>
      <c r="F75" s="1786" t="s">
        <v>1149</v>
      </c>
      <c r="G75" s="1787"/>
      <c r="H75" s="1787"/>
      <c r="I75" s="1787"/>
      <c r="J75" s="1787"/>
      <c r="K75" s="1787"/>
      <c r="L75" s="1787"/>
      <c r="M75" s="1787"/>
      <c r="N75" s="1787"/>
      <c r="O75" s="1787"/>
      <c r="P75" s="1787"/>
      <c r="Q75" s="1788"/>
      <c r="R75" s="2975">
        <v>13160</v>
      </c>
      <c r="S75" s="2976"/>
      <c r="T75" s="2976"/>
      <c r="U75" s="2977"/>
      <c r="V75" s="2978">
        <f ca="1">SUMIF(見積拾!C$7:D$33,F75,見積拾!T$7:T$33)</f>
        <v>0</v>
      </c>
      <c r="W75" s="2979"/>
      <c r="X75" s="2979"/>
      <c r="Y75" s="2979"/>
      <c r="Z75" s="2973" t="s">
        <v>1159</v>
      </c>
      <c r="AA75" s="2974"/>
      <c r="AB75" s="2980">
        <f t="shared" ref="AB75" ca="1" si="23">INT(R75*V75)</f>
        <v>0</v>
      </c>
      <c r="AC75" s="2973"/>
      <c r="AD75" s="2973"/>
      <c r="AE75" s="2974"/>
      <c r="AF75" s="2981">
        <f ca="1">+AB75</f>
        <v>0</v>
      </c>
      <c r="AG75" s="2981"/>
      <c r="AH75" s="2981"/>
      <c r="AI75" s="2981"/>
      <c r="AJ75" s="1800"/>
      <c r="AK75" s="1799"/>
      <c r="AL75" s="1801" t="e">
        <f>+ROUNDDOWN(MAX(AL77,AL77+(AL76-AL77)*(AJ75-AJ77)/(AJ76-AJ77)),2)</f>
        <v>#N/A</v>
      </c>
      <c r="AM75" s="1287"/>
      <c r="AN75" s="2981"/>
      <c r="AO75" s="2981"/>
      <c r="AP75" s="2981"/>
      <c r="AQ75" s="2981"/>
      <c r="AR75" s="2995">
        <f ca="1">+IF(AF75=0,0,ROUNDDOWN(AL75,2))</f>
        <v>0</v>
      </c>
      <c r="AS75" s="2995"/>
      <c r="AT75" s="2995"/>
      <c r="AU75" s="2995"/>
      <c r="AV75" s="2981">
        <f ca="1">+INT(AF75*AR75)</f>
        <v>0</v>
      </c>
      <c r="AW75" s="2981"/>
      <c r="AX75" s="2981"/>
      <c r="AY75" s="2981"/>
      <c r="AZ75" s="2981"/>
      <c r="BA75" s="25" t="b">
        <f ca="1">+$BA$74</f>
        <v>0</v>
      </c>
      <c r="BB75" s="3204"/>
    </row>
    <row r="76" spans="2:54" s="1782" customFormat="1" ht="13.5" customHeight="1">
      <c r="B76" s="2614"/>
      <c r="C76" s="2617"/>
      <c r="D76" s="2681"/>
      <c r="E76" s="2683"/>
      <c r="F76" s="1785"/>
      <c r="G76" s="1785"/>
      <c r="H76" s="1785"/>
      <c r="I76" s="1785"/>
      <c r="J76" s="1785"/>
      <c r="K76" s="1785"/>
      <c r="L76" s="1785"/>
      <c r="M76" s="1785"/>
      <c r="N76" s="1785"/>
      <c r="O76" s="1785"/>
      <c r="P76" s="1785"/>
      <c r="Q76" s="1785"/>
      <c r="R76" s="1776"/>
      <c r="S76" s="1776"/>
      <c r="T76" s="1776"/>
      <c r="U76" s="1776"/>
      <c r="V76" s="1779"/>
      <c r="W76" s="1779"/>
      <c r="X76" s="1779"/>
      <c r="Y76" s="1779"/>
      <c r="Z76" s="1785"/>
      <c r="AA76" s="1785"/>
      <c r="AB76" s="1785"/>
      <c r="AC76" s="1785"/>
      <c r="AD76" s="1785"/>
      <c r="AE76" s="1785"/>
      <c r="AF76" s="6"/>
      <c r="AG76" s="6"/>
      <c r="AH76" s="6"/>
      <c r="AI76" s="6"/>
      <c r="AJ76" s="1796" t="e">
        <f>VLOOKUP($AD$8,主体明確補正,42,0)</f>
        <v>#N/A</v>
      </c>
      <c r="AK76" s="1798"/>
      <c r="AL76" s="1802" t="e">
        <f>VLOOKUP($AD$8,主体明確補正,43,0)</f>
        <v>#N/A</v>
      </c>
      <c r="AM76" s="1797"/>
      <c r="AN76" s="73"/>
      <c r="AO76" s="73"/>
      <c r="AP76" s="73"/>
      <c r="AQ76" s="73"/>
      <c r="AR76" s="1789"/>
      <c r="AS76" s="1789"/>
      <c r="AT76" s="1789"/>
      <c r="AU76" s="1789"/>
      <c r="AV76" s="6"/>
      <c r="AW76" s="6"/>
      <c r="AX76" s="6"/>
      <c r="AY76" s="6"/>
      <c r="AZ76" s="1748"/>
      <c r="BA76" s="25" t="b">
        <f t="shared" ref="BA76:BA78" ca="1" si="24">+$BA$74</f>
        <v>0</v>
      </c>
      <c r="BB76" s="3204"/>
    </row>
    <row r="77" spans="2:54" s="1782" customFormat="1" ht="13.5" customHeight="1">
      <c r="B77" s="2614"/>
      <c r="C77" s="2617"/>
      <c r="D77" s="2681"/>
      <c r="E77" s="2683"/>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1796" t="e">
        <f>VLOOKUP($AD$8,主体明確補正,44,0)</f>
        <v>#N/A</v>
      </c>
      <c r="AK77" s="1798"/>
      <c r="AL77" s="1802" t="e">
        <f>VLOOKUP($AD$8,主体明確補正,45,0)</f>
        <v>#N/A</v>
      </c>
      <c r="AM77" s="1797"/>
      <c r="AN77" s="73"/>
      <c r="AO77" s="73"/>
      <c r="AP77" s="73"/>
      <c r="AQ77" s="73"/>
      <c r="AR77" s="6"/>
      <c r="AS77" s="6"/>
      <c r="AT77" s="6"/>
      <c r="AU77" s="6"/>
      <c r="AV77" s="6"/>
      <c r="AW77" s="6"/>
      <c r="AX77" s="6"/>
      <c r="AY77" s="6"/>
      <c r="AZ77" s="1748"/>
      <c r="BA77" s="25" t="b">
        <f t="shared" ca="1" si="24"/>
        <v>0</v>
      </c>
      <c r="BB77" s="3204"/>
    </row>
    <row r="78" spans="2:54" ht="30" customHeight="1" thickBot="1">
      <c r="B78" s="2614"/>
      <c r="C78" s="2616"/>
      <c r="D78" s="2684"/>
      <c r="E78" s="268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73"/>
      <c r="AK78" s="73"/>
      <c r="AL78" s="73"/>
      <c r="AM78" s="73"/>
      <c r="AN78" s="73"/>
      <c r="AO78" s="73"/>
      <c r="AP78" s="73"/>
      <c r="AQ78" s="73"/>
      <c r="AR78" s="6"/>
      <c r="AS78" s="6"/>
      <c r="AT78" s="6"/>
      <c r="AU78" s="6"/>
      <c r="AV78" s="6"/>
      <c r="AW78" s="6"/>
      <c r="AX78" s="6"/>
      <c r="AY78" s="6"/>
      <c r="AZ78" s="130"/>
      <c r="BA78" s="25" t="b">
        <f t="shared" ca="1" si="24"/>
        <v>0</v>
      </c>
      <c r="BB78" s="3204"/>
    </row>
    <row r="79" spans="2:54" ht="13.5" customHeight="1" thickBot="1">
      <c r="B79" s="2618"/>
      <c r="C79" s="2620"/>
      <c r="D79" s="131"/>
      <c r="E79" s="132"/>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4"/>
      <c r="AO79" s="134"/>
      <c r="AP79" s="135" t="s">
        <v>782</v>
      </c>
      <c r="AQ79" s="136"/>
      <c r="AR79" s="136"/>
      <c r="AS79" s="136"/>
      <c r="AT79" s="136"/>
      <c r="AU79" s="136"/>
      <c r="AV79" s="2985">
        <f ca="1">SUM(AV19:AZ78)</f>
        <v>0</v>
      </c>
      <c r="AW79" s="2986"/>
      <c r="AX79" s="2986"/>
      <c r="AY79" s="2986"/>
      <c r="AZ79" s="2987"/>
      <c r="BA79" s="25" t="b">
        <f ca="1">AV$79&lt;&gt;0</f>
        <v>0</v>
      </c>
    </row>
    <row r="80" spans="2:54" ht="13.5" customHeight="1">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6"/>
      <c r="AQ80" s="6"/>
      <c r="AR80" s="6"/>
      <c r="AS80" s="6"/>
      <c r="AT80" s="6"/>
      <c r="AU80" s="6"/>
      <c r="AV80" s="6"/>
      <c r="AW80" s="6"/>
      <c r="AX80" s="6"/>
      <c r="AY80" s="6"/>
      <c r="AZ80" s="6"/>
      <c r="BA80" s="25" t="b">
        <v>0</v>
      </c>
    </row>
    <row r="81" spans="1:56" ht="13.5" customHeight="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25" t="b">
        <v>0</v>
      </c>
    </row>
    <row r="82" spans="1:56" ht="13.5" customHeight="1">
      <c r="B82" s="6"/>
      <c r="C82" s="26" t="s">
        <v>783</v>
      </c>
      <c r="D82" s="27"/>
      <c r="E82" s="27"/>
      <c r="F82" s="27"/>
      <c r="G82" s="27"/>
      <c r="H82" s="27"/>
      <c r="I82" s="27"/>
      <c r="J82" s="27"/>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25" t="b">
        <v>0</v>
      </c>
    </row>
    <row r="83" spans="1:56" ht="13.5" customHeight="1" thickBot="1">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25" t="b">
        <f>COUNTA(F85,H100,L100,P100,T100,X100,AB100,AF107,AJ100,AN100,AR100,AV100)&lt;&gt;0</f>
        <v>0</v>
      </c>
    </row>
    <row r="84" spans="1:56" ht="13.5" customHeight="1">
      <c r="B84" s="137"/>
      <c r="C84" s="138"/>
      <c r="D84" s="138"/>
      <c r="E84" s="139"/>
      <c r="F84" s="103" t="s">
        <v>759</v>
      </c>
      <c r="G84" s="101"/>
      <c r="H84" s="101"/>
      <c r="I84" s="101"/>
      <c r="J84" s="101"/>
      <c r="K84" s="101"/>
      <c r="L84" s="101"/>
      <c r="M84" s="101"/>
      <c r="N84" s="101"/>
      <c r="O84" s="101"/>
      <c r="P84" s="102"/>
      <c r="Q84" s="102"/>
      <c r="R84" s="34" t="s">
        <v>760</v>
      </c>
      <c r="S84" s="32"/>
      <c r="T84" s="32"/>
      <c r="U84" s="33"/>
      <c r="V84" s="32" t="s">
        <v>784</v>
      </c>
      <c r="W84" s="32"/>
      <c r="X84" s="32"/>
      <c r="Y84" s="32"/>
      <c r="Z84" s="32"/>
      <c r="AA84" s="32"/>
      <c r="AB84" s="32"/>
      <c r="AC84" s="32"/>
      <c r="AD84" s="32"/>
      <c r="AE84" s="32"/>
      <c r="AF84" s="32"/>
      <c r="AG84" s="32"/>
      <c r="AH84" s="32"/>
      <c r="AI84" s="32"/>
      <c r="AJ84" s="35" t="s">
        <v>765</v>
      </c>
      <c r="AK84" s="35"/>
      <c r="AL84" s="35"/>
      <c r="AM84" s="35"/>
      <c r="AN84" s="35" t="s">
        <v>785</v>
      </c>
      <c r="AO84" s="35"/>
      <c r="AP84" s="35"/>
      <c r="AQ84" s="35"/>
      <c r="AR84" s="35" t="s">
        <v>735</v>
      </c>
      <c r="AS84" s="34"/>
      <c r="AT84" s="34"/>
      <c r="AU84" s="140"/>
      <c r="AV84" s="143" t="s">
        <v>786</v>
      </c>
      <c r="AW84" s="144"/>
      <c r="AX84" s="144"/>
      <c r="AY84" s="145"/>
      <c r="AZ84" s="146"/>
      <c r="BA84" s="25" t="b">
        <f>BA$83</f>
        <v>0</v>
      </c>
    </row>
    <row r="85" spans="1:56" ht="13.5" customHeight="1">
      <c r="A85">
        <f>ROW()</f>
        <v>85</v>
      </c>
      <c r="B85" s="2614" t="s">
        <v>1922</v>
      </c>
      <c r="C85" s="2615"/>
      <c r="D85" s="2615"/>
      <c r="E85" s="2616"/>
      <c r="F85" s="2799"/>
      <c r="G85" s="2800"/>
      <c r="H85" s="2800"/>
      <c r="I85" s="2800"/>
      <c r="J85" s="2800"/>
      <c r="K85" s="2800"/>
      <c r="L85" s="2800"/>
      <c r="M85" s="2800"/>
      <c r="N85" s="2800"/>
      <c r="O85" s="2800"/>
      <c r="P85" s="2800"/>
      <c r="Q85" s="2801"/>
      <c r="R85" s="2484">
        <f ca="1">IF(F85="",0,OFFSET(H88,MATCH(F85,H89:H97,0),MATCH(AD8,I88:AQ88,0)))</f>
        <v>0</v>
      </c>
      <c r="S85" s="2485"/>
      <c r="T85" s="2485"/>
      <c r="U85" s="2486"/>
      <c r="V85" s="147"/>
      <c r="W85" s="147"/>
      <c r="X85" s="147"/>
      <c r="Y85" s="147"/>
      <c r="Z85" s="147"/>
      <c r="AA85" s="147"/>
      <c r="AB85" s="147"/>
      <c r="AC85" s="147"/>
      <c r="AD85" s="147"/>
      <c r="AE85" s="147"/>
      <c r="AF85" s="147"/>
      <c r="AG85" s="147"/>
      <c r="AH85" s="147"/>
      <c r="AI85" s="147"/>
      <c r="AJ85" s="2580">
        <f>ROUNDDOWN(IF(ISERROR(PRODUCT(H101:AY101)),0,PRODUCT(H101:AY101)),2)</f>
        <v>0</v>
      </c>
      <c r="AK85" s="2581"/>
      <c r="AL85" s="2581"/>
      <c r="AM85" s="2582"/>
      <c r="AN85" s="2484">
        <f ca="1">INT(R85*AJ85)</f>
        <v>0</v>
      </c>
      <c r="AO85" s="2485"/>
      <c r="AP85" s="2485"/>
      <c r="AQ85" s="2486"/>
      <c r="AR85" s="2870">
        <f>$E$11</f>
        <v>0</v>
      </c>
      <c r="AS85" s="2871"/>
      <c r="AT85" s="2871"/>
      <c r="AU85" s="2993"/>
      <c r="AV85" s="2988">
        <f ca="1">INT(AN85*AR85)</f>
        <v>0</v>
      </c>
      <c r="AW85" s="2976"/>
      <c r="AX85" s="2976"/>
      <c r="AY85" s="2976"/>
      <c r="AZ85" s="2989"/>
      <c r="BA85" s="25" t="b">
        <f>BA$83</f>
        <v>0</v>
      </c>
    </row>
    <row r="86" spans="1:56" ht="13.5" customHeight="1" thickBot="1">
      <c r="B86" s="2614"/>
      <c r="C86" s="2615"/>
      <c r="D86" s="2615"/>
      <c r="E86" s="2616"/>
      <c r="F86" s="2802"/>
      <c r="G86" s="2803"/>
      <c r="H86" s="2803"/>
      <c r="I86" s="2803"/>
      <c r="J86" s="2803"/>
      <c r="K86" s="2803"/>
      <c r="L86" s="2803"/>
      <c r="M86" s="2803"/>
      <c r="N86" s="2803"/>
      <c r="O86" s="2803"/>
      <c r="P86" s="2803"/>
      <c r="Q86" s="2804"/>
      <c r="R86" s="2487"/>
      <c r="S86" s="2488"/>
      <c r="T86" s="2488"/>
      <c r="U86" s="2489"/>
      <c r="V86" s="148"/>
      <c r="W86" s="148"/>
      <c r="X86" s="148"/>
      <c r="Y86" s="148"/>
      <c r="Z86" s="148"/>
      <c r="AA86" s="148"/>
      <c r="AB86" s="148"/>
      <c r="AC86" s="148"/>
      <c r="AD86" s="148"/>
      <c r="AE86" s="148"/>
      <c r="AF86" s="148"/>
      <c r="AG86" s="148"/>
      <c r="AH86" s="148"/>
      <c r="AI86" s="148"/>
      <c r="AJ86" s="2583"/>
      <c r="AK86" s="2584"/>
      <c r="AL86" s="2584"/>
      <c r="AM86" s="2585"/>
      <c r="AN86" s="2487"/>
      <c r="AO86" s="2488"/>
      <c r="AP86" s="2488"/>
      <c r="AQ86" s="2489"/>
      <c r="AR86" s="2888"/>
      <c r="AS86" s="2889"/>
      <c r="AT86" s="2889"/>
      <c r="AU86" s="2994"/>
      <c r="AV86" s="2990"/>
      <c r="AW86" s="2991"/>
      <c r="AX86" s="2991"/>
      <c r="AY86" s="2991"/>
      <c r="AZ86" s="2992"/>
      <c r="BA86" s="25" t="b">
        <f>BA$83</f>
        <v>0</v>
      </c>
    </row>
    <row r="87" spans="1:56" ht="13.5" customHeight="1">
      <c r="B87" s="2614"/>
      <c r="C87" s="2615"/>
      <c r="D87" s="2615"/>
      <c r="E87" s="2616"/>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9"/>
      <c r="AK87" s="149"/>
      <c r="AL87" s="149"/>
      <c r="AM87" s="149"/>
      <c r="AN87" s="147"/>
      <c r="AO87" s="147"/>
      <c r="AP87" s="147"/>
      <c r="AQ87" s="147"/>
      <c r="AR87" s="56"/>
      <c r="AS87" s="56"/>
      <c r="AT87" s="56"/>
      <c r="AU87" s="56"/>
      <c r="AV87" s="54"/>
      <c r="AW87" s="54"/>
      <c r="AX87" s="54"/>
      <c r="AY87" s="54"/>
      <c r="AZ87" s="150"/>
      <c r="BA87" s="25" t="b">
        <v>0</v>
      </c>
    </row>
    <row r="88" spans="1:56" ht="13.5" customHeight="1">
      <c r="B88" s="2614"/>
      <c r="C88" s="2615"/>
      <c r="D88" s="2615"/>
      <c r="E88" s="2616"/>
      <c r="F88" s="147"/>
      <c r="G88" s="147"/>
      <c r="H88" s="34" t="s">
        <v>759</v>
      </c>
      <c r="I88" s="32"/>
      <c r="J88" s="32"/>
      <c r="K88" s="32"/>
      <c r="L88" s="32"/>
      <c r="M88" s="32"/>
      <c r="N88" s="32"/>
      <c r="O88" s="32"/>
      <c r="P88" s="32"/>
      <c r="Q88" s="32"/>
      <c r="R88" s="33"/>
      <c r="S88" s="33"/>
      <c r="T88" s="151" t="s">
        <v>787</v>
      </c>
      <c r="U88" s="152"/>
      <c r="V88" s="152"/>
      <c r="W88" s="152"/>
      <c r="X88" s="151" t="s">
        <v>788</v>
      </c>
      <c r="Y88" s="152"/>
      <c r="Z88" s="152"/>
      <c r="AA88" s="152"/>
      <c r="AB88" s="151" t="s">
        <v>789</v>
      </c>
      <c r="AC88" s="152"/>
      <c r="AD88" s="152"/>
      <c r="AE88" s="152"/>
      <c r="AF88" s="151" t="s">
        <v>800</v>
      </c>
      <c r="AG88" s="152"/>
      <c r="AH88" s="152"/>
      <c r="AI88" s="153"/>
      <c r="AJ88" s="152" t="s">
        <v>801</v>
      </c>
      <c r="AK88" s="152"/>
      <c r="AL88" s="152"/>
      <c r="AM88" s="153"/>
      <c r="AN88" s="1353"/>
      <c r="AO88" s="1353"/>
      <c r="AP88" s="1353"/>
      <c r="AQ88" s="1354"/>
      <c r="AR88" s="56"/>
      <c r="AS88" s="56"/>
      <c r="AT88" s="56"/>
      <c r="AU88" s="56"/>
      <c r="AV88" s="54"/>
      <c r="AW88" s="54"/>
      <c r="AX88" s="54"/>
      <c r="AY88" s="54"/>
      <c r="AZ88" s="55"/>
      <c r="BA88" s="25" t="b">
        <v>0</v>
      </c>
    </row>
    <row r="89" spans="1:56" ht="13.5" customHeight="1">
      <c r="B89" s="2614"/>
      <c r="C89" s="2615"/>
      <c r="D89" s="2615"/>
      <c r="E89" s="2616"/>
      <c r="F89" s="128"/>
      <c r="G89" s="6"/>
      <c r="H89" s="154" t="s">
        <v>802</v>
      </c>
      <c r="I89" s="155"/>
      <c r="J89" s="155"/>
      <c r="K89" s="155"/>
      <c r="L89" s="155"/>
      <c r="M89" s="155"/>
      <c r="N89" s="155"/>
      <c r="O89" s="155"/>
      <c r="P89" s="155"/>
      <c r="Q89" s="155"/>
      <c r="R89" s="155"/>
      <c r="S89" s="155"/>
      <c r="T89" s="2808">
        <v>21800</v>
      </c>
      <c r="U89" s="2809"/>
      <c r="V89" s="2809"/>
      <c r="W89" s="2810"/>
      <c r="X89" s="2808">
        <v>22540</v>
      </c>
      <c r="Y89" s="2809"/>
      <c r="Z89" s="2809"/>
      <c r="AA89" s="2810"/>
      <c r="AB89" s="2808">
        <v>19840</v>
      </c>
      <c r="AC89" s="2809"/>
      <c r="AD89" s="2809"/>
      <c r="AE89" s="2810"/>
      <c r="AF89" s="2808">
        <v>22540</v>
      </c>
      <c r="AG89" s="2809"/>
      <c r="AH89" s="2809"/>
      <c r="AI89" s="2810"/>
      <c r="AJ89" s="3205">
        <v>22050</v>
      </c>
      <c r="AK89" s="3206"/>
      <c r="AL89" s="3206"/>
      <c r="AM89" s="3207"/>
      <c r="AN89" s="2996"/>
      <c r="AO89" s="2726"/>
      <c r="AP89" s="2726"/>
      <c r="AQ89" s="2997"/>
      <c r="AR89" s="6"/>
      <c r="AS89" s="6"/>
      <c r="AT89" s="6"/>
      <c r="AU89" s="6"/>
      <c r="AV89" s="6"/>
      <c r="AW89" s="6"/>
      <c r="AX89" s="6"/>
      <c r="AY89" s="6"/>
      <c r="AZ89" s="130"/>
      <c r="BA89" s="25" t="b">
        <v>0</v>
      </c>
      <c r="BB89" s="25"/>
      <c r="BC89" s="25"/>
      <c r="BD89" s="6"/>
    </row>
    <row r="90" spans="1:56" ht="13.5" customHeight="1">
      <c r="B90" s="2614"/>
      <c r="C90" s="2615"/>
      <c r="D90" s="2615"/>
      <c r="E90" s="2616"/>
      <c r="F90" s="128"/>
      <c r="G90" s="6"/>
      <c r="H90" s="156" t="s">
        <v>803</v>
      </c>
      <c r="I90" s="157"/>
      <c r="J90" s="157"/>
      <c r="K90" s="157"/>
      <c r="L90" s="157"/>
      <c r="M90" s="157"/>
      <c r="N90" s="157"/>
      <c r="O90" s="157"/>
      <c r="P90" s="157"/>
      <c r="Q90" s="157"/>
      <c r="R90" s="157"/>
      <c r="S90" s="157"/>
      <c r="T90" s="2477">
        <v>23480</v>
      </c>
      <c r="U90" s="2478"/>
      <c r="V90" s="2478"/>
      <c r="W90" s="2479"/>
      <c r="X90" s="2477">
        <v>24270</v>
      </c>
      <c r="Y90" s="2478"/>
      <c r="Z90" s="2478"/>
      <c r="AA90" s="2479"/>
      <c r="AB90" s="2477">
        <v>21360</v>
      </c>
      <c r="AC90" s="2478"/>
      <c r="AD90" s="2478"/>
      <c r="AE90" s="2479"/>
      <c r="AF90" s="2477">
        <v>24270</v>
      </c>
      <c r="AG90" s="2478"/>
      <c r="AH90" s="2478"/>
      <c r="AI90" s="2479"/>
      <c r="AJ90" s="2641">
        <v>23740</v>
      </c>
      <c r="AK90" s="2642"/>
      <c r="AL90" s="2642"/>
      <c r="AM90" s="2643"/>
      <c r="AN90" s="2564"/>
      <c r="AO90" s="2565"/>
      <c r="AP90" s="2565"/>
      <c r="AQ90" s="2566"/>
      <c r="AR90" s="6"/>
      <c r="AS90" s="6"/>
      <c r="AT90" s="6"/>
      <c r="AU90" s="6"/>
      <c r="AV90" s="6"/>
      <c r="AW90" s="6"/>
      <c r="AX90" s="6"/>
      <c r="AY90" s="6"/>
      <c r="AZ90" s="130"/>
      <c r="BA90" s="25" t="b">
        <v>0</v>
      </c>
      <c r="BB90" s="25"/>
      <c r="BC90" s="25"/>
      <c r="BD90" s="6"/>
    </row>
    <row r="91" spans="1:56" ht="13.5" customHeight="1">
      <c r="B91" s="2614"/>
      <c r="C91" s="2615"/>
      <c r="D91" s="2615"/>
      <c r="E91" s="2616"/>
      <c r="F91" s="128"/>
      <c r="G91" s="6"/>
      <c r="H91" s="156" t="s">
        <v>804</v>
      </c>
      <c r="I91" s="157"/>
      <c r="J91" s="157"/>
      <c r="K91" s="157"/>
      <c r="L91" s="157"/>
      <c r="M91" s="157"/>
      <c r="N91" s="157"/>
      <c r="O91" s="157"/>
      <c r="P91" s="157"/>
      <c r="Q91" s="157"/>
      <c r="R91" s="157"/>
      <c r="S91" s="157"/>
      <c r="T91" s="2477">
        <v>20340</v>
      </c>
      <c r="U91" s="2478"/>
      <c r="V91" s="2478"/>
      <c r="W91" s="2479"/>
      <c r="X91" s="2477">
        <v>21020</v>
      </c>
      <c r="Y91" s="2478"/>
      <c r="Z91" s="2478"/>
      <c r="AA91" s="2479"/>
      <c r="AB91" s="2477">
        <v>18510</v>
      </c>
      <c r="AC91" s="2478"/>
      <c r="AD91" s="2478"/>
      <c r="AE91" s="2479"/>
      <c r="AF91" s="2477">
        <v>21020</v>
      </c>
      <c r="AG91" s="2478"/>
      <c r="AH91" s="2478"/>
      <c r="AI91" s="2479"/>
      <c r="AJ91" s="2641">
        <v>20570</v>
      </c>
      <c r="AK91" s="2642"/>
      <c r="AL91" s="2642"/>
      <c r="AM91" s="2643"/>
      <c r="AN91" s="2564"/>
      <c r="AO91" s="2565"/>
      <c r="AP91" s="2565"/>
      <c r="AQ91" s="2566"/>
      <c r="AR91" s="6"/>
      <c r="AS91" s="6"/>
      <c r="AT91" s="6"/>
      <c r="AU91" s="6"/>
      <c r="AV91" s="6"/>
      <c r="AW91" s="6"/>
      <c r="AX91" s="6"/>
      <c r="AY91" s="6"/>
      <c r="AZ91" s="130"/>
      <c r="BA91" s="25" t="b">
        <v>0</v>
      </c>
      <c r="BB91" s="25"/>
      <c r="BC91" s="25"/>
      <c r="BD91" s="6"/>
    </row>
    <row r="92" spans="1:56" ht="13.5" customHeight="1">
      <c r="B92" s="2614"/>
      <c r="C92" s="2615"/>
      <c r="D92" s="2615"/>
      <c r="E92" s="2616"/>
      <c r="F92" s="128"/>
      <c r="G92" s="6"/>
      <c r="H92" s="156" t="s">
        <v>805</v>
      </c>
      <c r="I92" s="157"/>
      <c r="J92" s="157"/>
      <c r="K92" s="157"/>
      <c r="L92" s="157"/>
      <c r="M92" s="157"/>
      <c r="N92" s="157"/>
      <c r="O92" s="157"/>
      <c r="P92" s="157"/>
      <c r="Q92" s="157"/>
      <c r="R92" s="157"/>
      <c r="S92" s="157"/>
      <c r="T92" s="2477">
        <v>22010</v>
      </c>
      <c r="U92" s="2478"/>
      <c r="V92" s="2478"/>
      <c r="W92" s="2479"/>
      <c r="X92" s="2477">
        <v>22750</v>
      </c>
      <c r="Y92" s="2478"/>
      <c r="Z92" s="2478"/>
      <c r="AA92" s="2479"/>
      <c r="AB92" s="2477">
        <v>20030</v>
      </c>
      <c r="AC92" s="2478"/>
      <c r="AD92" s="2478"/>
      <c r="AE92" s="2479"/>
      <c r="AF92" s="2477">
        <v>22750</v>
      </c>
      <c r="AG92" s="2478"/>
      <c r="AH92" s="2478"/>
      <c r="AI92" s="2479"/>
      <c r="AJ92" s="2641">
        <v>22260</v>
      </c>
      <c r="AK92" s="2642"/>
      <c r="AL92" s="2642"/>
      <c r="AM92" s="2643"/>
      <c r="AN92" s="2564"/>
      <c r="AO92" s="2565"/>
      <c r="AP92" s="2565"/>
      <c r="AQ92" s="2566"/>
      <c r="AR92" s="6"/>
      <c r="AS92" s="6"/>
      <c r="AT92" s="6"/>
      <c r="AU92" s="6"/>
      <c r="AV92" s="6"/>
      <c r="AW92" s="6"/>
      <c r="AX92" s="6"/>
      <c r="AY92" s="6"/>
      <c r="AZ92" s="130"/>
      <c r="BA92" s="25" t="b">
        <v>0</v>
      </c>
      <c r="BB92" s="25"/>
      <c r="BC92" s="25"/>
      <c r="BD92" s="6"/>
    </row>
    <row r="93" spans="1:56" ht="13.5" customHeight="1">
      <c r="B93" s="2614"/>
      <c r="C93" s="2615"/>
      <c r="D93" s="2615"/>
      <c r="E93" s="2616"/>
      <c r="F93" s="128"/>
      <c r="G93" s="6"/>
      <c r="H93" s="156" t="s">
        <v>806</v>
      </c>
      <c r="I93" s="157"/>
      <c r="J93" s="157"/>
      <c r="K93" s="157"/>
      <c r="L93" s="157"/>
      <c r="M93" s="157"/>
      <c r="N93" s="157"/>
      <c r="O93" s="157"/>
      <c r="P93" s="157"/>
      <c r="Q93" s="157"/>
      <c r="R93" s="157"/>
      <c r="S93" s="157"/>
      <c r="T93" s="2477">
        <v>26210</v>
      </c>
      <c r="U93" s="2478"/>
      <c r="V93" s="2478"/>
      <c r="W93" s="2479"/>
      <c r="X93" s="2477">
        <v>27100</v>
      </c>
      <c r="Y93" s="2478"/>
      <c r="Z93" s="2478"/>
      <c r="AA93" s="2479"/>
      <c r="AB93" s="2477">
        <v>23860</v>
      </c>
      <c r="AC93" s="2478"/>
      <c r="AD93" s="2478"/>
      <c r="AE93" s="2479"/>
      <c r="AF93" s="2477">
        <v>27100</v>
      </c>
      <c r="AG93" s="2478"/>
      <c r="AH93" s="2478"/>
      <c r="AI93" s="2479"/>
      <c r="AJ93" s="2641">
        <v>26510</v>
      </c>
      <c r="AK93" s="2642"/>
      <c r="AL93" s="2642"/>
      <c r="AM93" s="2643"/>
      <c r="AN93" s="2564"/>
      <c r="AO93" s="2565"/>
      <c r="AP93" s="2565"/>
      <c r="AQ93" s="2566"/>
      <c r="AR93" s="6"/>
      <c r="AS93" s="6"/>
      <c r="AT93" s="6"/>
      <c r="AU93" s="6"/>
      <c r="AV93" s="6"/>
      <c r="AW93" s="6"/>
      <c r="AX93" s="6"/>
      <c r="AY93" s="6"/>
      <c r="AZ93" s="130"/>
      <c r="BA93" s="25" t="b">
        <v>0</v>
      </c>
      <c r="BB93" s="25"/>
      <c r="BC93" s="25"/>
      <c r="BD93" s="6"/>
    </row>
    <row r="94" spans="1:56" ht="13.5" customHeight="1">
      <c r="B94" s="2614"/>
      <c r="C94" s="2615"/>
      <c r="D94" s="2615"/>
      <c r="E94" s="2616"/>
      <c r="F94" s="128"/>
      <c r="G94" s="6"/>
      <c r="H94" s="156" t="s">
        <v>807</v>
      </c>
      <c r="I94" s="157"/>
      <c r="J94" s="157"/>
      <c r="K94" s="157"/>
      <c r="L94" s="157"/>
      <c r="M94" s="157"/>
      <c r="N94" s="157"/>
      <c r="O94" s="157"/>
      <c r="P94" s="157"/>
      <c r="Q94" s="157"/>
      <c r="R94" s="157"/>
      <c r="S94" s="157"/>
      <c r="T94" s="2477">
        <v>45690</v>
      </c>
      <c r="U94" s="2478"/>
      <c r="V94" s="2478"/>
      <c r="W94" s="2479"/>
      <c r="X94" s="2477">
        <v>42330</v>
      </c>
      <c r="Y94" s="2478"/>
      <c r="Z94" s="2478"/>
      <c r="AA94" s="2479"/>
      <c r="AB94" s="2982">
        <v>37230</v>
      </c>
      <c r="AC94" s="2983"/>
      <c r="AD94" s="2983"/>
      <c r="AE94" s="2984"/>
      <c r="AF94" s="2477">
        <v>35830</v>
      </c>
      <c r="AG94" s="2478"/>
      <c r="AH94" s="2478"/>
      <c r="AI94" s="2479"/>
      <c r="AJ94" s="2641" t="s">
        <v>1462</v>
      </c>
      <c r="AK94" s="2642"/>
      <c r="AL94" s="2642"/>
      <c r="AM94" s="2643"/>
      <c r="AN94" s="2564"/>
      <c r="AO94" s="2565"/>
      <c r="AP94" s="2565"/>
      <c r="AQ94" s="2566"/>
      <c r="AR94" s="6"/>
      <c r="AS94" s="6"/>
      <c r="AT94" s="6"/>
      <c r="AU94" s="6"/>
      <c r="AV94" s="6"/>
      <c r="AW94" s="6"/>
      <c r="AX94" s="6"/>
      <c r="AY94" s="6"/>
      <c r="AZ94" s="130"/>
      <c r="BA94" s="25" t="b">
        <v>0</v>
      </c>
      <c r="BB94" s="1749" t="s">
        <v>1612</v>
      </c>
      <c r="BC94" s="25"/>
      <c r="BD94" s="6"/>
    </row>
    <row r="95" spans="1:56" s="1745" customFormat="1" ht="13.5" customHeight="1">
      <c r="B95" s="2614"/>
      <c r="C95" s="2615"/>
      <c r="D95" s="2615"/>
      <c r="E95" s="2617"/>
      <c r="F95" s="128"/>
      <c r="G95" s="6"/>
      <c r="H95" s="156" t="s">
        <v>1543</v>
      </c>
      <c r="I95" s="157"/>
      <c r="J95" s="157"/>
      <c r="K95" s="157"/>
      <c r="L95" s="157"/>
      <c r="M95" s="157"/>
      <c r="N95" s="157"/>
      <c r="O95" s="157"/>
      <c r="P95" s="157"/>
      <c r="Q95" s="157"/>
      <c r="R95" s="157"/>
      <c r="S95" s="157"/>
      <c r="T95" s="2477" t="s">
        <v>1540</v>
      </c>
      <c r="U95" s="2478"/>
      <c r="V95" s="2478"/>
      <c r="W95" s="2479"/>
      <c r="X95" s="2477">
        <v>24940</v>
      </c>
      <c r="Y95" s="2478"/>
      <c r="Z95" s="2478"/>
      <c r="AA95" s="2479"/>
      <c r="AB95" s="2477" t="s">
        <v>1541</v>
      </c>
      <c r="AC95" s="2478"/>
      <c r="AD95" s="2478"/>
      <c r="AE95" s="2479"/>
      <c r="AF95" s="2477" t="s">
        <v>1541</v>
      </c>
      <c r="AG95" s="2478"/>
      <c r="AH95" s="2478"/>
      <c r="AI95" s="2479"/>
      <c r="AJ95" s="2641" t="s">
        <v>1541</v>
      </c>
      <c r="AK95" s="2642"/>
      <c r="AL95" s="2642"/>
      <c r="AM95" s="2643"/>
      <c r="AN95" s="3029"/>
      <c r="AO95" s="3030"/>
      <c r="AP95" s="3030"/>
      <c r="AQ95" s="3031"/>
      <c r="AR95" s="6"/>
      <c r="AS95" s="6"/>
      <c r="AT95" s="6"/>
      <c r="AU95" s="6"/>
      <c r="AV95" s="6"/>
      <c r="AW95" s="6"/>
      <c r="AX95" s="6"/>
      <c r="AY95" s="6"/>
      <c r="AZ95" s="1748"/>
      <c r="BA95" s="25" t="b">
        <v>0</v>
      </c>
      <c r="BB95" s="1749" t="s">
        <v>1550</v>
      </c>
      <c r="BC95" s="25"/>
      <c r="BD95" s="6"/>
    </row>
    <row r="96" spans="1:56" ht="13.5" customHeight="1">
      <c r="B96" s="2614"/>
      <c r="C96" s="2615"/>
      <c r="D96" s="2615"/>
      <c r="E96" s="2616"/>
      <c r="F96" s="128"/>
      <c r="G96" s="6"/>
      <c r="H96" s="156" t="s">
        <v>809</v>
      </c>
      <c r="I96" s="157"/>
      <c r="J96" s="157"/>
      <c r="K96" s="157"/>
      <c r="L96" s="157"/>
      <c r="M96" s="157"/>
      <c r="N96" s="157"/>
      <c r="O96" s="157"/>
      <c r="P96" s="157"/>
      <c r="Q96" s="157"/>
      <c r="R96" s="157"/>
      <c r="S96" s="157"/>
      <c r="T96" s="2477">
        <v>9540</v>
      </c>
      <c r="U96" s="2478"/>
      <c r="V96" s="2478"/>
      <c r="W96" s="2479"/>
      <c r="X96" s="2833" t="s">
        <v>1150</v>
      </c>
      <c r="Y96" s="2834"/>
      <c r="Z96" s="2834"/>
      <c r="AA96" s="2835"/>
      <c r="AB96" s="2833" t="s">
        <v>1464</v>
      </c>
      <c r="AC96" s="2834"/>
      <c r="AD96" s="2834"/>
      <c r="AE96" s="2835"/>
      <c r="AF96" s="2477">
        <v>9000</v>
      </c>
      <c r="AG96" s="2478"/>
      <c r="AH96" s="2478"/>
      <c r="AI96" s="2479"/>
      <c r="AJ96" s="2833" t="s">
        <v>1464</v>
      </c>
      <c r="AK96" s="2834"/>
      <c r="AL96" s="2834"/>
      <c r="AM96" s="2835"/>
      <c r="AN96" s="2564"/>
      <c r="AO96" s="2565"/>
      <c r="AP96" s="2565"/>
      <c r="AQ96" s="2566"/>
      <c r="AR96" s="6"/>
      <c r="AS96" s="6"/>
      <c r="AT96" s="6"/>
      <c r="AU96" s="6"/>
      <c r="AV96" s="6"/>
      <c r="AW96" s="6"/>
      <c r="AX96" s="6"/>
      <c r="AY96" s="6"/>
      <c r="AZ96" s="130"/>
      <c r="BA96" s="25" t="b">
        <v>0</v>
      </c>
      <c r="BB96" s="25"/>
      <c r="BC96" s="25"/>
      <c r="BD96" s="6"/>
    </row>
    <row r="97" spans="1:56" ht="12.75" customHeight="1">
      <c r="B97" s="2614"/>
      <c r="C97" s="2615"/>
      <c r="D97" s="2615"/>
      <c r="E97" s="2616"/>
      <c r="F97" s="128"/>
      <c r="G97" s="6"/>
      <c r="H97" s="160" t="s">
        <v>810</v>
      </c>
      <c r="I97" s="161"/>
      <c r="J97" s="161"/>
      <c r="K97" s="161"/>
      <c r="L97" s="161"/>
      <c r="M97" s="161"/>
      <c r="N97" s="161"/>
      <c r="O97" s="161"/>
      <c r="P97" s="161"/>
      <c r="Q97" s="161"/>
      <c r="R97" s="161"/>
      <c r="S97" s="161"/>
      <c r="T97" s="2919">
        <v>12190</v>
      </c>
      <c r="U97" s="2920"/>
      <c r="V97" s="2920"/>
      <c r="W97" s="2921"/>
      <c r="X97" s="2646" t="s">
        <v>1150</v>
      </c>
      <c r="Y97" s="2647"/>
      <c r="Z97" s="2647"/>
      <c r="AA97" s="2648"/>
      <c r="AB97" s="2646" t="s">
        <v>1463</v>
      </c>
      <c r="AC97" s="2647"/>
      <c r="AD97" s="2647"/>
      <c r="AE97" s="2648"/>
      <c r="AF97" s="2919">
        <v>11490</v>
      </c>
      <c r="AG97" s="2920"/>
      <c r="AH97" s="2920"/>
      <c r="AI97" s="2921"/>
      <c r="AJ97" s="2646" t="s">
        <v>1463</v>
      </c>
      <c r="AK97" s="2647"/>
      <c r="AL97" s="2647"/>
      <c r="AM97" s="2648"/>
      <c r="AN97" s="3015"/>
      <c r="AO97" s="2752"/>
      <c r="AP97" s="2752"/>
      <c r="AQ97" s="3016"/>
      <c r="AR97" s="6"/>
      <c r="AS97" s="6"/>
      <c r="AT97" s="6"/>
      <c r="AU97" s="6"/>
      <c r="AV97" s="6"/>
      <c r="AW97" s="6"/>
      <c r="AX97" s="6"/>
      <c r="AY97" s="6"/>
      <c r="AZ97" s="130"/>
      <c r="BA97" s="25" t="b">
        <v>0</v>
      </c>
      <c r="BC97" s="25"/>
      <c r="BD97" s="6"/>
    </row>
    <row r="98" spans="1:56" ht="13.5" customHeight="1">
      <c r="B98" s="2614"/>
      <c r="C98" s="2615"/>
      <c r="D98" s="2615"/>
      <c r="E98" s="2616"/>
      <c r="F98" s="128"/>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130"/>
      <c r="BA98" s="25" t="b">
        <f t="shared" ref="BA98:BA107" si="25">BA$83</f>
        <v>0</v>
      </c>
    </row>
    <row r="99" spans="1:56" ht="13.5" customHeight="1">
      <c r="A99" s="6"/>
      <c r="B99" s="2614"/>
      <c r="C99" s="2615"/>
      <c r="D99" s="2615"/>
      <c r="E99" s="2616"/>
      <c r="F99" s="164"/>
      <c r="G99" s="164"/>
      <c r="H99" s="34" t="s">
        <v>811</v>
      </c>
      <c r="I99" s="32"/>
      <c r="J99" s="33"/>
      <c r="K99" s="32"/>
      <c r="L99" s="34" t="s">
        <v>812</v>
      </c>
      <c r="M99" s="32"/>
      <c r="N99" s="33"/>
      <c r="O99" s="32"/>
      <c r="P99" s="34" t="s">
        <v>813</v>
      </c>
      <c r="Q99" s="32"/>
      <c r="R99" s="33"/>
      <c r="S99" s="32"/>
      <c r="T99" s="34" t="s">
        <v>814</v>
      </c>
      <c r="U99" s="32"/>
      <c r="V99" s="33"/>
      <c r="W99" s="32"/>
      <c r="X99" s="34" t="s">
        <v>763</v>
      </c>
      <c r="Y99" s="32"/>
      <c r="Z99" s="33"/>
      <c r="AA99" s="32"/>
      <c r="AB99" s="34" t="s">
        <v>764</v>
      </c>
      <c r="AC99" s="32"/>
      <c r="AD99" s="33"/>
      <c r="AE99" s="32"/>
      <c r="AF99" s="34" t="s">
        <v>815</v>
      </c>
      <c r="AG99" s="32"/>
      <c r="AH99" s="33"/>
      <c r="AI99" s="32"/>
      <c r="AJ99" s="34" t="s">
        <v>816</v>
      </c>
      <c r="AK99" s="32"/>
      <c r="AL99" s="33"/>
      <c r="AM99" s="32"/>
      <c r="AN99" s="34" t="s">
        <v>817</v>
      </c>
      <c r="AO99" s="32"/>
      <c r="AP99" s="33"/>
      <c r="AQ99" s="32"/>
      <c r="AR99" s="34" t="s">
        <v>852</v>
      </c>
      <c r="AS99" s="32"/>
      <c r="AT99" s="33"/>
      <c r="AU99" s="33"/>
      <c r="AV99" s="34" t="s">
        <v>818</v>
      </c>
      <c r="AW99" s="32"/>
      <c r="AX99" s="33"/>
      <c r="AY99" s="33"/>
      <c r="AZ99" s="130"/>
      <c r="BA99" s="25" t="b">
        <f t="shared" si="25"/>
        <v>0</v>
      </c>
      <c r="BB99" s="6" t="s">
        <v>1953</v>
      </c>
    </row>
    <row r="100" spans="1:56" ht="13.5" customHeight="1">
      <c r="B100" s="2614"/>
      <c r="C100" s="2615"/>
      <c r="D100" s="2615"/>
      <c r="E100" s="2616"/>
      <c r="F100" s="164"/>
      <c r="G100" s="164"/>
      <c r="H100" s="2767"/>
      <c r="I100" s="2768"/>
      <c r="J100" s="2768"/>
      <c r="K100" s="43" t="s">
        <v>819</v>
      </c>
      <c r="L100" s="2644"/>
      <c r="M100" s="2645"/>
      <c r="N100" s="2645"/>
      <c r="O100" s="41" t="s">
        <v>820</v>
      </c>
      <c r="P100" s="2644"/>
      <c r="Q100" s="2645"/>
      <c r="R100" s="2645"/>
      <c r="S100" s="42" t="s">
        <v>820</v>
      </c>
      <c r="T100" s="2805"/>
      <c r="U100" s="2806"/>
      <c r="V100" s="2806"/>
      <c r="W100" s="165" t="s">
        <v>821</v>
      </c>
      <c r="X100" s="2696"/>
      <c r="Y100" s="2697"/>
      <c r="Z100" s="2697"/>
      <c r="AA100" s="2698"/>
      <c r="AB100" s="2696"/>
      <c r="AC100" s="2697"/>
      <c r="AD100" s="2697"/>
      <c r="AE100" s="2698"/>
      <c r="AF100" s="3032" t="e">
        <f>+ROUNDDOWN($AF$107/$E$11,2)</f>
        <v>#DIV/0!</v>
      </c>
      <c r="AG100" s="3033"/>
      <c r="AH100" s="2652" t="s">
        <v>1582</v>
      </c>
      <c r="AI100" s="2653"/>
      <c r="AJ100" s="2696"/>
      <c r="AK100" s="2697"/>
      <c r="AL100" s="2697"/>
      <c r="AM100" s="2698"/>
      <c r="AN100" s="2644"/>
      <c r="AO100" s="2645"/>
      <c r="AP100" s="2645"/>
      <c r="AQ100" s="41" t="s">
        <v>820</v>
      </c>
      <c r="AR100" s="2696"/>
      <c r="AS100" s="2697"/>
      <c r="AT100" s="2697"/>
      <c r="AU100" s="2698"/>
      <c r="AV100" s="2696"/>
      <c r="AW100" s="2697"/>
      <c r="AX100" s="2697"/>
      <c r="AY100" s="2698"/>
      <c r="AZ100" s="130"/>
      <c r="BA100" s="25" t="b">
        <f t="shared" si="25"/>
        <v>0</v>
      </c>
      <c r="BB100" s="2278" t="s">
        <v>2388</v>
      </c>
    </row>
    <row r="101" spans="1:56" ht="13.5" customHeight="1">
      <c r="B101" s="2614"/>
      <c r="C101" s="2615"/>
      <c r="D101" s="2615"/>
      <c r="E101" s="2616"/>
      <c r="F101" s="164"/>
      <c r="G101" s="164"/>
      <c r="H101" s="2567" t="str">
        <f>IF(H100="","",ROUNDDOWN(IF(H100&gt;H103,J103+(J102-J103)/(H102-H103)*(H100-H103),J103-(J103-J104)/(H103-H104)*(H103-H100)),2))</f>
        <v/>
      </c>
      <c r="I101" s="2568"/>
      <c r="J101" s="2568"/>
      <c r="K101" s="2569"/>
      <c r="L101" s="2567" t="str">
        <f>IF(L100="","",ROUNDDOWN(IF(L100&gt;L103,N103+(N102-N103)/(L102-L103)*(L100-L103),N103-(N103-N104)/(L103-L104)*(L103-L100)),2))</f>
        <v/>
      </c>
      <c r="M101" s="2568"/>
      <c r="N101" s="2568"/>
      <c r="O101" s="2569"/>
      <c r="P101" s="2567" t="str">
        <f>IF(P100="","",ROUNDDOWN(IF(LEFT($AD$8,2)="事務",1-(R102-R103)/(P102-P103)*(P103-MAX(P100,P103)),IF(P100&gt;P103,1+(R102-R103)/(P102-P103)*(P100-P103),1-(R103-R104)/(P103-P104)*(P103-P100))),2))</f>
        <v/>
      </c>
      <c r="Q101" s="2568"/>
      <c r="R101" s="2568"/>
      <c r="S101" s="2569"/>
      <c r="T101" s="2567" t="str">
        <f>IF(T100="","",VLOOKUP(T100,T102:W107,3,0))</f>
        <v/>
      </c>
      <c r="U101" s="2568"/>
      <c r="V101" s="2568"/>
      <c r="W101" s="2569"/>
      <c r="X101" s="2567" t="str">
        <f>IF(X100="","",VLOOKUP(X100,X102:AA107,3,0))</f>
        <v/>
      </c>
      <c r="Y101" s="2568"/>
      <c r="Z101" s="2568"/>
      <c r="AA101" s="2569"/>
      <c r="AB101" s="2567" t="str">
        <f>IF(AB100="","",VLOOKUP(AB100,AB102:AE104,3,0))</f>
        <v/>
      </c>
      <c r="AC101" s="2568"/>
      <c r="AD101" s="2568"/>
      <c r="AE101" s="2569"/>
      <c r="AF101" s="2567" t="e">
        <f>IF(AF100=0,"",ROUNDDOWN(IF(AF100&gt;AF103,AH103+(AH102-AH103)/(AF102-AF103)*(AF100-AF103),AH103-(AH103-AH104)/(AF103-AF104)*(AF103-AF100)),2))</f>
        <v>#DIV/0!</v>
      </c>
      <c r="AG101" s="2568"/>
      <c r="AH101" s="2568"/>
      <c r="AI101" s="2569"/>
      <c r="AJ101" s="2567" t="str">
        <f>IF(AJ100="","",VLOOKUP(AJ100,AJ102:AM104,3,0))</f>
        <v/>
      </c>
      <c r="AK101" s="2568"/>
      <c r="AL101" s="2568"/>
      <c r="AM101" s="2569"/>
      <c r="AN101" s="2567" t="str">
        <f>IF(AN100="","",ROUNDDOWN(IF(AN100&gt;AN103,AP103+(AP102-AP103)/(AN102-AN103)*(AN100-AN103),AP103-(AP103-AP104)/(AN103-AN104)*(AN103-AN100)),2))</f>
        <v/>
      </c>
      <c r="AO101" s="2568"/>
      <c r="AP101" s="2568"/>
      <c r="AQ101" s="2569"/>
      <c r="AR101" s="2567" t="str">
        <f>IF(AR100="","",VLOOKUP(AR100,AR102:AU104,3,0))</f>
        <v/>
      </c>
      <c r="AS101" s="2568"/>
      <c r="AT101" s="2568"/>
      <c r="AU101" s="2569"/>
      <c r="AV101" s="2567" t="str">
        <f>IF(AV100="","",VLOOKUP(AV100,AV102:AY104,3,0))</f>
        <v/>
      </c>
      <c r="AW101" s="2568"/>
      <c r="AX101" s="2568"/>
      <c r="AY101" s="2569"/>
      <c r="AZ101" s="130"/>
      <c r="BA101" s="25" t="b">
        <f t="shared" si="25"/>
        <v>0</v>
      </c>
    </row>
    <row r="102" spans="1:56" ht="13.5" customHeight="1">
      <c r="B102" s="2614"/>
      <c r="C102" s="2615"/>
      <c r="D102" s="2615"/>
      <c r="E102" s="2616"/>
      <c r="F102" s="164"/>
      <c r="G102" s="164"/>
      <c r="H102" s="167" t="e">
        <f>VLOOKUP($AD$8&amp;"　"&amp;LEFT($F$85,2),主体不明確補正,2,0)</f>
        <v>#N/A</v>
      </c>
      <c r="I102" s="168"/>
      <c r="J102" s="169" t="e">
        <f>VLOOKUP($AD$8&amp;"　"&amp;LEFT($F$85,2),主体不明確補正,3,0)</f>
        <v>#N/A</v>
      </c>
      <c r="K102" s="62"/>
      <c r="L102" s="59" t="e">
        <f>VLOOKUP($AD$8&amp;"　"&amp;LEFT($F$85,2),主体不明確補正,8,0)</f>
        <v>#N/A</v>
      </c>
      <c r="M102" s="170"/>
      <c r="N102" s="169" t="e">
        <f>VLOOKUP($AD$8&amp;"　"&amp;LEFT($F$85,2),主体不明確補正,9,0)</f>
        <v>#N/A</v>
      </c>
      <c r="O102" s="62"/>
      <c r="P102" s="59" t="e">
        <f>VLOOKUP($AD$8&amp;"　"&amp;LEFT($F$85,2),主体不明確補正,14,0)</f>
        <v>#N/A</v>
      </c>
      <c r="Q102" s="170"/>
      <c r="R102" s="169" t="e">
        <f>VLOOKUP($AD$8&amp;"　"&amp;LEFT($F$85,2),主体不明確補正,15,0)</f>
        <v>#N/A</v>
      </c>
      <c r="S102" s="62"/>
      <c r="T102" s="2514" t="e">
        <f>VLOOKUP($AD$8&amp;"　"&amp;LEFT($F$85,2),主体不明確補正,20,0)</f>
        <v>#N/A</v>
      </c>
      <c r="U102" s="2515"/>
      <c r="V102" s="2820" t="e">
        <f>VLOOKUP($AD$8&amp;"　"&amp;LEFT($F$85,2),主体不明確補正,21,0)</f>
        <v>#N/A</v>
      </c>
      <c r="W102" s="2821"/>
      <c r="X102" s="59" t="str">
        <f>IF(ISNUMBER(Z105),"計算値","×")</f>
        <v>×</v>
      </c>
      <c r="Y102" s="174"/>
      <c r="Z102" s="169" t="str">
        <f>IF(ISNUMBER(Z105),MAX(Z107,MIN(Z103,ROUNDDOWN(IF($AR$85&lt;X104,Z104+(Z103-Z104)/(X103-X104)*($AR$85-X104),IF($AR$85&gt;X106,Z106+(Z107-Z106)/(X107-X106)*($AR$85-X106),IF($AR$85&lt;X105,Z105+(Z104-Z105)/(X104-X105)*($AR$85-X105),Z105+(Z106-Z105)/(X106-X105)*($AR$85-X105)))),2))),"×")</f>
        <v>×</v>
      </c>
      <c r="AA102" s="62"/>
      <c r="AB102" s="59" t="e">
        <f>VLOOKUP($AD$8&amp;"　"&amp;LEFT($F$85,2),主体不明確補正,32,0)</f>
        <v>#N/A</v>
      </c>
      <c r="AC102" s="170"/>
      <c r="AD102" s="169" t="e">
        <f>VLOOKUP($AD$8&amp;"　"&amp;LEFT($F$85,2),主体不明確補正,33,0)</f>
        <v>#N/A</v>
      </c>
      <c r="AE102" s="62"/>
      <c r="AF102" s="59" t="e">
        <f>VLOOKUP($AD$8&amp;"　"&amp;LEFT($F$85,2),主体不明確補正,38,0)</f>
        <v>#N/A</v>
      </c>
      <c r="AG102" s="170"/>
      <c r="AH102" s="169" t="e">
        <f>VLOOKUP($AD$8&amp;"　"&amp;LEFT($F$85,2),主体不明確補正,39,0)</f>
        <v>#N/A</v>
      </c>
      <c r="AI102" s="62"/>
      <c r="AJ102" s="59" t="e">
        <f>VLOOKUP($AD$8&amp;"　"&amp;LEFT($F$85,2),主体不明確補正,44,0)</f>
        <v>#N/A</v>
      </c>
      <c r="AK102" s="170"/>
      <c r="AL102" s="169" t="e">
        <f>VLOOKUP($AD$8&amp;"　"&amp;LEFT($F$85,2),主体不明確補正,45,0)</f>
        <v>#N/A</v>
      </c>
      <c r="AM102" s="62"/>
      <c r="AN102" s="59" t="e">
        <f>VLOOKUP($AD$8&amp;"　"&amp;LEFT($F$85,2),主体不明確補正,50,0)</f>
        <v>#N/A</v>
      </c>
      <c r="AO102" s="170"/>
      <c r="AP102" s="169" t="e">
        <f>VLOOKUP($AD$8&amp;"　"&amp;LEFT($F$85,2),主体不明確補正,51,0)</f>
        <v>#N/A</v>
      </c>
      <c r="AQ102" s="62"/>
      <c r="AR102" s="59" t="e">
        <f>VLOOKUP($AD$8&amp;"　"&amp;LEFT($F$85,2),主体不明確補正,56,0)</f>
        <v>#N/A</v>
      </c>
      <c r="AS102" s="175"/>
      <c r="AT102" s="169" t="e">
        <f>VLOOKUP($AD$8&amp;"　"&amp;LEFT($F$85,2),主体不明確補正,57,0)</f>
        <v>#N/A</v>
      </c>
      <c r="AU102" s="62"/>
      <c r="AV102" s="3037" t="e">
        <f>VLOOKUP($AD$8&amp;"　"&amp;LEFT($F$85,2),主体不明確補正,62,0)</f>
        <v>#N/A</v>
      </c>
      <c r="AW102" s="3034" t="e">
        <f>VLOOKUP($AD$8&amp;"　"&amp;LEFT($F$85,2),主体不明確補正,15,0)</f>
        <v>#N/A</v>
      </c>
      <c r="AX102" s="3034" t="e">
        <f>VLOOKUP($AD$8&amp;"　"&amp;LEFT($F$85,2),主体不明確補正,63,0)</f>
        <v>#N/A</v>
      </c>
      <c r="AY102" s="3035" t="e">
        <f>VLOOKUP($AD$8&amp;"　"&amp;LEFT($F$85,2),主体不明確補正,15,0)</f>
        <v>#N/A</v>
      </c>
      <c r="AZ102" s="130"/>
      <c r="BA102" s="25" t="b">
        <f t="shared" si="25"/>
        <v>0</v>
      </c>
    </row>
    <row r="103" spans="1:56" ht="13.5" customHeight="1">
      <c r="B103" s="2614"/>
      <c r="C103" s="2615"/>
      <c r="D103" s="2615"/>
      <c r="E103" s="2616"/>
      <c r="F103" s="164"/>
      <c r="G103" s="164"/>
      <c r="H103" s="176" t="e">
        <f>VLOOKUP($AD$8&amp;"　"&amp;LEFT($F$85,2),主体不明確補正,4,0)</f>
        <v>#N/A</v>
      </c>
      <c r="I103" s="177"/>
      <c r="J103" s="178" t="e">
        <f>VLOOKUP($AD$8&amp;"　"&amp;LEFT($F$85,2),主体不明確補正,5,0)</f>
        <v>#N/A</v>
      </c>
      <c r="K103" s="77"/>
      <c r="L103" s="179" t="e">
        <f>VLOOKUP($AD$8&amp;"　"&amp;LEFT($F$85,2),主体不明確補正,10,0)</f>
        <v>#N/A</v>
      </c>
      <c r="M103" s="180"/>
      <c r="N103" s="178" t="e">
        <f>VLOOKUP($AD$8&amp;"　"&amp;LEFT($F$85,2),主体不明確補正,11,0)</f>
        <v>#N/A</v>
      </c>
      <c r="O103" s="77"/>
      <c r="P103" s="179" t="e">
        <f>VLOOKUP($AD$8&amp;"　"&amp;LEFT($F$85,2),主体不明確補正,16,0)</f>
        <v>#N/A</v>
      </c>
      <c r="Q103" s="180"/>
      <c r="R103" s="178" t="e">
        <f>VLOOKUP($AD$8&amp;"　"&amp;LEFT($F$85,2),主体不明確補正,17,0)</f>
        <v>#N/A</v>
      </c>
      <c r="S103" s="77"/>
      <c r="T103" s="2516" t="e">
        <f>VLOOKUP($AD$8&amp;"　"&amp;LEFT($F$85,2),主体不明確補正,22,0)</f>
        <v>#N/A</v>
      </c>
      <c r="U103" s="2517"/>
      <c r="V103" s="2510" t="e">
        <f>VLOOKUP($AD$8&amp;"　"&amp;LEFT($F$85,2),主体不明確補正,23,0)</f>
        <v>#N/A</v>
      </c>
      <c r="W103" s="2511"/>
      <c r="X103" s="74" t="e">
        <f>VLOOKUP($AD$8&amp;"　"&amp;LEFT($F$85,2),主体不明確補正,72,0)</f>
        <v>#N/A</v>
      </c>
      <c r="Y103" s="185"/>
      <c r="Z103" s="178" t="e">
        <f>VLOOKUP($AD$8&amp;"　"&amp;LEFT($F$85,2),主体不明確補正,73,0)</f>
        <v>#N/A</v>
      </c>
      <c r="AA103" s="77"/>
      <c r="AB103" s="179" t="e">
        <f>VLOOKUP($AD$8&amp;"　"&amp;LEFT($F$85,2),主体不明確補正,34,0)</f>
        <v>#N/A</v>
      </c>
      <c r="AC103" s="180"/>
      <c r="AD103" s="178" t="e">
        <f>VLOOKUP($AD$8&amp;"　"&amp;LEFT($F$85,2),主体不明確補正,35,0)</f>
        <v>#N/A</v>
      </c>
      <c r="AE103" s="77"/>
      <c r="AF103" s="179" t="e">
        <f>VLOOKUP($AD$8&amp;"　"&amp;LEFT($F$85,2),主体不明確補正,40,0)</f>
        <v>#N/A</v>
      </c>
      <c r="AG103" s="180"/>
      <c r="AH103" s="178" t="e">
        <f>VLOOKUP($AD$8&amp;"　"&amp;LEFT($F$85,2),主体不明確補正,41,0)</f>
        <v>#N/A</v>
      </c>
      <c r="AI103" s="77"/>
      <c r="AJ103" s="179" t="e">
        <f>VLOOKUP($AD$8&amp;"　"&amp;LEFT($F$85,2),主体不明確補正,46,0)</f>
        <v>#N/A</v>
      </c>
      <c r="AK103" s="180"/>
      <c r="AL103" s="178" t="e">
        <f>VLOOKUP($AD$8&amp;"　"&amp;LEFT($F$85,2),主体不明確補正,47,0)</f>
        <v>#N/A</v>
      </c>
      <c r="AM103" s="77"/>
      <c r="AN103" s="179" t="e">
        <f>VLOOKUP($AD$8&amp;"　"&amp;LEFT($F$85,2),主体不明確補正,52,0)</f>
        <v>#N/A</v>
      </c>
      <c r="AO103" s="180"/>
      <c r="AP103" s="178" t="e">
        <f>VLOOKUP($AD$8&amp;"　"&amp;LEFT($F$85,2),主体不明確補正,53,0)</f>
        <v>#N/A</v>
      </c>
      <c r="AQ103" s="77"/>
      <c r="AR103" s="179" t="e">
        <f>VLOOKUP($AD$8&amp;"　"&amp;LEFT($F$85,2),主体不明確補正,58,0)</f>
        <v>#N/A</v>
      </c>
      <c r="AS103" s="186"/>
      <c r="AT103" s="178" t="e">
        <f>VLOOKUP($AD$8&amp;"　"&amp;LEFT($F$85,2),主体不明確補正,59,0)</f>
        <v>#N/A</v>
      </c>
      <c r="AU103" s="77"/>
      <c r="AV103" s="3027" t="e">
        <f>VLOOKUP($AD$8&amp;"　"&amp;LEFT($F$85,2),主体不明確補正,64,0)</f>
        <v>#N/A</v>
      </c>
      <c r="AW103" s="3028" t="e">
        <f>VLOOKUP($AD$8&amp;"　"&amp;LEFT($F$85,2),主体不明確補正,15,0)</f>
        <v>#N/A</v>
      </c>
      <c r="AX103" s="3028" t="e">
        <f>VLOOKUP($AD$8&amp;"　"&amp;LEFT($F$85,2),主体不明確補正,65,0)</f>
        <v>#N/A</v>
      </c>
      <c r="AY103" s="3036" t="e">
        <f>VLOOKUP($AD$8&amp;"　"&amp;LEFT($F$85,2),主体不明確補正,15,0)</f>
        <v>#N/A</v>
      </c>
      <c r="AZ103" s="130"/>
      <c r="BA103" s="25" t="b">
        <f t="shared" si="25"/>
        <v>0</v>
      </c>
    </row>
    <row r="104" spans="1:56" ht="13.5" customHeight="1">
      <c r="B104" s="2614"/>
      <c r="C104" s="2615"/>
      <c r="D104" s="2615"/>
      <c r="E104" s="2616"/>
      <c r="F104" s="164"/>
      <c r="G104" s="164"/>
      <c r="H104" s="188" t="e">
        <f>VLOOKUP($AD$8&amp;"　"&amp;LEFT($F$85,2),主体不明確補正,6,0)</f>
        <v>#N/A</v>
      </c>
      <c r="I104" s="189"/>
      <c r="J104" s="190" t="e">
        <f>VLOOKUP($AD$8&amp;"　"&amp;LEFT($F$85,2),主体不明確補正,7,0)</f>
        <v>#N/A</v>
      </c>
      <c r="K104" s="93"/>
      <c r="L104" s="191" t="e">
        <f>VLOOKUP($AD$8&amp;"　"&amp;LEFT($F$85,2),主体不明確補正,12,0)</f>
        <v>#N/A</v>
      </c>
      <c r="M104" s="192"/>
      <c r="N104" s="190" t="e">
        <f>VLOOKUP($AD$8&amp;"　"&amp;LEFT($F$85,2),主体不明確補正,13,0)</f>
        <v>#N/A</v>
      </c>
      <c r="O104" s="93"/>
      <c r="P104" s="191" t="e">
        <f>VLOOKUP($AD$8&amp;"　"&amp;LEFT($F$85,2),主体不明確補正,18,0)</f>
        <v>#N/A</v>
      </c>
      <c r="Q104" s="192"/>
      <c r="R104" s="190" t="e">
        <f>VLOOKUP($AD$8&amp;"　"&amp;LEFT($F$85,2),主体不明確補正,19,0)</f>
        <v>#N/A</v>
      </c>
      <c r="S104" s="93"/>
      <c r="T104" s="2516" t="e">
        <f>VLOOKUP($AD$8&amp;"　"&amp;LEFT($F$85,2),主体不明確補正,24,0)</f>
        <v>#N/A</v>
      </c>
      <c r="U104" s="2517"/>
      <c r="V104" s="2510" t="e">
        <f>VLOOKUP($AD$8&amp;"　"&amp;LEFT($F$85,2),主体不明確補正,25,0)</f>
        <v>#N/A</v>
      </c>
      <c r="W104" s="2511"/>
      <c r="X104" s="74" t="e">
        <f>VLOOKUP($AD$8&amp;"　"&amp;LEFT($F$85,2),主体不明確補正,66,0)</f>
        <v>#N/A</v>
      </c>
      <c r="Y104" s="185"/>
      <c r="Z104" s="178" t="e">
        <f>VLOOKUP($AD$8&amp;"　"&amp;LEFT($F$85,2),主体不明確補正,67,0)</f>
        <v>#N/A</v>
      </c>
      <c r="AA104" s="77"/>
      <c r="AB104" s="191" t="e">
        <f>VLOOKUP($AD$8&amp;"　"&amp;LEFT($F$85,2),主体不明確補正,36,0)</f>
        <v>#N/A</v>
      </c>
      <c r="AC104" s="192"/>
      <c r="AD104" s="190" t="e">
        <f>VLOOKUP($AD$8&amp;"　"&amp;LEFT($F$85,2),主体不明確補正,37,0)</f>
        <v>#N/A</v>
      </c>
      <c r="AE104" s="93"/>
      <c r="AF104" s="191" t="e">
        <f>VLOOKUP($AD$8&amp;"　"&amp;LEFT($F$85,2),主体不明確補正,42,0)</f>
        <v>#N/A</v>
      </c>
      <c r="AG104" s="192"/>
      <c r="AH104" s="190" t="e">
        <f>VLOOKUP($AD$8&amp;"　"&amp;LEFT($F$85,2),主体不明確補正,43,0)</f>
        <v>#N/A</v>
      </c>
      <c r="AI104" s="93"/>
      <c r="AJ104" s="191" t="e">
        <f>VLOOKUP($AD$8&amp;"　"&amp;LEFT($F$85,2),主体不明確補正,48,0)</f>
        <v>#N/A</v>
      </c>
      <c r="AK104" s="192"/>
      <c r="AL104" s="190" t="e">
        <f>VLOOKUP($AD$8&amp;"　"&amp;LEFT($F$85,2),主体不明確補正,49,0)</f>
        <v>#N/A</v>
      </c>
      <c r="AM104" s="93"/>
      <c r="AN104" s="191" t="e">
        <f>VLOOKUP($AD$8&amp;"　"&amp;LEFT($F$85,2),主体不明確補正,54,0)</f>
        <v>#N/A</v>
      </c>
      <c r="AO104" s="192"/>
      <c r="AP104" s="190" t="e">
        <f>VLOOKUP($AD$8&amp;"　"&amp;LEFT($F$85,2),主体不明確補正,55,0)</f>
        <v>#N/A</v>
      </c>
      <c r="AQ104" s="93"/>
      <c r="AR104" s="191" t="e">
        <f>VLOOKUP($AD$8&amp;"　"&amp;LEFT($F$85,2),主体不明確補正,60,0)</f>
        <v>#N/A</v>
      </c>
      <c r="AS104" s="193"/>
      <c r="AT104" s="190" t="e">
        <f>VLOOKUP($AD$8&amp;"　"&amp;LEFT($F$85,2),主体不明確補正,61,0)</f>
        <v>#N/A</v>
      </c>
      <c r="AU104" s="93"/>
      <c r="AV104" s="3026"/>
      <c r="AW104" s="3017"/>
      <c r="AX104" s="3017"/>
      <c r="AY104" s="3018"/>
      <c r="AZ104" s="130"/>
      <c r="BA104" s="25" t="b">
        <f t="shared" si="25"/>
        <v>0</v>
      </c>
    </row>
    <row r="105" spans="1:56" ht="13.5" customHeight="1">
      <c r="B105" s="2614"/>
      <c r="C105" s="2615"/>
      <c r="D105" s="2615"/>
      <c r="E105" s="2616"/>
      <c r="F105" s="194"/>
      <c r="G105" s="194"/>
      <c r="H105" s="195"/>
      <c r="I105" s="195"/>
      <c r="J105" s="195"/>
      <c r="K105" s="195"/>
      <c r="L105" s="195"/>
      <c r="M105" s="195"/>
      <c r="N105" s="195"/>
      <c r="O105" s="195"/>
      <c r="P105" s="196"/>
      <c r="Q105" s="196"/>
      <c r="R105" s="196"/>
      <c r="S105" s="196"/>
      <c r="T105" s="2516" t="e">
        <f>VLOOKUP($AD$8&amp;"　"&amp;LEFT($F$85,2),主体不明確補正,26,0)</f>
        <v>#N/A</v>
      </c>
      <c r="U105" s="2517"/>
      <c r="V105" s="2510" t="e">
        <f>VLOOKUP($AD$8&amp;"　"&amp;LEFT($F$85,2),主体不明確補正,27,0)</f>
        <v>#N/A</v>
      </c>
      <c r="W105" s="2511"/>
      <c r="X105" s="74" t="e">
        <f>VLOOKUP($AD$8&amp;"　"&amp;LEFT($F$85,2),主体不明確補正,68,0)</f>
        <v>#N/A</v>
      </c>
      <c r="Y105" s="185"/>
      <c r="Z105" s="178" t="e">
        <f>VLOOKUP($AD$8&amp;"　"&amp;LEFT($F$85,2),主体不明確補正,69,0)</f>
        <v>#N/A</v>
      </c>
      <c r="AA105" s="77"/>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197"/>
      <c r="BA105" s="25" t="b">
        <f t="shared" si="25"/>
        <v>0</v>
      </c>
    </row>
    <row r="106" spans="1:56" ht="13.5" customHeight="1">
      <c r="B106" s="2614"/>
      <c r="C106" s="2615"/>
      <c r="D106" s="2615"/>
      <c r="E106" s="2616"/>
      <c r="F106" s="194"/>
      <c r="G106" s="194"/>
      <c r="H106" s="194"/>
      <c r="I106" s="73"/>
      <c r="J106" s="73"/>
      <c r="K106" s="196"/>
      <c r="L106" s="196"/>
      <c r="M106" s="196"/>
      <c r="N106" s="196"/>
      <c r="O106" s="196"/>
      <c r="P106" s="196"/>
      <c r="Q106" s="196"/>
      <c r="R106" s="196"/>
      <c r="S106" s="198"/>
      <c r="T106" s="2516" t="e">
        <f>VLOOKUP($AD$8&amp;"　"&amp;LEFT($F$85,2),主体不明確補正,28,0)</f>
        <v>#N/A</v>
      </c>
      <c r="U106" s="2517"/>
      <c r="V106" s="2510" t="e">
        <f>VLOOKUP($AD$8&amp;"　"&amp;LEFT($F$85,2),主体不明確補正,29,0)</f>
        <v>#N/A</v>
      </c>
      <c r="W106" s="2511"/>
      <c r="X106" s="74" t="e">
        <f>VLOOKUP($AD$8&amp;"　"&amp;LEFT($F$85,2),主体不明確補正,70,0)</f>
        <v>#N/A</v>
      </c>
      <c r="Y106" s="185"/>
      <c r="Z106" s="178" t="e">
        <f>VLOOKUP($AD$8&amp;"　"&amp;LEFT($F$85,2),主体不明確補正,71,0)</f>
        <v>#N/A</v>
      </c>
      <c r="AA106" s="77"/>
      <c r="AB106" s="73"/>
      <c r="AC106" s="73"/>
      <c r="AD106" s="73"/>
      <c r="AE106" s="73"/>
      <c r="AF106" s="3024" t="str">
        <f>+IF(ISNUMBER($AH$103),"壁体面積","")</f>
        <v/>
      </c>
      <c r="AG106" s="3024"/>
      <c r="AH106" s="3024"/>
      <c r="AI106" s="3024"/>
      <c r="AJ106" s="73"/>
      <c r="AK106" s="73"/>
      <c r="AL106" s="73"/>
      <c r="AM106" s="73"/>
      <c r="AN106" s="73"/>
      <c r="AO106" s="73"/>
      <c r="AP106" s="73"/>
      <c r="AQ106" s="73"/>
      <c r="AR106" s="73"/>
      <c r="AS106" s="73"/>
      <c r="AT106" s="73"/>
      <c r="AU106" s="73"/>
      <c r="AV106" s="73"/>
      <c r="AW106" s="73"/>
      <c r="AX106" s="73"/>
      <c r="AY106" s="73"/>
      <c r="AZ106" s="197"/>
      <c r="BA106" s="25" t="b">
        <f t="shared" si="25"/>
        <v>0</v>
      </c>
    </row>
    <row r="107" spans="1:56" ht="13.5" customHeight="1">
      <c r="B107" s="2614"/>
      <c r="C107" s="2615"/>
      <c r="D107" s="2615"/>
      <c r="E107" s="2616"/>
      <c r="F107" s="73"/>
      <c r="G107" s="73"/>
      <c r="H107" s="73"/>
      <c r="I107" s="73"/>
      <c r="J107" s="73"/>
      <c r="K107" s="73"/>
      <c r="L107" s="73"/>
      <c r="M107" s="73"/>
      <c r="N107" s="73"/>
      <c r="O107" s="73"/>
      <c r="P107" s="73"/>
      <c r="Q107" s="73"/>
      <c r="R107" s="73"/>
      <c r="S107" s="73"/>
      <c r="T107" s="2853"/>
      <c r="U107" s="2854"/>
      <c r="V107" s="2512" t="str">
        <f>IF(ISNUMBER($V$104),ROUNDDOWN(IF(T107&gt;T103,V103+(V102-V103)/(T102-T103)*(MIN(T107,T102)-T103),IF(T107&gt;T104,V104+(V103-V104)/(T103-T104)*(T107-T104),
IF(LEFT($F$85,2)="鉄筋",V104+(V105-V104)/(0-T104)*(T107-T104),IF(T107&gt;T105,V104+(V105-V104)/(T105-T104)*(T107-T104),V105+(V106-V105)/(0-T105)*(T107-T105))))),2),"×")</f>
        <v>×</v>
      </c>
      <c r="W107" s="2513"/>
      <c r="X107" s="90" t="e">
        <f>VLOOKUP($AD$8&amp;"　"&amp;LEFT($F$85,2),主体不明確補正,74,0)</f>
        <v>#N/A</v>
      </c>
      <c r="Y107" s="201"/>
      <c r="Z107" s="190" t="e">
        <f>VLOOKUP($AD$8&amp;"　"&amp;LEFT($F$85,2),主体不明確補正,75,0)</f>
        <v>#N/A</v>
      </c>
      <c r="AA107" s="93"/>
      <c r="AB107" s="73"/>
      <c r="AC107" s="73"/>
      <c r="AD107" s="73"/>
      <c r="AE107" s="73"/>
      <c r="AF107" s="3025"/>
      <c r="AG107" s="3025"/>
      <c r="AH107" s="3025"/>
      <c r="AI107" s="3025"/>
      <c r="AJ107" s="73"/>
      <c r="AK107" s="73"/>
      <c r="AL107" s="73"/>
      <c r="AM107" s="73"/>
      <c r="AN107" s="73"/>
      <c r="AO107" s="73"/>
      <c r="AP107" s="73"/>
      <c r="AQ107" s="73"/>
      <c r="AR107" s="73"/>
      <c r="AS107" s="73"/>
      <c r="AT107" s="73"/>
      <c r="AU107" s="73"/>
      <c r="AV107" s="73"/>
      <c r="AW107" s="73"/>
      <c r="AX107" s="73"/>
      <c r="AY107" s="73"/>
      <c r="AZ107" s="197"/>
      <c r="BA107" s="25" t="b">
        <f t="shared" si="25"/>
        <v>0</v>
      </c>
    </row>
    <row r="108" spans="1:56" s="1745" customFormat="1" ht="13.5" customHeight="1">
      <c r="B108" s="2614"/>
      <c r="C108" s="2615"/>
      <c r="D108" s="2615"/>
      <c r="E108" s="2617"/>
      <c r="F108" s="73"/>
      <c r="G108" s="73"/>
      <c r="H108" s="73"/>
      <c r="I108" s="73"/>
      <c r="J108" s="73"/>
      <c r="K108" s="73"/>
      <c r="L108" s="73"/>
      <c r="M108" s="73"/>
      <c r="N108" s="73"/>
      <c r="O108" s="73"/>
      <c r="P108" s="73"/>
      <c r="Q108" s="73"/>
      <c r="R108" s="73"/>
      <c r="S108" s="73"/>
      <c r="T108" s="1755"/>
      <c r="U108" s="1755"/>
      <c r="V108" s="1756"/>
      <c r="W108" s="1756"/>
      <c r="X108" s="1757"/>
      <c r="Y108" s="118"/>
      <c r="Z108" s="119"/>
      <c r="AA108" s="119"/>
      <c r="AB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754"/>
      <c r="BA108" s="25" t="b">
        <v>0</v>
      </c>
      <c r="BB108" s="6"/>
    </row>
    <row r="109" spans="1:56" s="4" customFormat="1" ht="99.75" customHeight="1">
      <c r="B109" s="2614"/>
      <c r="C109" s="2615"/>
      <c r="D109" s="2615"/>
      <c r="E109" s="2616"/>
      <c r="H109" s="2508" t="s">
        <v>1562</v>
      </c>
      <c r="I109" s="2508"/>
      <c r="J109" s="2508"/>
      <c r="K109" s="2508"/>
      <c r="L109" s="2508" t="s">
        <v>1563</v>
      </c>
      <c r="M109" s="2508"/>
      <c r="N109" s="2508"/>
      <c r="O109" s="2508"/>
      <c r="P109" s="2508" t="s">
        <v>1564</v>
      </c>
      <c r="Q109" s="2508"/>
      <c r="R109" s="2508"/>
      <c r="S109" s="2508"/>
      <c r="T109" s="2508" t="s">
        <v>2025</v>
      </c>
      <c r="U109" s="2508"/>
      <c r="V109" s="2508"/>
      <c r="W109" s="2508"/>
      <c r="X109" s="2704"/>
      <c r="Y109" s="2704"/>
      <c r="Z109" s="2704"/>
      <c r="AA109" s="2704"/>
      <c r="AB109" s="2603"/>
      <c r="AC109" s="2603"/>
      <c r="AD109" s="2603"/>
      <c r="AE109" s="2603"/>
      <c r="AF109" s="2603" t="s">
        <v>1568</v>
      </c>
      <c r="AG109" s="2603"/>
      <c r="AH109" s="2603"/>
      <c r="AI109" s="2603"/>
      <c r="AJ109" s="2603"/>
      <c r="AK109" s="2603"/>
      <c r="AL109" s="2603"/>
      <c r="AM109" s="2603"/>
      <c r="AN109" s="2602" t="s">
        <v>1565</v>
      </c>
      <c r="AO109" s="2602"/>
      <c r="AP109" s="2602"/>
      <c r="AQ109" s="2602"/>
      <c r="AR109" s="2602"/>
      <c r="AS109" s="2602"/>
      <c r="AT109" s="2602"/>
      <c r="AU109" s="2602"/>
      <c r="AV109" s="2508" t="s">
        <v>1601</v>
      </c>
      <c r="AW109" s="2508"/>
      <c r="AX109" s="2508"/>
      <c r="AY109" s="2508"/>
      <c r="AZ109" s="1631"/>
      <c r="BA109" s="25" t="b">
        <v>0</v>
      </c>
    </row>
    <row r="110" spans="1:56" s="4" customFormat="1" ht="13.5" customHeight="1">
      <c r="B110" s="2614"/>
      <c r="C110" s="2615"/>
      <c r="D110" s="2615"/>
      <c r="E110" s="2617"/>
      <c r="H110" s="1762" t="s">
        <v>1569</v>
      </c>
      <c r="I110" s="1758"/>
      <c r="J110" s="1758"/>
      <c r="K110" s="1758"/>
      <c r="L110" s="1758"/>
      <c r="M110" s="1758"/>
      <c r="N110" s="1758"/>
      <c r="O110" s="1758"/>
      <c r="P110" s="1758"/>
      <c r="Q110" s="1758"/>
      <c r="R110" s="1758"/>
      <c r="S110" s="1758"/>
      <c r="T110" s="1758"/>
      <c r="U110" s="1758"/>
      <c r="V110" s="1758"/>
      <c r="W110" s="1758"/>
      <c r="X110" s="1759"/>
      <c r="Y110" s="1759"/>
      <c r="Z110" s="1759"/>
      <c r="AA110" s="1759"/>
      <c r="AB110" s="1760"/>
      <c r="AC110" s="1760"/>
      <c r="AD110" s="1760"/>
      <c r="AE110" s="1760"/>
      <c r="AF110" s="1760"/>
      <c r="AG110" s="1760"/>
      <c r="AH110" s="1760"/>
      <c r="AI110" s="1760"/>
      <c r="AJ110" s="1760"/>
      <c r="AK110" s="1760"/>
      <c r="AL110" s="1760"/>
      <c r="AM110" s="1760"/>
      <c r="AN110" s="1761"/>
      <c r="AO110" s="1761"/>
      <c r="AP110" s="1761"/>
      <c r="AQ110" s="1761"/>
      <c r="AR110" s="1761"/>
      <c r="AS110" s="1761"/>
      <c r="AT110" s="1761"/>
      <c r="AU110" s="1761"/>
      <c r="AV110" s="1758"/>
      <c r="AW110" s="1758"/>
      <c r="AX110" s="1758"/>
      <c r="AY110" s="1758"/>
      <c r="AZ110" s="1631"/>
      <c r="BA110" s="25" t="b">
        <v>0</v>
      </c>
      <c r="BB110" s="2695" t="s">
        <v>1600</v>
      </c>
    </row>
    <row r="111" spans="1:56" s="4" customFormat="1" ht="13.5" customHeight="1">
      <c r="B111" s="2614"/>
      <c r="C111" s="2615"/>
      <c r="D111" s="2615"/>
      <c r="E111" s="2616"/>
      <c r="F111" s="202"/>
      <c r="G111" s="58" t="s">
        <v>1598</v>
      </c>
      <c r="H111" s="2509" t="s">
        <v>1570</v>
      </c>
      <c r="I111" s="2509"/>
      <c r="J111" s="2509"/>
      <c r="K111" s="1771" t="s">
        <v>1571</v>
      </c>
      <c r="L111" s="2509" t="s">
        <v>1572</v>
      </c>
      <c r="M111" s="2509"/>
      <c r="N111" s="2509"/>
      <c r="O111" s="1771" t="s">
        <v>1575</v>
      </c>
      <c r="P111" s="1770">
        <v>2</v>
      </c>
      <c r="Q111" s="1771" t="s">
        <v>1573</v>
      </c>
      <c r="R111" s="2509" t="s">
        <v>1574</v>
      </c>
      <c r="S111" s="2509"/>
      <c r="T111" s="2509"/>
      <c r="U111" s="1772" t="s">
        <v>1576</v>
      </c>
      <c r="V111" s="2807" t="s">
        <v>1577</v>
      </c>
      <c r="W111" s="2807"/>
      <c r="X111" s="2807"/>
      <c r="Y111" s="2807"/>
      <c r="Z111" s="2998" t="s">
        <v>1597</v>
      </c>
      <c r="AA111" s="2998"/>
      <c r="AB111" s="3000" t="s">
        <v>1578</v>
      </c>
      <c r="AC111" s="3000"/>
      <c r="AD111" s="3000"/>
      <c r="AE111" s="1768" t="s">
        <v>1571</v>
      </c>
      <c r="AF111" s="3000" t="s">
        <v>1579</v>
      </c>
      <c r="AG111" s="3000"/>
      <c r="AH111" s="3000"/>
      <c r="AI111" s="1773" t="s">
        <v>1575</v>
      </c>
      <c r="AJ111" s="1770">
        <v>2</v>
      </c>
      <c r="AK111" s="1773" t="s">
        <v>1573</v>
      </c>
      <c r="AL111" s="2592" t="s">
        <v>1580</v>
      </c>
      <c r="AM111" s="2592"/>
      <c r="AN111" s="2592"/>
      <c r="AO111" s="1773" t="s">
        <v>1583</v>
      </c>
      <c r="AP111" s="2604"/>
      <c r="AQ111" s="2604"/>
      <c r="AR111" s="2604"/>
      <c r="AS111" s="1774"/>
      <c r="AT111" s="2592" t="s">
        <v>1584</v>
      </c>
      <c r="AU111" s="2592"/>
      <c r="AV111" s="2592"/>
      <c r="AW111" s="1769"/>
      <c r="AX111" s="1769"/>
      <c r="AY111" s="1769"/>
      <c r="AZ111" s="1631"/>
      <c r="BA111" s="25" t="b">
        <v>0</v>
      </c>
      <c r="BB111" s="2695"/>
    </row>
    <row r="112" spans="1:56" s="4" customFormat="1" ht="13.5" customHeight="1">
      <c r="B112" s="2614"/>
      <c r="C112" s="2615"/>
      <c r="D112" s="2615"/>
      <c r="E112" s="2616"/>
      <c r="F112" s="202"/>
      <c r="G112" s="58" t="s">
        <v>1599</v>
      </c>
      <c r="H112" s="2483">
        <f ca="1">+$AS$370</f>
        <v>0</v>
      </c>
      <c r="I112" s="2483"/>
      <c r="J112" s="2483"/>
      <c r="K112" s="1771" t="s">
        <v>1571</v>
      </c>
      <c r="L112" s="2483">
        <f ca="1">+$AS$460</f>
        <v>0</v>
      </c>
      <c r="M112" s="2483"/>
      <c r="N112" s="2483"/>
      <c r="O112" s="1771" t="s">
        <v>1575</v>
      </c>
      <c r="P112" s="1770">
        <v>2</v>
      </c>
      <c r="Q112" s="1771" t="s">
        <v>1573</v>
      </c>
      <c r="R112" s="2483">
        <f ca="1">+$AS$304</f>
        <v>0</v>
      </c>
      <c r="S112" s="2483"/>
      <c r="T112" s="2483"/>
      <c r="U112" s="1772" t="s">
        <v>1576</v>
      </c>
      <c r="V112" s="2483" t="e">
        <f>+$AF$103</f>
        <v>#N/A</v>
      </c>
      <c r="W112" s="2483"/>
      <c r="X112" s="2483"/>
      <c r="Y112" s="2483"/>
      <c r="Z112" s="2998" t="s">
        <v>1597</v>
      </c>
      <c r="AA112" s="2998"/>
      <c r="AB112" s="2483" t="e">
        <f>+VLOOKUP($AD$8,標準量,12,FALSE)</f>
        <v>#N/A</v>
      </c>
      <c r="AC112" s="2483"/>
      <c r="AD112" s="2483"/>
      <c r="AE112" s="1768" t="s">
        <v>1571</v>
      </c>
      <c r="AF112" s="2483" t="e">
        <f>+VLOOKUP($AD$8,標準量,13,FALSE)</f>
        <v>#N/A</v>
      </c>
      <c r="AG112" s="2483"/>
      <c r="AH112" s="2483"/>
      <c r="AI112" s="1773" t="s">
        <v>1575</v>
      </c>
      <c r="AJ112" s="1770">
        <v>2</v>
      </c>
      <c r="AK112" s="1773" t="s">
        <v>1573</v>
      </c>
      <c r="AL112" s="2483" t="e">
        <f>+VLOOKUP($AD$8,標準量,11,FALSE)</f>
        <v>#N/A</v>
      </c>
      <c r="AM112" s="2483"/>
      <c r="AN112" s="2483"/>
      <c r="AO112" s="1773" t="s">
        <v>1583</v>
      </c>
      <c r="AP112" s="2999"/>
      <c r="AQ112" s="2999"/>
      <c r="AR112" s="2999"/>
      <c r="AS112" s="1763" t="s">
        <v>1581</v>
      </c>
      <c r="AT112" s="3019" t="e">
        <f ca="1">+ROUNDDOWN(((H112+L112)/P112-R112)*ROUNDDOWN(V112/((AB112+AF112)/AJ112-AL112),2),2)</f>
        <v>#N/A</v>
      </c>
      <c r="AU112" s="3019"/>
      <c r="AV112" s="3019"/>
      <c r="AW112" s="1762"/>
      <c r="AX112" s="1762"/>
      <c r="AY112" s="1762"/>
      <c r="AZ112" s="1632"/>
      <c r="BA112" s="25" t="b">
        <v>0</v>
      </c>
      <c r="BB112" s="2695"/>
    </row>
    <row r="113" spans="1:55" ht="13.5" customHeight="1">
      <c r="B113" s="2618"/>
      <c r="C113" s="2619"/>
      <c r="D113" s="2619"/>
      <c r="E113" s="2620"/>
      <c r="F113" s="1746"/>
      <c r="G113" s="203"/>
      <c r="H113" s="1764"/>
      <c r="I113" s="1764"/>
      <c r="J113" s="1764"/>
      <c r="K113" s="1764"/>
      <c r="L113" s="1764"/>
      <c r="M113" s="1764"/>
      <c r="N113" s="1764"/>
      <c r="O113" s="1764"/>
      <c r="P113" s="1764"/>
      <c r="Q113" s="1764"/>
      <c r="R113" s="1764"/>
      <c r="S113" s="1764"/>
      <c r="T113" s="1764"/>
      <c r="U113" s="1764"/>
      <c r="V113" s="1764"/>
      <c r="W113" s="1764"/>
      <c r="X113" s="1765"/>
      <c r="Y113" s="1765"/>
      <c r="Z113" s="1765"/>
      <c r="AA113" s="1765"/>
      <c r="AB113" s="1766"/>
      <c r="AC113" s="1766"/>
      <c r="AD113" s="1766"/>
      <c r="AE113" s="1766"/>
      <c r="AF113" s="1766"/>
      <c r="AG113" s="1766"/>
      <c r="AH113" s="1766"/>
      <c r="AI113" s="1766"/>
      <c r="AJ113" s="1766"/>
      <c r="AK113" s="1766"/>
      <c r="AL113" s="1766"/>
      <c r="AM113" s="1766"/>
      <c r="AN113" s="1767"/>
      <c r="AO113" s="1767"/>
      <c r="AP113" s="1767"/>
      <c r="AQ113" s="1767"/>
      <c r="AR113" s="1767"/>
      <c r="AS113" s="1767"/>
      <c r="AT113" s="1767"/>
      <c r="AU113" s="1767"/>
      <c r="AV113" s="1764"/>
      <c r="AW113" s="1764"/>
      <c r="AX113" s="1764"/>
      <c r="AY113" s="1764"/>
      <c r="AZ113" s="1747"/>
      <c r="BA113" s="25" t="b">
        <f t="shared" ref="BA113" si="26">BA$83</f>
        <v>0</v>
      </c>
    </row>
    <row r="114" spans="1:55" ht="13.5" customHeight="1">
      <c r="BA114" s="25" t="b">
        <v>0</v>
      </c>
    </row>
    <row r="115" spans="1:55" ht="13.5" customHeight="1">
      <c r="C115" s="26" t="s">
        <v>1910</v>
      </c>
      <c r="D115" s="27"/>
      <c r="E115" s="27"/>
      <c r="F115" s="27"/>
      <c r="G115" s="27"/>
      <c r="H115" s="27"/>
      <c r="I115" s="27"/>
      <c r="J115" s="27"/>
      <c r="BA115" s="25" t="b">
        <v>0</v>
      </c>
    </row>
    <row r="116" spans="1:55" s="1850" customFormat="1" ht="13.5" customHeight="1">
      <c r="BA116" s="25" t="b">
        <v>0</v>
      </c>
      <c r="BB116" s="6"/>
    </row>
    <row r="117" spans="1:55" s="1850" customFormat="1" ht="13.5" customHeight="1">
      <c r="B117" s="2624" t="s">
        <v>1923</v>
      </c>
      <c r="C117" s="2624"/>
      <c r="D117" s="2670"/>
      <c r="E117" s="2671"/>
      <c r="F117" s="1859" t="s">
        <v>825</v>
      </c>
      <c r="G117" s="1859"/>
      <c r="H117" s="1859"/>
      <c r="I117" s="1859"/>
      <c r="J117" s="1859"/>
      <c r="K117" s="1859"/>
      <c r="L117" s="1860" t="s">
        <v>760</v>
      </c>
      <c r="M117" s="1859"/>
      <c r="N117" s="1859"/>
      <c r="O117" s="1861"/>
      <c r="P117" s="1862"/>
      <c r="Q117" s="1863"/>
      <c r="R117" s="1863"/>
      <c r="S117" s="1864"/>
      <c r="T117" s="1887" t="s">
        <v>1914</v>
      </c>
      <c r="U117" s="1865"/>
      <c r="V117" s="1865"/>
      <c r="W117" s="1866"/>
      <c r="X117" s="1888" t="s">
        <v>1915</v>
      </c>
      <c r="Y117" s="1868"/>
      <c r="Z117" s="1868"/>
      <c r="AA117" s="1869"/>
      <c r="AB117" s="1888" t="s">
        <v>1916</v>
      </c>
      <c r="AC117" s="1868"/>
      <c r="AD117" s="1868"/>
      <c r="AE117" s="1869"/>
      <c r="AF117" s="1867" t="s">
        <v>54</v>
      </c>
      <c r="AG117" s="1868"/>
      <c r="AH117" s="1868"/>
      <c r="AI117" s="1869"/>
      <c r="AJ117" s="1870" t="s">
        <v>765</v>
      </c>
      <c r="AK117" s="1870"/>
      <c r="AL117" s="1870"/>
      <c r="AM117" s="1870"/>
      <c r="AN117" s="1870" t="s">
        <v>58</v>
      </c>
      <c r="AO117" s="1870"/>
      <c r="AP117" s="1870"/>
      <c r="AQ117" s="1870"/>
      <c r="AR117" s="1870" t="s">
        <v>1911</v>
      </c>
      <c r="AS117" s="1860"/>
      <c r="AT117" s="1860"/>
      <c r="AU117" s="1859"/>
      <c r="AV117" s="1886" t="s">
        <v>782</v>
      </c>
      <c r="AW117" s="1871"/>
      <c r="AX117" s="1871"/>
      <c r="AY117" s="1872"/>
      <c r="AZ117" s="1873"/>
      <c r="BA117" s="25" t="b">
        <f>OR(COUNTA(T118:AE118)&lt;&gt;0,AR118&lt;&gt;0)</f>
        <v>0</v>
      </c>
      <c r="BB117" s="6"/>
    </row>
    <row r="118" spans="1:55" s="1850" customFormat="1" ht="13.5" customHeight="1">
      <c r="B118" s="2625"/>
      <c r="C118" s="2625"/>
      <c r="D118" s="2625" t="s">
        <v>1913</v>
      </c>
      <c r="E118" s="2649"/>
      <c r="F118" s="2546" t="s">
        <v>1913</v>
      </c>
      <c r="G118" s="2547"/>
      <c r="H118" s="2547"/>
      <c r="I118" s="2547"/>
      <c r="J118" s="2547"/>
      <c r="K118" s="2548"/>
      <c r="L118" s="2528">
        <v>3430300</v>
      </c>
      <c r="M118" s="2529"/>
      <c r="N118" s="2529"/>
      <c r="O118" s="2530"/>
      <c r="P118" s="2534"/>
      <c r="Q118" s="2535"/>
      <c r="R118" s="2535"/>
      <c r="S118" s="2536"/>
      <c r="T118" s="2537"/>
      <c r="U118" s="2538"/>
      <c r="V118" s="2538"/>
      <c r="W118" s="2539"/>
      <c r="X118" s="2537"/>
      <c r="Y118" s="2538"/>
      <c r="Z118" s="2538"/>
      <c r="AA118" s="2538"/>
      <c r="AB118" s="2699"/>
      <c r="AC118" s="2700"/>
      <c r="AD118" s="2700"/>
      <c r="AE118" s="2701"/>
      <c r="AF118" s="1874"/>
      <c r="AG118" s="1875"/>
      <c r="AH118" s="1875"/>
      <c r="AI118" s="1876"/>
      <c r="AJ118" s="2593">
        <f>ROUNDDOWN(IF(ISERROR(PRODUCT(T119:AE119)),0,PRODUCT(T119:AE119)),2)</f>
        <v>0.09</v>
      </c>
      <c r="AK118" s="2594"/>
      <c r="AL118" s="2594"/>
      <c r="AM118" s="2595"/>
      <c r="AN118" s="2528">
        <f>IF(F118="",0,INT(L118*AJ118))</f>
        <v>308727</v>
      </c>
      <c r="AO118" s="2529"/>
      <c r="AP118" s="2529"/>
      <c r="AQ118" s="2530"/>
      <c r="AR118" s="3020"/>
      <c r="AS118" s="3021"/>
      <c r="AT118" s="3021"/>
      <c r="AU118" s="2529" t="s">
        <v>1912</v>
      </c>
      <c r="AV118" s="2528">
        <f>INT(AN118*AR118)</f>
        <v>0</v>
      </c>
      <c r="AW118" s="2529"/>
      <c r="AX118" s="2529"/>
      <c r="AY118" s="2529"/>
      <c r="AZ118" s="2530"/>
      <c r="BA118" s="25" t="b">
        <f>+$BA$117</f>
        <v>0</v>
      </c>
      <c r="BB118" s="1991" t="s">
        <v>2053</v>
      </c>
    </row>
    <row r="119" spans="1:55" s="1850" customFormat="1" ht="13.5" customHeight="1">
      <c r="B119" s="2625"/>
      <c r="C119" s="2625"/>
      <c r="D119" s="2649"/>
      <c r="E119" s="2649"/>
      <c r="F119" s="2549"/>
      <c r="G119" s="2550"/>
      <c r="H119" s="2550"/>
      <c r="I119" s="2550"/>
      <c r="J119" s="2550"/>
      <c r="K119" s="2551"/>
      <c r="L119" s="2531"/>
      <c r="M119" s="2532"/>
      <c r="N119" s="2532"/>
      <c r="O119" s="2533"/>
      <c r="P119" s="2605"/>
      <c r="Q119" s="2606"/>
      <c r="R119" s="2606"/>
      <c r="S119" s="2607"/>
      <c r="T119" s="2480">
        <f>+ROUNDDOWN(IF(T118&gt;=T121,V121+(V120-V121)/(T120^2-T121^2)*(T118^2-T121^2),V121+(V122-V121)/(T122^2-T121^2)*(T118^2-T121^2)),2)</f>
        <v>0.18</v>
      </c>
      <c r="U119" s="2481"/>
      <c r="V119" s="2481"/>
      <c r="W119" s="2482"/>
      <c r="X119" s="2480">
        <f>+ROUNDDOWN(IF(X118&gt;=X121,Z121+(Z120-Z121)/(X120-X121)*(X118-X121),Z121+(Z122-Z121)/(X122-X121)*(X118-X121)),2)</f>
        <v>0.5</v>
      </c>
      <c r="Y119" s="2481"/>
      <c r="Z119" s="2481"/>
      <c r="AA119" s="2482"/>
      <c r="AB119" s="2480" t="str">
        <f>IF(AB118="","",VLOOKUP(AB118,AB120:AE121,3,0))</f>
        <v/>
      </c>
      <c r="AC119" s="2481"/>
      <c r="AD119" s="2481"/>
      <c r="AE119" s="2482"/>
      <c r="AF119" s="1877"/>
      <c r="AG119" s="1878"/>
      <c r="AH119" s="1878"/>
      <c r="AI119" s="1879"/>
      <c r="AJ119" s="2596"/>
      <c r="AK119" s="2597"/>
      <c r="AL119" s="2597"/>
      <c r="AM119" s="2598"/>
      <c r="AN119" s="2531"/>
      <c r="AO119" s="2532"/>
      <c r="AP119" s="2532"/>
      <c r="AQ119" s="2533"/>
      <c r="AR119" s="3022"/>
      <c r="AS119" s="3023"/>
      <c r="AT119" s="3023"/>
      <c r="AU119" s="2532"/>
      <c r="AV119" s="2531"/>
      <c r="AW119" s="2532"/>
      <c r="AX119" s="2532"/>
      <c r="AY119" s="2532"/>
      <c r="AZ119" s="2533"/>
      <c r="BA119" s="25" t="b">
        <f t="shared" ref="BA119:BA123" si="27">+$BA$117</f>
        <v>0</v>
      </c>
      <c r="BB119" s="6" t="s">
        <v>1920</v>
      </c>
    </row>
    <row r="120" spans="1:55" s="1850" customFormat="1" ht="13.5" customHeight="1">
      <c r="B120" s="2625"/>
      <c r="C120" s="2625"/>
      <c r="D120" s="2649"/>
      <c r="E120" s="2649"/>
      <c r="F120" s="6"/>
      <c r="G120" s="6"/>
      <c r="H120" s="6"/>
      <c r="I120" s="6"/>
      <c r="J120" s="6"/>
      <c r="K120" s="6"/>
      <c r="L120" s="6"/>
      <c r="M120" s="6"/>
      <c r="N120" s="6"/>
      <c r="O120" s="6"/>
      <c r="P120" s="1880"/>
      <c r="Q120" s="1881"/>
      <c r="R120" s="1882"/>
      <c r="S120" s="1883"/>
      <c r="T120" s="2629">
        <v>1400</v>
      </c>
      <c r="U120" s="2630"/>
      <c r="V120" s="169">
        <v>1.5</v>
      </c>
      <c r="W120" s="238"/>
      <c r="X120" s="2635">
        <v>250</v>
      </c>
      <c r="Y120" s="2636"/>
      <c r="Z120" s="169">
        <v>1.1000000000000001</v>
      </c>
      <c r="AA120" s="238"/>
      <c r="AB120" s="2627" t="s">
        <v>1917</v>
      </c>
      <c r="AC120" s="2628"/>
      <c r="AD120" s="169">
        <v>1</v>
      </c>
      <c r="AE120" s="62"/>
      <c r="AF120" s="6"/>
      <c r="AG120" s="6"/>
      <c r="AH120" s="6"/>
      <c r="AI120" s="6"/>
      <c r="AJ120" s="6"/>
      <c r="AK120" s="6"/>
      <c r="AL120" s="6"/>
      <c r="AM120" s="6"/>
      <c r="AN120" s="6"/>
      <c r="AO120" s="6"/>
      <c r="AP120" s="6"/>
      <c r="AQ120" s="6"/>
      <c r="AR120" s="6"/>
      <c r="AS120" s="6"/>
      <c r="AT120" s="6"/>
      <c r="AU120" s="6"/>
      <c r="AV120" s="6"/>
      <c r="AW120" s="6"/>
      <c r="AX120" s="6"/>
      <c r="AY120" s="6"/>
      <c r="AZ120" s="1748"/>
      <c r="BA120" s="25" t="b">
        <f t="shared" si="27"/>
        <v>0</v>
      </c>
      <c r="BB120" s="6" t="s">
        <v>1919</v>
      </c>
    </row>
    <row r="121" spans="1:55" s="1850" customFormat="1" ht="13.5" customHeight="1">
      <c r="B121" s="2625"/>
      <c r="C121" s="2625"/>
      <c r="D121" s="2649"/>
      <c r="E121" s="2649"/>
      <c r="F121" s="6"/>
      <c r="G121" s="1889"/>
      <c r="H121" s="1890"/>
      <c r="I121" s="1890"/>
      <c r="J121" s="1890"/>
      <c r="K121" s="123"/>
      <c r="L121" s="1891"/>
      <c r="M121" s="1891"/>
      <c r="N121" s="1891"/>
      <c r="O121" s="1892"/>
      <c r="P121" s="1892"/>
      <c r="Q121" s="1892"/>
      <c r="R121" s="1892"/>
      <c r="S121" s="1375"/>
      <c r="T121" s="2631">
        <v>1200</v>
      </c>
      <c r="U121" s="2632"/>
      <c r="V121" s="178">
        <v>1</v>
      </c>
      <c r="W121" s="158"/>
      <c r="X121" s="2637">
        <v>200</v>
      </c>
      <c r="Y121" s="2638"/>
      <c r="Z121" s="178">
        <v>1</v>
      </c>
      <c r="AA121" s="158"/>
      <c r="AB121" s="3001" t="s">
        <v>1918</v>
      </c>
      <c r="AC121" s="3002"/>
      <c r="AD121" s="190">
        <v>0.85</v>
      </c>
      <c r="AE121" s="93"/>
      <c r="AF121" s="6"/>
      <c r="AG121" s="6"/>
      <c r="AH121" s="6"/>
      <c r="AI121" s="6"/>
      <c r="AJ121" s="6"/>
      <c r="AK121" s="6"/>
      <c r="AL121" s="6"/>
      <c r="AM121" s="6"/>
      <c r="AN121" s="6"/>
      <c r="AO121" s="6"/>
      <c r="AP121" s="6"/>
      <c r="AQ121" s="6"/>
      <c r="AR121" s="6"/>
      <c r="AS121" s="6"/>
      <c r="AT121" s="6"/>
      <c r="AU121" s="6"/>
      <c r="AV121" s="6"/>
      <c r="AW121" s="6"/>
      <c r="AX121" s="6"/>
      <c r="AY121" s="6"/>
      <c r="AZ121" s="1748"/>
      <c r="BA121" s="25" t="b">
        <f t="shared" si="27"/>
        <v>0</v>
      </c>
      <c r="BB121" s="6"/>
    </row>
    <row r="122" spans="1:55" s="1850" customFormat="1" ht="13.5" customHeight="1">
      <c r="B122" s="2625"/>
      <c r="C122" s="2625"/>
      <c r="D122" s="2649"/>
      <c r="E122" s="2649"/>
      <c r="F122" s="6"/>
      <c r="G122" s="1851"/>
      <c r="H122" s="1851"/>
      <c r="I122" s="1851"/>
      <c r="J122" s="1530"/>
      <c r="K122" s="1851"/>
      <c r="L122" s="1530"/>
      <c r="M122" s="1530"/>
      <c r="N122" s="1530"/>
      <c r="O122" s="1851"/>
      <c r="P122" s="1851"/>
      <c r="Q122" s="1851"/>
      <c r="R122" s="1530"/>
      <c r="S122" s="6"/>
      <c r="T122" s="2633">
        <v>1000</v>
      </c>
      <c r="U122" s="2634"/>
      <c r="V122" s="190">
        <v>0.75</v>
      </c>
      <c r="W122" s="163"/>
      <c r="X122" s="2639">
        <v>160</v>
      </c>
      <c r="Y122" s="2640"/>
      <c r="Z122" s="190">
        <v>0.9</v>
      </c>
      <c r="AA122" s="163"/>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1748"/>
      <c r="BA122" s="25" t="b">
        <f t="shared" si="27"/>
        <v>0</v>
      </c>
      <c r="BB122" s="4"/>
    </row>
    <row r="123" spans="1:55" s="1850" customFormat="1" ht="13.5" customHeight="1">
      <c r="B123" s="2626"/>
      <c r="C123" s="2626"/>
      <c r="D123" s="2650"/>
      <c r="E123" s="2650"/>
      <c r="F123" s="1884"/>
      <c r="G123" s="1884"/>
      <c r="H123" s="1884"/>
      <c r="I123" s="1884"/>
      <c r="J123" s="1884"/>
      <c r="K123" s="1884"/>
      <c r="L123" s="1884"/>
      <c r="M123" s="1884"/>
      <c r="N123" s="1884"/>
      <c r="O123" s="1884"/>
      <c r="P123" s="1884"/>
      <c r="Q123" s="1884"/>
      <c r="R123" s="1884"/>
      <c r="S123" s="1884"/>
      <c r="T123" s="1884"/>
      <c r="U123" s="1884"/>
      <c r="V123" s="1884"/>
      <c r="W123" s="1884"/>
      <c r="X123" s="1884"/>
      <c r="Y123" s="1884"/>
      <c r="Z123" s="1884"/>
      <c r="AA123" s="1884"/>
      <c r="AB123" s="1884"/>
      <c r="AC123" s="1884"/>
      <c r="AD123" s="1884"/>
      <c r="AE123" s="1884"/>
      <c r="AF123" s="1884"/>
      <c r="AG123" s="1884"/>
      <c r="AH123" s="1884"/>
      <c r="AI123" s="1884"/>
      <c r="AJ123" s="1884"/>
      <c r="AK123" s="1884"/>
      <c r="AL123" s="1884"/>
      <c r="AM123" s="1884"/>
      <c r="AN123" s="1884"/>
      <c r="AO123" s="1884"/>
      <c r="AP123" s="1884"/>
      <c r="AQ123" s="1884"/>
      <c r="AR123" s="1884"/>
      <c r="AS123" s="1884"/>
      <c r="AT123" s="1884"/>
      <c r="AU123" s="1884"/>
      <c r="AV123" s="1884"/>
      <c r="AW123" s="1884"/>
      <c r="AX123" s="1884"/>
      <c r="AY123" s="1884"/>
      <c r="AZ123" s="1885"/>
      <c r="BA123" s="25" t="b">
        <f t="shared" si="27"/>
        <v>0</v>
      </c>
      <c r="BB123" s="6"/>
    </row>
    <row r="124" spans="1:55" s="1850" customFormat="1" ht="13.5" customHeight="1">
      <c r="BA124" s="25" t="b">
        <v>0</v>
      </c>
      <c r="BB124" s="6"/>
    </row>
    <row r="125" spans="1:55" ht="13.5" customHeight="1">
      <c r="C125" s="26" t="s">
        <v>823</v>
      </c>
      <c r="D125" s="27"/>
      <c r="E125" s="27"/>
      <c r="F125" s="27"/>
      <c r="G125" s="27"/>
      <c r="H125" s="27"/>
      <c r="I125" s="27"/>
      <c r="J125" s="27"/>
      <c r="BA125" s="25" t="b">
        <v>0</v>
      </c>
    </row>
    <row r="126" spans="1:55" ht="13.5" customHeight="1">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5" t="b">
        <f ca="1">BA$154</f>
        <v>0</v>
      </c>
    </row>
    <row r="127" spans="1:55" ht="13.5" customHeight="1">
      <c r="A127">
        <f>ROW()</f>
        <v>127</v>
      </c>
      <c r="B127" s="2789" t="s">
        <v>824</v>
      </c>
      <c r="C127" s="2790"/>
      <c r="D127" s="2671"/>
      <c r="E127" s="2824"/>
      <c r="F127" s="204" t="s">
        <v>825</v>
      </c>
      <c r="G127" s="204"/>
      <c r="H127" s="204"/>
      <c r="I127" s="204"/>
      <c r="J127" s="204"/>
      <c r="K127" s="204"/>
      <c r="L127" s="205" t="s">
        <v>760</v>
      </c>
      <c r="M127" s="204"/>
      <c r="N127" s="204"/>
      <c r="O127" s="206"/>
      <c r="P127" s="207" t="s">
        <v>826</v>
      </c>
      <c r="Q127" s="208"/>
      <c r="R127" s="208"/>
      <c r="S127" s="206"/>
      <c r="T127" s="207" t="s">
        <v>827</v>
      </c>
      <c r="U127" s="208"/>
      <c r="V127" s="208"/>
      <c r="W127" s="209"/>
      <c r="X127" s="207" t="s">
        <v>828</v>
      </c>
      <c r="Y127" s="208"/>
      <c r="Z127" s="208"/>
      <c r="AA127" s="209"/>
      <c r="AB127" s="207" t="s">
        <v>829</v>
      </c>
      <c r="AC127" s="208"/>
      <c r="AD127" s="208"/>
      <c r="AE127" s="209"/>
      <c r="AF127" s="207" t="s">
        <v>830</v>
      </c>
      <c r="AG127" s="208"/>
      <c r="AH127" s="208"/>
      <c r="AI127" s="206"/>
      <c r="AJ127" s="210" t="s">
        <v>765</v>
      </c>
      <c r="AK127" s="210"/>
      <c r="AL127" s="210"/>
      <c r="AM127" s="210"/>
      <c r="AN127" s="35" t="s">
        <v>831</v>
      </c>
      <c r="AO127" s="35"/>
      <c r="AP127" s="35"/>
      <c r="AQ127" s="35"/>
      <c r="AR127" s="210" t="str">
        <f>+IF(P128=P130,"地階","建床")&amp;"面積"</f>
        <v>建床面積</v>
      </c>
      <c r="AS127" s="205"/>
      <c r="AT127" s="205"/>
      <c r="AU127" s="204"/>
      <c r="AV127" s="211" t="s">
        <v>832</v>
      </c>
      <c r="AW127" s="212"/>
      <c r="AX127" s="212"/>
      <c r="AY127" s="213"/>
      <c r="AZ127" s="214"/>
      <c r="BA127" s="25" t="b">
        <f ca="1">OR(COUNTA(T128,AB128,AF128)&lt;&gt;0,G134&lt;&gt;0)</f>
        <v>0</v>
      </c>
      <c r="BB127" s="6" t="s">
        <v>1549</v>
      </c>
    </row>
    <row r="128" spans="1:55" ht="13.5" customHeight="1">
      <c r="B128" s="2734"/>
      <c r="C128" s="2674"/>
      <c r="D128" s="2673" t="s">
        <v>833</v>
      </c>
      <c r="E128" s="2674"/>
      <c r="F128" s="2498" t="s">
        <v>834</v>
      </c>
      <c r="G128" s="2493"/>
      <c r="H128" s="2493"/>
      <c r="I128" s="2493"/>
      <c r="J128" s="2493"/>
      <c r="K128" s="2494"/>
      <c r="L128" s="2484">
        <v>1530</v>
      </c>
      <c r="M128" s="2485"/>
      <c r="N128" s="2485"/>
      <c r="O128" s="2486"/>
      <c r="P128" s="2848" t="str">
        <f>+IF(COUNT(AK13:AZ13)&gt;0,P130,P131)</f>
        <v>なし</v>
      </c>
      <c r="Q128" s="2849"/>
      <c r="R128" s="2849"/>
      <c r="S128" s="2850"/>
      <c r="T128" s="2699"/>
      <c r="U128" s="2700"/>
      <c r="V128" s="2700"/>
      <c r="W128" s="2701"/>
      <c r="X128" s="2817">
        <f>+AX7</f>
        <v>0</v>
      </c>
      <c r="Y128" s="2818"/>
      <c r="Z128" s="2818"/>
      <c r="AA128" s="2819"/>
      <c r="AB128" s="2699"/>
      <c r="AC128" s="2700"/>
      <c r="AD128" s="2700"/>
      <c r="AE128" s="2701"/>
      <c r="AF128" s="2699"/>
      <c r="AG128" s="2700"/>
      <c r="AH128" s="2700"/>
      <c r="AI128" s="2701"/>
      <c r="AJ128" s="2580">
        <f>ROUNDDOWN(IF(ISERROR(PRODUCT(T129:AQ129)),0,PRODUCT(T129:AQ129)),2)</f>
        <v>0</v>
      </c>
      <c r="AK128" s="2581"/>
      <c r="AL128" s="2581"/>
      <c r="AM128" s="2582"/>
      <c r="AN128" s="2484">
        <f>IF(F128="",0,INT(L128*AJ128))</f>
        <v>0</v>
      </c>
      <c r="AO128" s="2485"/>
      <c r="AP128" s="2485"/>
      <c r="AQ128" s="2486"/>
      <c r="AR128" s="2870">
        <f>+IF(P128=P130,SUM($AK$13:$AZ$13),$I$11)</f>
        <v>0</v>
      </c>
      <c r="AS128" s="2577"/>
      <c r="AT128" s="2577"/>
      <c r="AU128" s="2485" t="s">
        <v>835</v>
      </c>
      <c r="AV128" s="2484">
        <f>INT(AN128*AR128)</f>
        <v>0</v>
      </c>
      <c r="AW128" s="2485"/>
      <c r="AX128" s="2485"/>
      <c r="AY128" s="2485"/>
      <c r="AZ128" s="2486"/>
      <c r="BA128" s="25" t="b">
        <f t="shared" ref="BA128:BA135" ca="1" si="28">BA$127</f>
        <v>0</v>
      </c>
      <c r="BB128" s="1750" t="s">
        <v>1545</v>
      </c>
      <c r="BC128" t="s">
        <v>1546</v>
      </c>
    </row>
    <row r="129" spans="2:55" ht="13.5" customHeight="1">
      <c r="B129" s="2734"/>
      <c r="C129" s="2674"/>
      <c r="D129" s="2675"/>
      <c r="E129" s="2674"/>
      <c r="F129" s="2495"/>
      <c r="G129" s="2496"/>
      <c r="H129" s="2496"/>
      <c r="I129" s="2496"/>
      <c r="J129" s="2496"/>
      <c r="K129" s="2497"/>
      <c r="L129" s="2487"/>
      <c r="M129" s="2488"/>
      <c r="N129" s="2488"/>
      <c r="O129" s="2489"/>
      <c r="P129" s="2851">
        <f>IF(P128="","",VLOOKUP(P128,P130:S131,3,0))</f>
        <v>1530</v>
      </c>
      <c r="Q129" s="2736"/>
      <c r="R129" s="2736"/>
      <c r="S129" s="2852"/>
      <c r="T129" s="2480" t="str">
        <f>IF(T128="","",VLOOKUP(T128,T130:W133,3,0))</f>
        <v/>
      </c>
      <c r="U129" s="2481"/>
      <c r="V129" s="2481"/>
      <c r="W129" s="2482"/>
      <c r="X129" s="2480" t="str">
        <f>+IF(X128&lt;=0,"-",Z131+(Z130-Z131)*(X128-X131)/(X130-X131))</f>
        <v>-</v>
      </c>
      <c r="Y129" s="2481"/>
      <c r="Z129" s="2481"/>
      <c r="AA129" s="2482"/>
      <c r="AB129" s="2480" t="str">
        <f>IF(AB128="","",VLOOKUP(AB128,AB130:AE132,3,0))</f>
        <v/>
      </c>
      <c r="AC129" s="2481"/>
      <c r="AD129" s="2481"/>
      <c r="AE129" s="2482"/>
      <c r="AF129" s="2480" t="str">
        <f>IF(AF128="","",VLOOKUP(AF128,AF130:AI131,3,0))</f>
        <v/>
      </c>
      <c r="AG129" s="2481"/>
      <c r="AH129" s="2481"/>
      <c r="AI129" s="2482"/>
      <c r="AJ129" s="2583"/>
      <c r="AK129" s="2584"/>
      <c r="AL129" s="2584"/>
      <c r="AM129" s="2585"/>
      <c r="AN129" s="2487"/>
      <c r="AO129" s="2488"/>
      <c r="AP129" s="2488"/>
      <c r="AQ129" s="2489"/>
      <c r="AR129" s="2578"/>
      <c r="AS129" s="2579"/>
      <c r="AT129" s="2579"/>
      <c r="AU129" s="2488"/>
      <c r="AV129" s="2487"/>
      <c r="AW129" s="2488"/>
      <c r="AX129" s="2488"/>
      <c r="AY129" s="2488"/>
      <c r="AZ129" s="2489"/>
      <c r="BA129" s="25" t="b">
        <f t="shared" ca="1" si="28"/>
        <v>0</v>
      </c>
      <c r="BC129" t="s">
        <v>1547</v>
      </c>
    </row>
    <row r="130" spans="2:55" ht="13.5" customHeight="1">
      <c r="B130" s="2734"/>
      <c r="C130" s="2674"/>
      <c r="D130" s="2675"/>
      <c r="E130" s="2674"/>
      <c r="F130" s="6"/>
      <c r="G130" s="6"/>
      <c r="H130" s="6"/>
      <c r="I130" s="6"/>
      <c r="J130" s="6"/>
      <c r="K130" s="6"/>
      <c r="L130" s="6"/>
      <c r="M130" s="6"/>
      <c r="N130" s="6"/>
      <c r="O130" s="6"/>
      <c r="P130" s="215" t="s">
        <v>836</v>
      </c>
      <c r="Q130" s="170"/>
      <c r="R130" s="2352">
        <v>31510</v>
      </c>
      <c r="S130" s="1727"/>
      <c r="T130" s="59" t="s">
        <v>837</v>
      </c>
      <c r="U130" s="170"/>
      <c r="V130" s="169">
        <v>1.2</v>
      </c>
      <c r="W130" s="62"/>
      <c r="X130" s="1729" t="str">
        <f>+IF(P128=P130,2,"-")</f>
        <v>-</v>
      </c>
      <c r="Y130" s="170"/>
      <c r="Z130" s="169" t="str">
        <f>+IF(P128=P130,1.2,"-")</f>
        <v>-</v>
      </c>
      <c r="AA130" s="62"/>
      <c r="AB130" s="59" t="s">
        <v>839</v>
      </c>
      <c r="AC130" s="170"/>
      <c r="AD130" s="169">
        <v>1.5</v>
      </c>
      <c r="AE130" s="62"/>
      <c r="AF130" s="59" t="s">
        <v>840</v>
      </c>
      <c r="AG130" s="170"/>
      <c r="AH130" s="169">
        <v>1.3</v>
      </c>
      <c r="AI130" s="62"/>
      <c r="AJ130" s="6"/>
      <c r="AK130" s="6"/>
      <c r="AL130" s="6"/>
      <c r="AM130" s="6"/>
      <c r="AN130" s="6"/>
      <c r="AO130" s="6"/>
      <c r="AP130" s="6"/>
      <c r="AQ130" s="6"/>
      <c r="AR130" s="6"/>
      <c r="AS130" s="6"/>
      <c r="AT130" s="6"/>
      <c r="AU130" s="6"/>
      <c r="AV130" s="6"/>
      <c r="AW130" s="6"/>
      <c r="AX130" s="6"/>
      <c r="AY130" s="6"/>
      <c r="AZ130" s="130"/>
      <c r="BA130" s="25" t="b">
        <f t="shared" ca="1" si="28"/>
        <v>0</v>
      </c>
      <c r="BB130" s="2277"/>
    </row>
    <row r="131" spans="2:55" ht="13.5" customHeight="1">
      <c r="B131" s="2734"/>
      <c r="C131" s="2674"/>
      <c r="D131" s="2675"/>
      <c r="E131" s="2674"/>
      <c r="F131" s="6"/>
      <c r="G131" s="6"/>
      <c r="H131" s="6"/>
      <c r="I131" s="6"/>
      <c r="J131" s="6"/>
      <c r="K131" s="6"/>
      <c r="L131" s="6"/>
      <c r="M131" s="6"/>
      <c r="N131" s="6"/>
      <c r="O131" s="6"/>
      <c r="P131" s="216" t="s">
        <v>841</v>
      </c>
      <c r="Q131" s="192"/>
      <c r="R131" s="2353">
        <v>1530</v>
      </c>
      <c r="S131" s="1728"/>
      <c r="T131" s="179" t="s">
        <v>822</v>
      </c>
      <c r="U131" s="180"/>
      <c r="V131" s="178">
        <v>1</v>
      </c>
      <c r="W131" s="77"/>
      <c r="X131" s="1730" t="str">
        <f>+IF(P128=P130,1,"-")</f>
        <v>-</v>
      </c>
      <c r="Y131" s="192"/>
      <c r="Z131" s="190" t="str">
        <f>+IF(P128=P130,1,"-")</f>
        <v>-</v>
      </c>
      <c r="AA131" s="93"/>
      <c r="AB131" s="179" t="s">
        <v>822</v>
      </c>
      <c r="AC131" s="180"/>
      <c r="AD131" s="178">
        <v>1</v>
      </c>
      <c r="AE131" s="77"/>
      <c r="AF131" s="191" t="s">
        <v>822</v>
      </c>
      <c r="AG131" s="192"/>
      <c r="AH131" s="190">
        <v>1</v>
      </c>
      <c r="AI131" s="93"/>
      <c r="AJ131" s="6"/>
      <c r="AK131" s="6"/>
      <c r="AL131" s="6"/>
      <c r="AM131" s="6"/>
      <c r="AN131" s="6"/>
      <c r="AO131" s="6"/>
      <c r="AP131" s="6"/>
      <c r="AQ131" s="6"/>
      <c r="AR131" s="6"/>
      <c r="AS131" s="6"/>
      <c r="AT131" s="6"/>
      <c r="AU131" s="6"/>
      <c r="AV131" s="6"/>
      <c r="AW131" s="6"/>
      <c r="AX131" s="6"/>
      <c r="AY131" s="6"/>
      <c r="AZ131" s="130"/>
      <c r="BA131" s="25" t="b">
        <f t="shared" ca="1" si="28"/>
        <v>0</v>
      </c>
      <c r="BB131" s="2277"/>
    </row>
    <row r="132" spans="2:55" ht="13.5" customHeight="1">
      <c r="B132" s="2734"/>
      <c r="C132" s="2674"/>
      <c r="D132" s="2675"/>
      <c r="E132" s="2674"/>
      <c r="F132" s="6"/>
      <c r="G132" s="6"/>
      <c r="H132" s="6"/>
      <c r="I132" s="6"/>
      <c r="J132" s="6"/>
      <c r="K132" s="6"/>
      <c r="L132" s="6"/>
      <c r="M132" s="6"/>
      <c r="N132" s="6"/>
      <c r="O132" s="6"/>
      <c r="P132" s="6"/>
      <c r="Q132" s="6"/>
      <c r="R132" s="6"/>
      <c r="S132" s="6"/>
      <c r="T132" s="179" t="s">
        <v>843</v>
      </c>
      <c r="U132" s="180"/>
      <c r="V132" s="178">
        <v>0.8</v>
      </c>
      <c r="W132" s="77"/>
      <c r="X132" s="1725"/>
      <c r="Y132" s="196"/>
      <c r="Z132" s="196"/>
      <c r="AA132" s="1726"/>
      <c r="AB132" s="191" t="s">
        <v>844</v>
      </c>
      <c r="AC132" s="192"/>
      <c r="AD132" s="190">
        <v>0.85</v>
      </c>
      <c r="AE132" s="93"/>
      <c r="AF132" s="6"/>
      <c r="AG132" s="6"/>
      <c r="AH132" s="6"/>
      <c r="AI132" s="6"/>
      <c r="AJ132" s="6"/>
      <c r="AK132" s="6"/>
      <c r="AL132" s="6"/>
      <c r="AM132" s="6"/>
      <c r="AN132" s="6"/>
      <c r="AO132" s="6"/>
      <c r="AP132" s="6"/>
      <c r="AQ132" s="6"/>
      <c r="AR132" s="6"/>
      <c r="AS132" s="6"/>
      <c r="AT132" s="6"/>
      <c r="AU132" s="6"/>
      <c r="AV132" s="6"/>
      <c r="AW132" s="6"/>
      <c r="AX132" s="6"/>
      <c r="AY132" s="6"/>
      <c r="AZ132" s="130"/>
      <c r="BA132" s="25" t="b">
        <f t="shared" ca="1" si="28"/>
        <v>0</v>
      </c>
      <c r="BB132" s="2277"/>
    </row>
    <row r="133" spans="2:55" ht="13.5" customHeight="1">
      <c r="B133" s="2734"/>
      <c r="C133" s="2674"/>
      <c r="D133" s="2675"/>
      <c r="E133" s="2674"/>
      <c r="F133" s="6"/>
      <c r="G133" s="1368" t="s">
        <v>1161</v>
      </c>
      <c r="H133" s="37"/>
      <c r="I133" s="37"/>
      <c r="J133" s="39"/>
      <c r="K133" s="218" t="str">
        <f>+AR127</f>
        <v>建床面積</v>
      </c>
      <c r="L133" s="32"/>
      <c r="M133" s="32"/>
      <c r="N133" s="33"/>
      <c r="O133" s="1365" t="s">
        <v>1160</v>
      </c>
      <c r="P133" s="1366"/>
      <c r="Q133" s="1366"/>
      <c r="R133" s="1367"/>
      <c r="S133" s="6" t="s">
        <v>847</v>
      </c>
      <c r="T133" s="216" t="s">
        <v>848</v>
      </c>
      <c r="U133" s="192"/>
      <c r="V133" s="190" t="e">
        <f ca="1">O134/IF(P128=P130,5,1)</f>
        <v>#DIV/0!</v>
      </c>
      <c r="W133" s="93"/>
      <c r="X133" s="1723"/>
      <c r="Y133" s="1724"/>
      <c r="Z133" s="1724"/>
      <c r="AA133" s="1724"/>
      <c r="AB133" s="6"/>
      <c r="AC133" s="219"/>
      <c r="AD133" s="219"/>
      <c r="AE133" s="219"/>
      <c r="AF133" s="6"/>
      <c r="AG133" s="6"/>
      <c r="AH133" s="6"/>
      <c r="AI133" s="6"/>
      <c r="AJ133" s="6"/>
      <c r="AK133" s="6"/>
      <c r="AL133" s="6"/>
      <c r="AM133" s="6"/>
      <c r="AN133" s="6"/>
      <c r="AO133" s="6"/>
      <c r="AP133" s="6"/>
      <c r="AQ133" s="6"/>
      <c r="AR133" s="6"/>
      <c r="AS133" s="6"/>
      <c r="AT133" s="6"/>
      <c r="AU133" s="6"/>
      <c r="AV133" s="6"/>
      <c r="AW133" s="6"/>
      <c r="AX133" s="6"/>
      <c r="AY133" s="6"/>
      <c r="AZ133" s="130"/>
      <c r="BA133" s="25" t="b">
        <f ca="1">AND(BA$127,G134&lt;&gt;0)</f>
        <v>0</v>
      </c>
      <c r="BB133" s="2277" t="s">
        <v>2335</v>
      </c>
    </row>
    <row r="134" spans="2:55" ht="13.5" customHeight="1">
      <c r="B134" s="2734"/>
      <c r="C134" s="2674"/>
      <c r="D134" s="2675"/>
      <c r="E134" s="2674"/>
      <c r="F134" s="6"/>
      <c r="G134" s="2490">
        <f ca="1">SUMIF(見積拾!C$7:D$33,根伐土量名称,見積拾!T$7:T$33)</f>
        <v>0</v>
      </c>
      <c r="H134" s="2491"/>
      <c r="I134" s="2491"/>
      <c r="J134" s="220" t="s">
        <v>1162</v>
      </c>
      <c r="K134" s="2815">
        <f>+AR128</f>
        <v>0</v>
      </c>
      <c r="L134" s="2837"/>
      <c r="M134" s="2837"/>
      <c r="N134" s="220" t="s">
        <v>1159</v>
      </c>
      <c r="O134" s="2815" t="e">
        <f ca="1">ROUNDDOWN(G134/K134,2)</f>
        <v>#DIV/0!</v>
      </c>
      <c r="P134" s="2816"/>
      <c r="Q134" s="2816"/>
      <c r="R134" s="220" t="s">
        <v>60</v>
      </c>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130"/>
      <c r="BA134" s="25" t="b">
        <f ca="1">+BA133</f>
        <v>0</v>
      </c>
      <c r="BB134" s="2277"/>
    </row>
    <row r="135" spans="2:55" ht="13.5" customHeight="1">
      <c r="B135" s="2734"/>
      <c r="C135" s="2674"/>
      <c r="D135" s="2676"/>
      <c r="E135" s="2677"/>
      <c r="F135" s="28"/>
      <c r="G135" s="28"/>
      <c r="H135" s="28"/>
      <c r="I135" s="28"/>
      <c r="J135" s="28"/>
      <c r="K135" s="28"/>
      <c r="L135" s="28"/>
      <c r="M135" s="28"/>
      <c r="N135" s="28"/>
      <c r="O135" s="28"/>
      <c r="P135" s="28"/>
      <c r="Q135" s="28"/>
      <c r="R135" s="28"/>
      <c r="S135" s="28"/>
      <c r="T135" s="28"/>
      <c r="U135" s="28"/>
      <c r="V135" s="28"/>
      <c r="W135" s="28"/>
      <c r="X135" s="28"/>
      <c r="Y135" s="28"/>
      <c r="Z135" s="28"/>
      <c r="AA135" s="28"/>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130"/>
      <c r="BA135" s="25" t="b">
        <f t="shared" ca="1" si="28"/>
        <v>0</v>
      </c>
      <c r="BB135" s="2277"/>
    </row>
    <row r="136" spans="2:55" ht="13.5" customHeight="1">
      <c r="B136" s="2734"/>
      <c r="C136" s="2674"/>
      <c r="D136" s="2671"/>
      <c r="E136" s="2824"/>
      <c r="F136" s="32" t="s">
        <v>825</v>
      </c>
      <c r="G136" s="32"/>
      <c r="H136" s="32"/>
      <c r="I136" s="32"/>
      <c r="J136" s="32"/>
      <c r="K136" s="32"/>
      <c r="L136" s="34" t="s">
        <v>760</v>
      </c>
      <c r="M136" s="32"/>
      <c r="N136" s="32"/>
      <c r="O136" s="33"/>
      <c r="P136" s="1703"/>
      <c r="Q136" s="1704"/>
      <c r="R136" s="1704"/>
      <c r="S136" s="1696"/>
      <c r="T136" s="223" t="s">
        <v>849</v>
      </c>
      <c r="U136" s="224"/>
      <c r="V136" s="224"/>
      <c r="W136" s="225"/>
      <c r="X136" s="218" t="s">
        <v>850</v>
      </c>
      <c r="Y136" s="226"/>
      <c r="Z136" s="226"/>
      <c r="AA136" s="227"/>
      <c r="AB136" s="218" t="s">
        <v>851</v>
      </c>
      <c r="AC136" s="226"/>
      <c r="AD136" s="226"/>
      <c r="AE136" s="227"/>
      <c r="AF136" s="218" t="s">
        <v>852</v>
      </c>
      <c r="AG136" s="226"/>
      <c r="AH136" s="226"/>
      <c r="AI136" s="227"/>
      <c r="AJ136" s="35" t="s">
        <v>765</v>
      </c>
      <c r="AK136" s="35"/>
      <c r="AL136" s="35"/>
      <c r="AM136" s="35"/>
      <c r="AN136" s="35" t="s">
        <v>831</v>
      </c>
      <c r="AO136" s="35"/>
      <c r="AP136" s="35"/>
      <c r="AQ136" s="35"/>
      <c r="AR136" s="35" t="s">
        <v>736</v>
      </c>
      <c r="AS136" s="34"/>
      <c r="AT136" s="34"/>
      <c r="AU136" s="32"/>
      <c r="AV136" s="228" t="s">
        <v>853</v>
      </c>
      <c r="AW136" s="229"/>
      <c r="AX136" s="229"/>
      <c r="AY136" s="230"/>
      <c r="AZ136" s="231"/>
      <c r="BA136" s="25" t="b">
        <f ca="1">OR(COUNTA(T137:AE137)&lt;&gt;0,G141&lt;&gt;0)</f>
        <v>0</v>
      </c>
      <c r="BB136" s="2277" t="s">
        <v>1551</v>
      </c>
    </row>
    <row r="137" spans="2:55" ht="13.5" customHeight="1">
      <c r="B137" s="2734"/>
      <c r="C137" s="2674"/>
      <c r="D137" s="2673" t="s">
        <v>1610</v>
      </c>
      <c r="E137" s="2674"/>
      <c r="F137" s="2492" t="s">
        <v>1375</v>
      </c>
      <c r="G137" s="2493"/>
      <c r="H137" s="2493"/>
      <c r="I137" s="2493"/>
      <c r="J137" s="2493"/>
      <c r="K137" s="2494"/>
      <c r="L137" s="2484">
        <v>14300</v>
      </c>
      <c r="M137" s="2485"/>
      <c r="N137" s="2485"/>
      <c r="O137" s="2486"/>
      <c r="P137" s="3199"/>
      <c r="Q137" s="3200"/>
      <c r="R137" s="3200"/>
      <c r="S137" s="3201"/>
      <c r="T137" s="2699"/>
      <c r="U137" s="2700"/>
      <c r="V137" s="2700"/>
      <c r="W137" s="2701"/>
      <c r="X137" s="2699"/>
      <c r="Y137" s="2700"/>
      <c r="Z137" s="2700"/>
      <c r="AA137" s="2700"/>
      <c r="AB137" s="2699"/>
      <c r="AC137" s="2700"/>
      <c r="AD137" s="2700"/>
      <c r="AE137" s="2701"/>
      <c r="AF137" s="232"/>
      <c r="AG137" s="233"/>
      <c r="AH137" s="233"/>
      <c r="AI137" s="234"/>
      <c r="AJ137" s="2580">
        <f>ROUNDDOWN(IF(ISERROR(PRODUCT(T138:AE138)),0,PRODUCT(T138:AE138)),2)</f>
        <v>0</v>
      </c>
      <c r="AK137" s="2581"/>
      <c r="AL137" s="2581"/>
      <c r="AM137" s="2582"/>
      <c r="AN137" s="2484">
        <f>IF(F137="",0,INT(L137*AJ137))</f>
        <v>0</v>
      </c>
      <c r="AO137" s="2485"/>
      <c r="AP137" s="2485"/>
      <c r="AQ137" s="2486"/>
      <c r="AR137" s="2870">
        <f>$I$11</f>
        <v>0</v>
      </c>
      <c r="AS137" s="2577"/>
      <c r="AT137" s="2577"/>
      <c r="AU137" s="2485" t="s">
        <v>835</v>
      </c>
      <c r="AV137" s="2484">
        <f>INT(AN137*AR137)</f>
        <v>0</v>
      </c>
      <c r="AW137" s="2485"/>
      <c r="AX137" s="2485"/>
      <c r="AY137" s="2485"/>
      <c r="AZ137" s="2486"/>
      <c r="BA137" s="25" t="b">
        <f t="shared" ref="BA137:BA143" ca="1" si="29">BA$136</f>
        <v>0</v>
      </c>
      <c r="BB137" s="2277" t="s">
        <v>1552</v>
      </c>
    </row>
    <row r="138" spans="2:55" ht="13.5" customHeight="1">
      <c r="B138" s="2734"/>
      <c r="C138" s="2674"/>
      <c r="D138" s="2675"/>
      <c r="E138" s="2674"/>
      <c r="F138" s="2495"/>
      <c r="G138" s="2496"/>
      <c r="H138" s="2496"/>
      <c r="I138" s="2496"/>
      <c r="J138" s="2496"/>
      <c r="K138" s="2497"/>
      <c r="L138" s="2487"/>
      <c r="M138" s="2488"/>
      <c r="N138" s="2488"/>
      <c r="O138" s="2489"/>
      <c r="P138" s="2552"/>
      <c r="Q138" s="2553"/>
      <c r="R138" s="2553"/>
      <c r="S138" s="2554"/>
      <c r="T138" s="2480" t="str">
        <f>IF(T137="","",VLOOKUP(T137,T139:W142,3,0))</f>
        <v/>
      </c>
      <c r="U138" s="2481"/>
      <c r="V138" s="2481"/>
      <c r="W138" s="2482"/>
      <c r="X138" s="2480" t="str">
        <f>IF(X137="","",VLOOKUP(X137,X139:AA141,3,0))</f>
        <v/>
      </c>
      <c r="Y138" s="2481"/>
      <c r="Z138" s="2481"/>
      <c r="AA138" s="2481"/>
      <c r="AB138" s="2480" t="str">
        <f>IF(AB137="","",VLOOKUP(AB137,AB139:AE140,3,0))</f>
        <v/>
      </c>
      <c r="AC138" s="2481"/>
      <c r="AD138" s="2481"/>
      <c r="AE138" s="2482"/>
      <c r="AF138" s="235"/>
      <c r="AG138" s="236"/>
      <c r="AH138" s="236"/>
      <c r="AI138" s="237"/>
      <c r="AJ138" s="2583"/>
      <c r="AK138" s="2584"/>
      <c r="AL138" s="2584"/>
      <c r="AM138" s="2585"/>
      <c r="AN138" s="2487"/>
      <c r="AO138" s="2488"/>
      <c r="AP138" s="2488"/>
      <c r="AQ138" s="2489"/>
      <c r="AR138" s="2578"/>
      <c r="AS138" s="2579"/>
      <c r="AT138" s="2579"/>
      <c r="AU138" s="2488"/>
      <c r="AV138" s="2487"/>
      <c r="AW138" s="2488"/>
      <c r="AX138" s="2488"/>
      <c r="AY138" s="2488"/>
      <c r="AZ138" s="2489"/>
      <c r="BA138" s="25" t="b">
        <f t="shared" ca="1" si="29"/>
        <v>0</v>
      </c>
      <c r="BB138" s="2277" t="s">
        <v>1553</v>
      </c>
    </row>
    <row r="139" spans="2:55" ht="13.5" customHeight="1">
      <c r="B139" s="2734"/>
      <c r="C139" s="2674"/>
      <c r="D139" s="2675"/>
      <c r="E139" s="2674"/>
      <c r="F139" s="6"/>
      <c r="G139" s="6"/>
      <c r="H139" s="6"/>
      <c r="I139" s="6"/>
      <c r="J139" s="6"/>
      <c r="K139" s="6"/>
      <c r="L139" s="6"/>
      <c r="M139" s="6"/>
      <c r="N139" s="6"/>
      <c r="O139" s="6"/>
      <c r="P139" s="1369"/>
      <c r="Q139" s="1370"/>
      <c r="R139" s="1371"/>
      <c r="S139" s="1372"/>
      <c r="T139" s="174" t="s">
        <v>854</v>
      </c>
      <c r="U139" s="175"/>
      <c r="V139" s="169">
        <v>1.2</v>
      </c>
      <c r="W139" s="238"/>
      <c r="X139" s="167" t="s">
        <v>855</v>
      </c>
      <c r="Y139" s="168"/>
      <c r="Z139" s="169">
        <v>1.2</v>
      </c>
      <c r="AA139" s="238"/>
      <c r="AB139" s="239" t="s">
        <v>856</v>
      </c>
      <c r="AC139" s="168"/>
      <c r="AD139" s="169">
        <v>1.25</v>
      </c>
      <c r="AE139" s="62"/>
      <c r="AF139" s="6"/>
      <c r="AG139" s="6"/>
      <c r="AH139" s="6"/>
      <c r="AI139" s="6"/>
      <c r="AJ139" s="6"/>
      <c r="AK139" s="6"/>
      <c r="AL139" s="6"/>
      <c r="AM139" s="6"/>
      <c r="AN139" s="6"/>
      <c r="AO139" s="6"/>
      <c r="AP139" s="6"/>
      <c r="AQ139" s="6"/>
      <c r="AR139" s="6"/>
      <c r="AS139" s="6"/>
      <c r="AT139" s="6"/>
      <c r="AU139" s="6"/>
      <c r="AV139" s="6"/>
      <c r="AW139" s="6"/>
      <c r="AX139" s="6"/>
      <c r="AY139" s="6"/>
      <c r="AZ139" s="130"/>
      <c r="BA139" s="25" t="b">
        <f t="shared" ca="1" si="29"/>
        <v>0</v>
      </c>
      <c r="BB139" s="2277" t="s">
        <v>1548</v>
      </c>
    </row>
    <row r="140" spans="2:55" ht="13.5" customHeight="1">
      <c r="B140" s="2734"/>
      <c r="C140" s="2674"/>
      <c r="D140" s="2675"/>
      <c r="E140" s="2674"/>
      <c r="F140" s="6"/>
      <c r="G140" s="217" t="s">
        <v>858</v>
      </c>
      <c r="H140" s="37"/>
      <c r="I140" s="37"/>
      <c r="J140" s="39"/>
      <c r="K140" s="218" t="s">
        <v>846</v>
      </c>
      <c r="L140" s="32"/>
      <c r="M140" s="32"/>
      <c r="N140" s="33"/>
      <c r="O140" s="1365" t="s">
        <v>1163</v>
      </c>
      <c r="P140" s="1373"/>
      <c r="Q140" s="1373"/>
      <c r="R140" s="1374"/>
      <c r="S140" s="1375"/>
      <c r="T140" s="240" t="s">
        <v>61</v>
      </c>
      <c r="U140" s="186"/>
      <c r="V140" s="178">
        <v>1</v>
      </c>
      <c r="W140" s="158"/>
      <c r="X140" s="176" t="s">
        <v>822</v>
      </c>
      <c r="Y140" s="177"/>
      <c r="Z140" s="178">
        <v>1</v>
      </c>
      <c r="AA140" s="158"/>
      <c r="AB140" s="3001" t="s">
        <v>1465</v>
      </c>
      <c r="AC140" s="3002"/>
      <c r="AD140" s="190">
        <v>1</v>
      </c>
      <c r="AE140" s="93"/>
      <c r="AF140" s="6"/>
      <c r="AG140" s="6"/>
      <c r="AH140" s="6"/>
      <c r="AI140" s="6"/>
      <c r="AJ140" s="6"/>
      <c r="AK140" s="6"/>
      <c r="AL140" s="6"/>
      <c r="AM140" s="6"/>
      <c r="AN140" s="6"/>
      <c r="AO140" s="6"/>
      <c r="AP140" s="6"/>
      <c r="AQ140" s="6"/>
      <c r="AR140" s="6"/>
      <c r="AS140" s="6"/>
      <c r="AT140" s="6"/>
      <c r="AU140" s="6"/>
      <c r="AV140" s="6"/>
      <c r="AW140" s="6"/>
      <c r="AX140" s="6"/>
      <c r="AY140" s="6"/>
      <c r="AZ140" s="130"/>
      <c r="BA140" s="25" t="b">
        <f t="shared" ca="1" si="29"/>
        <v>0</v>
      </c>
      <c r="BB140" s="2277" t="s">
        <v>1539</v>
      </c>
    </row>
    <row r="141" spans="2:55" ht="13.5" customHeight="1">
      <c r="B141" s="2734"/>
      <c r="C141" s="2674"/>
      <c r="D141" s="2675"/>
      <c r="E141" s="2674"/>
      <c r="F141" s="6"/>
      <c r="G141" s="2490">
        <f ca="1">基礎・屋根・外壁!AF6+SUMIF(見積拾!C$7:D$33,基礎延長名称,見積拾!T$7:T$33)</f>
        <v>0</v>
      </c>
      <c r="H141" s="2491"/>
      <c r="I141" s="2491"/>
      <c r="J141" s="220" t="s">
        <v>859</v>
      </c>
      <c r="K141" s="2815">
        <f>I$11</f>
        <v>0</v>
      </c>
      <c r="L141" s="2837"/>
      <c r="M141" s="2837"/>
      <c r="N141" s="220" t="s">
        <v>1159</v>
      </c>
      <c r="O141" s="2815" t="e">
        <f ca="1">ROUNDDOWN(G141/K141,2)</f>
        <v>#DIV/0!</v>
      </c>
      <c r="P141" s="2816"/>
      <c r="Q141" s="2816"/>
      <c r="R141" s="220" t="s">
        <v>860</v>
      </c>
      <c r="S141" s="6"/>
      <c r="T141" s="240" t="s">
        <v>62</v>
      </c>
      <c r="U141" s="186"/>
      <c r="V141" s="178">
        <v>0.8</v>
      </c>
      <c r="W141" s="158"/>
      <c r="X141" s="188" t="s">
        <v>857</v>
      </c>
      <c r="Y141" s="189"/>
      <c r="Z141" s="190">
        <v>0.8</v>
      </c>
      <c r="AA141" s="163"/>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130"/>
      <c r="BA141" s="25" t="b">
        <f t="shared" ca="1" si="29"/>
        <v>0</v>
      </c>
      <c r="BB141" s="2277"/>
    </row>
    <row r="142" spans="2:55" ht="13.5" customHeight="1">
      <c r="B142" s="2734"/>
      <c r="C142" s="2674"/>
      <c r="D142" s="2675"/>
      <c r="E142" s="2674"/>
      <c r="F142" s="6"/>
      <c r="S142" s="6"/>
      <c r="T142" s="216" t="s">
        <v>848</v>
      </c>
      <c r="U142" s="193"/>
      <c r="V142" s="190" t="e">
        <f ca="1">O141</f>
        <v>#DIV/0!</v>
      </c>
      <c r="W142" s="163"/>
      <c r="X142" s="6"/>
      <c r="Y142" s="6"/>
      <c r="Z142" s="6"/>
      <c r="AA142" s="6"/>
      <c r="AB142" s="6"/>
      <c r="AC142" s="202"/>
      <c r="AD142" s="4"/>
      <c r="AE142" s="4"/>
      <c r="AF142" s="4"/>
      <c r="AG142" s="4"/>
      <c r="AH142" s="4"/>
      <c r="AI142" s="4"/>
      <c r="AJ142" s="4"/>
      <c r="AK142" s="4"/>
      <c r="AL142" s="4"/>
      <c r="AM142" s="4"/>
      <c r="AN142" s="4"/>
      <c r="AO142" s="4"/>
      <c r="AP142" s="6"/>
      <c r="AQ142" s="6"/>
      <c r="AR142" s="6"/>
      <c r="AS142" s="6"/>
      <c r="AT142" s="6"/>
      <c r="AU142" s="6"/>
      <c r="AV142" s="6"/>
      <c r="AW142" s="6"/>
      <c r="AX142" s="6"/>
      <c r="AY142" s="6"/>
      <c r="AZ142" s="130"/>
      <c r="BA142" s="25" t="b">
        <f t="shared" ca="1" si="29"/>
        <v>0</v>
      </c>
      <c r="BB142" s="2277" t="s">
        <v>2336</v>
      </c>
    </row>
    <row r="143" spans="2:55" ht="13.5" customHeight="1">
      <c r="B143" s="2735"/>
      <c r="C143" s="2677"/>
      <c r="D143" s="2676"/>
      <c r="E143" s="2677"/>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6"/>
      <c r="AG143" s="6"/>
      <c r="AH143" s="6"/>
      <c r="AI143" s="6"/>
      <c r="AJ143" s="6"/>
      <c r="AK143" s="6"/>
      <c r="AL143" s="6"/>
      <c r="AM143" s="6"/>
      <c r="AN143" s="6"/>
      <c r="AO143" s="6"/>
      <c r="AP143" s="6"/>
      <c r="AQ143" s="6"/>
      <c r="AR143" s="6"/>
      <c r="AS143" s="6"/>
      <c r="AT143" s="6"/>
      <c r="AU143" s="6"/>
      <c r="AV143" s="6"/>
      <c r="AW143" s="6"/>
      <c r="AX143" s="6"/>
      <c r="AY143" s="6"/>
      <c r="AZ143" s="130"/>
      <c r="BA143" s="25" t="b">
        <f t="shared" ca="1" si="29"/>
        <v>0</v>
      </c>
      <c r="BB143" s="2277"/>
    </row>
    <row r="144" spans="2:55" ht="13.5" customHeight="1">
      <c r="B144" s="2734"/>
      <c r="C144" s="2674"/>
      <c r="D144" s="2671"/>
      <c r="E144" s="2824"/>
      <c r="F144" s="32" t="s">
        <v>825</v>
      </c>
      <c r="G144" s="32"/>
      <c r="H144" s="32"/>
      <c r="I144" s="32"/>
      <c r="J144" s="32"/>
      <c r="K144" s="32"/>
      <c r="L144" s="34" t="s">
        <v>760</v>
      </c>
      <c r="M144" s="32"/>
      <c r="N144" s="32"/>
      <c r="O144" s="33"/>
      <c r="P144" s="1699"/>
      <c r="Q144" s="1700"/>
      <c r="R144" s="1700"/>
      <c r="S144" s="1700"/>
      <c r="T144" s="1701"/>
      <c r="U144" s="1700"/>
      <c r="V144" s="1700"/>
      <c r="W144" s="1700"/>
      <c r="X144" s="1701"/>
      <c r="Y144" s="1700"/>
      <c r="Z144" s="1700"/>
      <c r="AA144" s="1700"/>
      <c r="AB144" s="1701"/>
      <c r="AC144" s="1700"/>
      <c r="AD144" s="1700"/>
      <c r="AE144" s="1700"/>
      <c r="AF144" s="1701"/>
      <c r="AG144" s="1700"/>
      <c r="AH144" s="1700"/>
      <c r="AI144" s="1702"/>
      <c r="AJ144" s="35" t="s">
        <v>765</v>
      </c>
      <c r="AK144" s="35"/>
      <c r="AL144" s="35"/>
      <c r="AM144" s="35"/>
      <c r="AN144" s="35" t="s">
        <v>831</v>
      </c>
      <c r="AO144" s="35"/>
      <c r="AP144" s="35"/>
      <c r="AQ144" s="35"/>
      <c r="AR144" s="35" t="s">
        <v>1169</v>
      </c>
      <c r="AS144" s="34"/>
      <c r="AT144" s="34"/>
      <c r="AU144" s="32"/>
      <c r="AV144" s="1376" t="s">
        <v>1167</v>
      </c>
      <c r="AW144" s="152"/>
      <c r="AX144" s="152"/>
      <c r="AY144" s="241"/>
      <c r="AZ144" s="153"/>
      <c r="BA144" s="25" t="b">
        <f>AR145&lt;&gt;0</f>
        <v>0</v>
      </c>
      <c r="BB144" s="6" t="s">
        <v>1522</v>
      </c>
    </row>
    <row r="145" spans="1:54" ht="13.5" customHeight="1">
      <c r="B145" s="2734"/>
      <c r="C145" s="2674"/>
      <c r="D145" s="2681" t="s">
        <v>1609</v>
      </c>
      <c r="E145" s="2682"/>
      <c r="F145" s="2492" t="s">
        <v>1170</v>
      </c>
      <c r="G145" s="2493"/>
      <c r="H145" s="2493"/>
      <c r="I145" s="2493"/>
      <c r="J145" s="2493"/>
      <c r="K145" s="2494"/>
      <c r="L145" s="2776">
        <v>810</v>
      </c>
      <c r="M145" s="2577"/>
      <c r="N145" s="2577"/>
      <c r="O145" s="2777"/>
      <c r="P145" s="232"/>
      <c r="Q145" s="233"/>
      <c r="R145" s="233"/>
      <c r="S145" s="233"/>
      <c r="T145" s="233"/>
      <c r="U145" s="233"/>
      <c r="V145" s="233"/>
      <c r="W145" s="233"/>
      <c r="X145" s="233"/>
      <c r="Y145" s="233"/>
      <c r="Z145" s="233"/>
      <c r="AA145" s="233"/>
      <c r="AB145" s="233"/>
      <c r="AC145" s="233"/>
      <c r="AD145" s="233"/>
      <c r="AE145" s="233"/>
      <c r="AF145" s="233"/>
      <c r="AG145" s="233"/>
      <c r="AH145" s="233"/>
      <c r="AI145" s="234"/>
      <c r="AJ145" s="2580">
        <v>1</v>
      </c>
      <c r="AK145" s="2581"/>
      <c r="AL145" s="2581"/>
      <c r="AM145" s="2582"/>
      <c r="AN145" s="2484">
        <f>IF(F145="",0,INT(L145*AJ145))</f>
        <v>810</v>
      </c>
      <c r="AO145" s="2485"/>
      <c r="AP145" s="2485"/>
      <c r="AQ145" s="2486"/>
      <c r="AR145" s="2523">
        <f>+基礎・屋根・外壁!AF13</f>
        <v>0</v>
      </c>
      <c r="AS145" s="2524"/>
      <c r="AT145" s="2524"/>
      <c r="AU145" s="2485" t="s">
        <v>1168</v>
      </c>
      <c r="AV145" s="2484">
        <f>INT(AN145*AR145)</f>
        <v>0</v>
      </c>
      <c r="AW145" s="2485"/>
      <c r="AX145" s="2485"/>
      <c r="AY145" s="2485"/>
      <c r="AZ145" s="2486"/>
      <c r="BA145" s="25" t="b">
        <f>BA$144</f>
        <v>0</v>
      </c>
      <c r="BB145" s="6" t="s">
        <v>1982</v>
      </c>
    </row>
    <row r="146" spans="1:54" ht="13.5" customHeight="1">
      <c r="B146" s="2734"/>
      <c r="C146" s="2674"/>
      <c r="D146" s="2681"/>
      <c r="E146" s="2682"/>
      <c r="F146" s="2495"/>
      <c r="G146" s="2496"/>
      <c r="H146" s="2496"/>
      <c r="I146" s="2496"/>
      <c r="J146" s="2496"/>
      <c r="K146" s="2497"/>
      <c r="L146" s="2578"/>
      <c r="M146" s="2579"/>
      <c r="N146" s="2579"/>
      <c r="O146" s="2836"/>
      <c r="P146" s="235"/>
      <c r="Q146" s="236"/>
      <c r="R146" s="236"/>
      <c r="S146" s="236"/>
      <c r="T146" s="236"/>
      <c r="U146" s="236"/>
      <c r="V146" s="236"/>
      <c r="W146" s="236"/>
      <c r="X146" s="236"/>
      <c r="Y146" s="236"/>
      <c r="Z146" s="236"/>
      <c r="AA146" s="236"/>
      <c r="AB146" s="236"/>
      <c r="AC146" s="236"/>
      <c r="AD146" s="236"/>
      <c r="AE146" s="236"/>
      <c r="AF146" s="236"/>
      <c r="AG146" s="236"/>
      <c r="AH146" s="236"/>
      <c r="AI146" s="237"/>
      <c r="AJ146" s="2583"/>
      <c r="AK146" s="2584"/>
      <c r="AL146" s="2584"/>
      <c r="AM146" s="2585"/>
      <c r="AN146" s="2487"/>
      <c r="AO146" s="2488"/>
      <c r="AP146" s="2488"/>
      <c r="AQ146" s="2489"/>
      <c r="AR146" s="2525"/>
      <c r="AS146" s="2526"/>
      <c r="AT146" s="2526"/>
      <c r="AU146" s="2488"/>
      <c r="AV146" s="2487"/>
      <c r="AW146" s="2488"/>
      <c r="AX146" s="2488"/>
      <c r="AY146" s="2488"/>
      <c r="AZ146" s="2489"/>
      <c r="BA146" s="25" t="b">
        <f>BA$144</f>
        <v>0</v>
      </c>
      <c r="BB146" s="6" t="s">
        <v>1376</v>
      </c>
    </row>
    <row r="147" spans="1:54" ht="13.5" customHeight="1">
      <c r="B147" s="2734"/>
      <c r="C147" s="2674"/>
      <c r="D147" s="2671"/>
      <c r="E147" s="2824"/>
      <c r="F147" s="32" t="s">
        <v>825</v>
      </c>
      <c r="G147" s="32"/>
      <c r="H147" s="32"/>
      <c r="I147" s="32"/>
      <c r="J147" s="32"/>
      <c r="K147" s="32"/>
      <c r="L147" s="1502" t="s">
        <v>760</v>
      </c>
      <c r="M147" s="2356"/>
      <c r="N147" s="2356"/>
      <c r="O147" s="2357"/>
      <c r="P147" s="218" t="s">
        <v>861</v>
      </c>
      <c r="Q147" s="226"/>
      <c r="R147" s="226"/>
      <c r="S147" s="227"/>
      <c r="T147" s="1699"/>
      <c r="U147" s="1700"/>
      <c r="V147" s="1700"/>
      <c r="W147" s="1700"/>
      <c r="X147" s="1701"/>
      <c r="Y147" s="1700"/>
      <c r="Z147" s="1700"/>
      <c r="AA147" s="1700"/>
      <c r="AB147" s="1701"/>
      <c r="AC147" s="1700"/>
      <c r="AD147" s="1700"/>
      <c r="AE147" s="1700"/>
      <c r="AF147" s="1701"/>
      <c r="AG147" s="1700"/>
      <c r="AH147" s="1700"/>
      <c r="AI147" s="1702"/>
      <c r="AJ147" s="35" t="s">
        <v>765</v>
      </c>
      <c r="AK147" s="35"/>
      <c r="AL147" s="35"/>
      <c r="AM147" s="35"/>
      <c r="AN147" s="35" t="s">
        <v>831</v>
      </c>
      <c r="AO147" s="35"/>
      <c r="AP147" s="35"/>
      <c r="AQ147" s="35"/>
      <c r="AR147" s="35" t="s">
        <v>862</v>
      </c>
      <c r="AS147" s="34"/>
      <c r="AT147" s="34"/>
      <c r="AU147" s="32"/>
      <c r="AV147" s="151" t="s">
        <v>863</v>
      </c>
      <c r="AW147" s="152"/>
      <c r="AX147" s="152"/>
      <c r="AY147" s="241"/>
      <c r="AZ147" s="153"/>
      <c r="BA147" s="25" t="b">
        <f ca="1">OR(COUNTA(P148)&lt;&gt;0,AR148&lt;&gt;0)</f>
        <v>0</v>
      </c>
    </row>
    <row r="148" spans="1:54" ht="13.5" customHeight="1">
      <c r="B148" s="2734"/>
      <c r="C148" s="2674"/>
      <c r="D148" s="2681" t="s">
        <v>1611</v>
      </c>
      <c r="E148" s="2682"/>
      <c r="F148" s="2492" t="s">
        <v>1164</v>
      </c>
      <c r="G148" s="2493"/>
      <c r="H148" s="2493"/>
      <c r="I148" s="2493"/>
      <c r="J148" s="2493"/>
      <c r="K148" s="2494"/>
      <c r="L148" s="2776">
        <v>8270</v>
      </c>
      <c r="M148" s="2577"/>
      <c r="N148" s="2577"/>
      <c r="O148" s="2777"/>
      <c r="P148" s="2699"/>
      <c r="Q148" s="2700"/>
      <c r="R148" s="2700"/>
      <c r="S148" s="2701"/>
      <c r="T148" s="232"/>
      <c r="U148" s="233"/>
      <c r="V148" s="233"/>
      <c r="W148" s="233"/>
      <c r="X148" s="233"/>
      <c r="Y148" s="233"/>
      <c r="Z148" s="233"/>
      <c r="AA148" s="233"/>
      <c r="AB148" s="233"/>
      <c r="AC148" s="233"/>
      <c r="AD148" s="233"/>
      <c r="AE148" s="233"/>
      <c r="AF148" s="233"/>
      <c r="AG148" s="233"/>
      <c r="AH148" s="233"/>
      <c r="AI148" s="234"/>
      <c r="AJ148" s="2580">
        <f>IF(P148="",0,P149)</f>
        <v>0</v>
      </c>
      <c r="AK148" s="2581"/>
      <c r="AL148" s="2581"/>
      <c r="AM148" s="2582"/>
      <c r="AN148" s="2484">
        <f>IF(F148="",0,INT(L148*AJ148))</f>
        <v>0</v>
      </c>
      <c r="AO148" s="2485"/>
      <c r="AP148" s="2485"/>
      <c r="AQ148" s="2486"/>
      <c r="AR148" s="2576">
        <f ca="1">基礎・屋根・外壁!AF17+SUMIF(見積拾!C$7:D$33,独立基礎名称,見積拾!T$7:T$33)</f>
        <v>0</v>
      </c>
      <c r="AS148" s="2577"/>
      <c r="AT148" s="2577"/>
      <c r="AU148" s="2485" t="s">
        <v>864</v>
      </c>
      <c r="AV148" s="2484">
        <f ca="1">INT(AN148*AR148)</f>
        <v>0</v>
      </c>
      <c r="AW148" s="2485"/>
      <c r="AX148" s="2485"/>
      <c r="AY148" s="2485"/>
      <c r="AZ148" s="2486"/>
      <c r="BA148" s="25" t="b">
        <f t="shared" ref="BA148:BA153" ca="1" si="30">BA$147</f>
        <v>0</v>
      </c>
    </row>
    <row r="149" spans="1:54" ht="13.5" customHeight="1">
      <c r="B149" s="2734"/>
      <c r="C149" s="2674"/>
      <c r="D149" s="2681"/>
      <c r="E149" s="2682"/>
      <c r="F149" s="2495"/>
      <c r="G149" s="2496"/>
      <c r="H149" s="2496"/>
      <c r="I149" s="2496"/>
      <c r="J149" s="2496"/>
      <c r="K149" s="2497"/>
      <c r="L149" s="2578"/>
      <c r="M149" s="2579"/>
      <c r="N149" s="2579"/>
      <c r="O149" s="2836"/>
      <c r="P149" s="2480" t="e">
        <f>VLOOKUP(P148,P150:S152,3,0)</f>
        <v>#N/A</v>
      </c>
      <c r="Q149" s="2481"/>
      <c r="R149" s="2481"/>
      <c r="S149" s="2482"/>
      <c r="T149" s="235"/>
      <c r="U149" s="236"/>
      <c r="V149" s="236"/>
      <c r="W149" s="236"/>
      <c r="X149" s="236"/>
      <c r="Y149" s="236"/>
      <c r="Z149" s="236"/>
      <c r="AA149" s="236"/>
      <c r="AB149" s="236"/>
      <c r="AC149" s="236"/>
      <c r="AD149" s="236"/>
      <c r="AE149" s="236"/>
      <c r="AF149" s="236"/>
      <c r="AG149" s="236"/>
      <c r="AH149" s="236"/>
      <c r="AI149" s="237"/>
      <c r="AJ149" s="2583"/>
      <c r="AK149" s="2584"/>
      <c r="AL149" s="2584"/>
      <c r="AM149" s="2585"/>
      <c r="AN149" s="2487"/>
      <c r="AO149" s="2488"/>
      <c r="AP149" s="2488"/>
      <c r="AQ149" s="2489"/>
      <c r="AR149" s="2578"/>
      <c r="AS149" s="2579"/>
      <c r="AT149" s="2579"/>
      <c r="AU149" s="2488"/>
      <c r="AV149" s="2487"/>
      <c r="AW149" s="2488"/>
      <c r="AX149" s="2488"/>
      <c r="AY149" s="2488"/>
      <c r="AZ149" s="2489"/>
      <c r="BA149" s="25" t="b">
        <f t="shared" ca="1" si="30"/>
        <v>0</v>
      </c>
    </row>
    <row r="150" spans="1:54" ht="13.5" customHeight="1">
      <c r="B150" s="2734"/>
      <c r="C150" s="2674"/>
      <c r="D150" s="2681"/>
      <c r="E150" s="2682"/>
      <c r="F150" s="6"/>
      <c r="G150" s="6"/>
      <c r="H150" s="6"/>
      <c r="I150" s="6"/>
      <c r="J150" s="6"/>
      <c r="K150" s="6"/>
      <c r="L150" s="6"/>
      <c r="M150" s="6"/>
      <c r="N150" s="6"/>
      <c r="O150" s="6"/>
      <c r="P150" s="59" t="s">
        <v>865</v>
      </c>
      <c r="Q150" s="170"/>
      <c r="R150" s="169">
        <v>1.2</v>
      </c>
      <c r="S150" s="62"/>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130"/>
      <c r="BA150" s="25" t="b">
        <f t="shared" ca="1" si="30"/>
        <v>0</v>
      </c>
    </row>
    <row r="151" spans="1:54" ht="13.5" customHeight="1">
      <c r="B151" s="2734"/>
      <c r="C151" s="2674"/>
      <c r="D151" s="2681"/>
      <c r="E151" s="2682"/>
      <c r="F151" s="6"/>
      <c r="G151" s="6"/>
      <c r="H151" s="6"/>
      <c r="I151" s="6"/>
      <c r="J151" s="6"/>
      <c r="K151" s="6"/>
      <c r="L151" s="6"/>
      <c r="M151" s="6"/>
      <c r="N151" s="6"/>
      <c r="O151" s="6"/>
      <c r="P151" s="179" t="s">
        <v>866</v>
      </c>
      <c r="Q151" s="180"/>
      <c r="R151" s="178">
        <v>1</v>
      </c>
      <c r="S151" s="77"/>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130"/>
      <c r="BA151" s="25" t="b">
        <f t="shared" ca="1" si="30"/>
        <v>0</v>
      </c>
    </row>
    <row r="152" spans="1:54" ht="13.5" customHeight="1">
      <c r="B152" s="2734"/>
      <c r="C152" s="2674"/>
      <c r="D152" s="2681"/>
      <c r="E152" s="2682"/>
      <c r="F152" s="6"/>
      <c r="G152" s="6"/>
      <c r="H152" s="6"/>
      <c r="I152" s="6"/>
      <c r="J152" s="6"/>
      <c r="K152" s="6"/>
      <c r="L152" s="6"/>
      <c r="M152" s="6"/>
      <c r="N152" s="6"/>
      <c r="O152" s="6"/>
      <c r="P152" s="191" t="s">
        <v>867</v>
      </c>
      <c r="Q152" s="192"/>
      <c r="R152" s="190">
        <v>0.8</v>
      </c>
      <c r="S152" s="93"/>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130"/>
      <c r="BA152" s="25" t="b">
        <f t="shared" ca="1" si="30"/>
        <v>0</v>
      </c>
    </row>
    <row r="153" spans="1:54" ht="13.5" customHeight="1" thickBot="1">
      <c r="B153" s="2734"/>
      <c r="C153" s="2674"/>
      <c r="D153" s="2684"/>
      <c r="E153" s="268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130"/>
      <c r="BA153" s="25" t="b">
        <f t="shared" ca="1" si="30"/>
        <v>0</v>
      </c>
    </row>
    <row r="154" spans="1:54" ht="13.5" customHeight="1" thickBot="1">
      <c r="B154" s="2735"/>
      <c r="C154" s="2677"/>
      <c r="D154" s="131"/>
      <c r="E154" s="13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135" t="s">
        <v>782</v>
      </c>
      <c r="AQ154" s="136"/>
      <c r="AR154" s="136"/>
      <c r="AS154" s="136"/>
      <c r="AT154" s="136"/>
      <c r="AU154" s="136"/>
      <c r="AV154" s="2985">
        <f ca="1">SUM(AV127:AZ153)</f>
        <v>0</v>
      </c>
      <c r="AW154" s="2986"/>
      <c r="AX154" s="2986"/>
      <c r="AY154" s="2986"/>
      <c r="AZ154" s="2987"/>
      <c r="BA154" s="25" t="b">
        <f ca="1">AV154&lt;&gt;0</f>
        <v>0</v>
      </c>
    </row>
    <row r="155" spans="1:54" ht="13.5" customHeight="1">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25" t="b">
        <v>0</v>
      </c>
    </row>
    <row r="156" spans="1:54" ht="13.5" customHeight="1">
      <c r="BA156" s="25" t="b">
        <v>0</v>
      </c>
    </row>
    <row r="157" spans="1:54" ht="13.5" customHeight="1">
      <c r="C157" s="26" t="s">
        <v>868</v>
      </c>
      <c r="D157" s="27"/>
      <c r="E157" s="27"/>
      <c r="F157" s="27"/>
      <c r="G157" s="27"/>
      <c r="H157" s="27"/>
      <c r="I157" s="27"/>
      <c r="J157" s="27"/>
      <c r="AZ157" s="25"/>
      <c r="BA157" s="25" t="b">
        <v>0</v>
      </c>
      <c r="BB157"/>
    </row>
    <row r="158" spans="1:54" ht="13.5" customHeight="1">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43" t="b">
        <f>$BA$179</f>
        <v>0</v>
      </c>
    </row>
    <row r="159" spans="1:54" ht="13.5" customHeight="1">
      <c r="A159">
        <f>ROW()</f>
        <v>159</v>
      </c>
      <c r="B159" s="2681" t="s">
        <v>869</v>
      </c>
      <c r="C159" s="2682"/>
      <c r="D159" s="2846"/>
      <c r="E159" s="2847"/>
      <c r="F159" s="244" t="s">
        <v>870</v>
      </c>
      <c r="G159" s="244"/>
      <c r="H159" s="244"/>
      <c r="I159" s="244"/>
      <c r="J159" s="244"/>
      <c r="K159" s="244"/>
      <c r="L159" s="244"/>
      <c r="M159" s="244"/>
      <c r="N159" s="244"/>
      <c r="O159" s="244"/>
      <c r="P159" s="245" t="s">
        <v>760</v>
      </c>
      <c r="Q159" s="244"/>
      <c r="R159" s="244"/>
      <c r="S159" s="246"/>
      <c r="T159" s="245" t="s">
        <v>871</v>
      </c>
      <c r="U159" s="244"/>
      <c r="V159" s="245" t="s">
        <v>872</v>
      </c>
      <c r="W159" s="244"/>
      <c r="X159" s="244"/>
      <c r="Y159" s="244"/>
      <c r="Z159" s="244"/>
      <c r="AA159" s="245" t="s">
        <v>873</v>
      </c>
      <c r="AB159" s="244"/>
      <c r="AC159" s="244"/>
      <c r="AD159" s="244"/>
      <c r="AE159" s="246"/>
      <c r="AF159" s="245" t="s">
        <v>874</v>
      </c>
      <c r="AG159" s="244"/>
      <c r="AH159" s="244"/>
      <c r="AI159" s="244"/>
      <c r="AJ159" s="246"/>
      <c r="AK159" s="247" t="s">
        <v>765</v>
      </c>
      <c r="AL159" s="247"/>
      <c r="AM159" s="247"/>
      <c r="AN159" s="247"/>
      <c r="AO159" s="210" t="s">
        <v>875</v>
      </c>
      <c r="AP159" s="210"/>
      <c r="AQ159" s="210"/>
      <c r="AR159" s="210"/>
      <c r="AS159" s="210" t="s">
        <v>876</v>
      </c>
      <c r="AT159" s="210"/>
      <c r="AU159" s="205"/>
      <c r="AV159" s="248" t="s">
        <v>877</v>
      </c>
      <c r="AW159" s="249"/>
      <c r="AX159" s="249"/>
      <c r="AY159" s="250"/>
      <c r="AZ159" s="251"/>
      <c r="BA159" s="243" t="b">
        <f>SUM(AV160:AZ166)&lt;&gt;0</f>
        <v>0</v>
      </c>
      <c r="BB159" t="s">
        <v>1523</v>
      </c>
    </row>
    <row r="160" spans="1:54" ht="13.5" customHeight="1">
      <c r="B160" s="2681"/>
      <c r="C160" s="2682"/>
      <c r="D160" s="2681" t="s">
        <v>878</v>
      </c>
      <c r="E160" s="2682"/>
      <c r="F160" s="2776" t="s">
        <v>1165</v>
      </c>
      <c r="G160" s="2577"/>
      <c r="H160" s="2577"/>
      <c r="I160" s="2577"/>
      <c r="J160" s="2577"/>
      <c r="K160" s="2577"/>
      <c r="L160" s="2577"/>
      <c r="M160" s="2577"/>
      <c r="N160" s="2577"/>
      <c r="O160" s="2777"/>
      <c r="P160" s="2776">
        <v>30820</v>
      </c>
      <c r="Q160" s="2577"/>
      <c r="R160" s="2577"/>
      <c r="S160" s="2777"/>
      <c r="T160" s="2797"/>
      <c r="U160" s="2798"/>
      <c r="V160" s="2767"/>
      <c r="W160" s="2768"/>
      <c r="X160" s="2768"/>
      <c r="Y160" s="252" t="s">
        <v>166</v>
      </c>
      <c r="Z160" s="253"/>
      <c r="AA160" s="2702"/>
      <c r="AB160" s="2703"/>
      <c r="AC160" s="2703"/>
      <c r="AD160" s="252" t="s">
        <v>880</v>
      </c>
      <c r="AE160" s="253"/>
      <c r="AF160" s="2730">
        <f t="shared" ref="AF160:AF166" si="31">ROUNDDOWN(V160^2*AA160,2)</f>
        <v>0</v>
      </c>
      <c r="AG160" s="2731"/>
      <c r="AH160" s="2731"/>
      <c r="AI160" s="2731"/>
      <c r="AJ160" s="2732"/>
      <c r="AK160" s="2573">
        <f>MIN($AI$167,ROUNDDOWN(IF(AF160&gt;AF$168,1+(AI$167-AI$168)/(AF$167-AF$168)*(AF160-AF$168),1+(AI$168-AI$169)/(AF$168-AF$169)*(AF160-AF$168)),2))</f>
        <v>0.31</v>
      </c>
      <c r="AL160" s="2574"/>
      <c r="AM160" s="2574"/>
      <c r="AN160" s="2575"/>
      <c r="AO160" s="3012">
        <f>INT($P$160*AK160)</f>
        <v>9554</v>
      </c>
      <c r="AP160" s="3013"/>
      <c r="AQ160" s="3013"/>
      <c r="AR160" s="3014"/>
      <c r="AS160" s="3012">
        <f t="shared" ref="AS160:AS166" si="32">T160</f>
        <v>0</v>
      </c>
      <c r="AT160" s="3013"/>
      <c r="AU160" s="3014"/>
      <c r="AV160" s="3012">
        <f t="shared" ref="AV160:AV166" si="33">AO160*AS160</f>
        <v>0</v>
      </c>
      <c r="AW160" s="3013"/>
      <c r="AX160" s="3013"/>
      <c r="AY160" s="3013"/>
      <c r="AZ160" s="3014"/>
      <c r="BA160" s="243" t="b">
        <f t="shared" ref="BA160:BA166" si="34">COUNTA(T160:AC160)-1&lt;&gt;0</f>
        <v>0</v>
      </c>
      <c r="BB160" t="s">
        <v>1636</v>
      </c>
    </row>
    <row r="161" spans="2:54" ht="13.5" customHeight="1">
      <c r="B161" s="2681"/>
      <c r="C161" s="2682"/>
      <c r="D161" s="2681"/>
      <c r="E161" s="2682"/>
      <c r="F161" s="2778"/>
      <c r="G161" s="2779"/>
      <c r="H161" s="2779"/>
      <c r="I161" s="2779"/>
      <c r="J161" s="2779"/>
      <c r="K161" s="2779"/>
      <c r="L161" s="2779"/>
      <c r="M161" s="2779"/>
      <c r="N161" s="2779"/>
      <c r="O161" s="2780"/>
      <c r="P161" s="2778"/>
      <c r="Q161" s="2779"/>
      <c r="R161" s="2779"/>
      <c r="S161" s="2780"/>
      <c r="T161" s="2762"/>
      <c r="U161" s="2763"/>
      <c r="V161" s="2769"/>
      <c r="W161" s="2770"/>
      <c r="X161" s="2770"/>
      <c r="Y161" s="254" t="s">
        <v>879</v>
      </c>
      <c r="Z161" s="255"/>
      <c r="AA161" s="2793"/>
      <c r="AB161" s="2794"/>
      <c r="AC161" s="2794"/>
      <c r="AD161" s="254" t="s">
        <v>880</v>
      </c>
      <c r="AE161" s="255"/>
      <c r="AF161" s="2586">
        <f t="shared" si="31"/>
        <v>0</v>
      </c>
      <c r="AG161" s="2587"/>
      <c r="AH161" s="2587"/>
      <c r="AI161" s="2587"/>
      <c r="AJ161" s="2588"/>
      <c r="AK161" s="2589">
        <f t="shared" ref="AK161:AK166" si="35">MIN(ROUNDDOWN(IF(AF161&gt;AF$168,1+(AI$167-AI$168)/(AF$167-AF$168)*(AF161-AF$168),1-(AI$168-AI$169)/(AF$168-AF$169)*(AF$168-AF161)),2),$AI$167)</f>
        <v>0.31</v>
      </c>
      <c r="AL161" s="2590"/>
      <c r="AM161" s="2590"/>
      <c r="AN161" s="2591"/>
      <c r="AO161" s="2570">
        <f t="shared" ref="AO161:AO166" si="36">INT($P$160*AK161)</f>
        <v>9554</v>
      </c>
      <c r="AP161" s="2571"/>
      <c r="AQ161" s="2571"/>
      <c r="AR161" s="2572"/>
      <c r="AS161" s="2570">
        <f t="shared" si="32"/>
        <v>0</v>
      </c>
      <c r="AT161" s="2571"/>
      <c r="AU161" s="2572"/>
      <c r="AV161" s="2570">
        <f t="shared" si="33"/>
        <v>0</v>
      </c>
      <c r="AW161" s="2571"/>
      <c r="AX161" s="2571"/>
      <c r="AY161" s="2571"/>
      <c r="AZ161" s="2572"/>
      <c r="BA161" s="243" t="b">
        <f t="shared" si="34"/>
        <v>0</v>
      </c>
      <c r="BB161"/>
    </row>
    <row r="162" spans="2:54" ht="13.5" customHeight="1">
      <c r="B162" s="2681"/>
      <c r="C162" s="2682"/>
      <c r="D162" s="2681"/>
      <c r="E162" s="2682"/>
      <c r="F162" s="2778"/>
      <c r="G162" s="2779"/>
      <c r="H162" s="2779"/>
      <c r="I162" s="2779"/>
      <c r="J162" s="2779"/>
      <c r="K162" s="2779"/>
      <c r="L162" s="2779"/>
      <c r="M162" s="2779"/>
      <c r="N162" s="2779"/>
      <c r="O162" s="2780"/>
      <c r="P162" s="2778"/>
      <c r="Q162" s="2779"/>
      <c r="R162" s="2779"/>
      <c r="S162" s="2780"/>
      <c r="T162" s="2762"/>
      <c r="U162" s="2763"/>
      <c r="V162" s="2769"/>
      <c r="W162" s="2770"/>
      <c r="X162" s="2770"/>
      <c r="Y162" s="254" t="s">
        <v>879</v>
      </c>
      <c r="Z162" s="255"/>
      <c r="AA162" s="2793"/>
      <c r="AB162" s="2794"/>
      <c r="AC162" s="2794"/>
      <c r="AD162" s="254" t="s">
        <v>880</v>
      </c>
      <c r="AE162" s="255"/>
      <c r="AF162" s="2586">
        <f t="shared" si="31"/>
        <v>0</v>
      </c>
      <c r="AG162" s="2587"/>
      <c r="AH162" s="2587"/>
      <c r="AI162" s="2587"/>
      <c r="AJ162" s="2588"/>
      <c r="AK162" s="2589">
        <f t="shared" si="35"/>
        <v>0.31</v>
      </c>
      <c r="AL162" s="2590"/>
      <c r="AM162" s="2590"/>
      <c r="AN162" s="2591"/>
      <c r="AO162" s="2570">
        <f t="shared" si="36"/>
        <v>9554</v>
      </c>
      <c r="AP162" s="2571"/>
      <c r="AQ162" s="2571"/>
      <c r="AR162" s="2572"/>
      <c r="AS162" s="2570">
        <f t="shared" si="32"/>
        <v>0</v>
      </c>
      <c r="AT162" s="2571"/>
      <c r="AU162" s="2572"/>
      <c r="AV162" s="2570">
        <f t="shared" si="33"/>
        <v>0</v>
      </c>
      <c r="AW162" s="2571"/>
      <c r="AX162" s="2571"/>
      <c r="AY162" s="2571"/>
      <c r="AZ162" s="2572"/>
      <c r="BA162" s="243" t="b">
        <f t="shared" si="34"/>
        <v>0</v>
      </c>
      <c r="BB162" t="s">
        <v>1524</v>
      </c>
    </row>
    <row r="163" spans="2:54" ht="13.5" customHeight="1">
      <c r="B163" s="2681"/>
      <c r="C163" s="2682"/>
      <c r="D163" s="2681"/>
      <c r="E163" s="2682"/>
      <c r="F163" s="2778"/>
      <c r="G163" s="2779"/>
      <c r="H163" s="2779"/>
      <c r="I163" s="2779"/>
      <c r="J163" s="2779"/>
      <c r="K163" s="2779"/>
      <c r="L163" s="2779"/>
      <c r="M163" s="2779"/>
      <c r="N163" s="2779"/>
      <c r="O163" s="2780"/>
      <c r="P163" s="2778"/>
      <c r="Q163" s="2779"/>
      <c r="R163" s="2779"/>
      <c r="S163" s="2780"/>
      <c r="T163" s="2762"/>
      <c r="U163" s="2763"/>
      <c r="V163" s="2769"/>
      <c r="W163" s="2770"/>
      <c r="X163" s="2770"/>
      <c r="Y163" s="254" t="s">
        <v>879</v>
      </c>
      <c r="Z163" s="255"/>
      <c r="AA163" s="2793"/>
      <c r="AB163" s="2794"/>
      <c r="AC163" s="2794"/>
      <c r="AD163" s="254" t="s">
        <v>880</v>
      </c>
      <c r="AE163" s="255"/>
      <c r="AF163" s="2586">
        <f t="shared" si="31"/>
        <v>0</v>
      </c>
      <c r="AG163" s="2587"/>
      <c r="AH163" s="2587"/>
      <c r="AI163" s="2587"/>
      <c r="AJ163" s="2588"/>
      <c r="AK163" s="2589">
        <f t="shared" si="35"/>
        <v>0.31</v>
      </c>
      <c r="AL163" s="2590"/>
      <c r="AM163" s="2590"/>
      <c r="AN163" s="2591"/>
      <c r="AO163" s="2570">
        <f t="shared" si="36"/>
        <v>9554</v>
      </c>
      <c r="AP163" s="2571"/>
      <c r="AQ163" s="2571"/>
      <c r="AR163" s="2572"/>
      <c r="AS163" s="2570">
        <f t="shared" si="32"/>
        <v>0</v>
      </c>
      <c r="AT163" s="2571"/>
      <c r="AU163" s="2572"/>
      <c r="AV163" s="2570">
        <f t="shared" si="33"/>
        <v>0</v>
      </c>
      <c r="AW163" s="2571"/>
      <c r="AX163" s="2571"/>
      <c r="AY163" s="2571"/>
      <c r="AZ163" s="2572"/>
      <c r="BA163" s="243" t="b">
        <f t="shared" si="34"/>
        <v>0</v>
      </c>
      <c r="BB163" t="s">
        <v>1525</v>
      </c>
    </row>
    <row r="164" spans="2:54" ht="13.5" customHeight="1">
      <c r="B164" s="2681"/>
      <c r="C164" s="2682"/>
      <c r="D164" s="2681"/>
      <c r="E164" s="2682"/>
      <c r="F164" s="2778"/>
      <c r="G164" s="2779"/>
      <c r="H164" s="2779"/>
      <c r="I164" s="2779"/>
      <c r="J164" s="2779"/>
      <c r="K164" s="2779"/>
      <c r="L164" s="2779"/>
      <c r="M164" s="2779"/>
      <c r="N164" s="2779"/>
      <c r="O164" s="2780"/>
      <c r="P164" s="2778"/>
      <c r="Q164" s="2779"/>
      <c r="R164" s="2779"/>
      <c r="S164" s="2780"/>
      <c r="T164" s="2762"/>
      <c r="U164" s="2763"/>
      <c r="V164" s="2769"/>
      <c r="W164" s="2770"/>
      <c r="X164" s="2770"/>
      <c r="Y164" s="254" t="s">
        <v>879</v>
      </c>
      <c r="Z164" s="255"/>
      <c r="AA164" s="2793"/>
      <c r="AB164" s="2794"/>
      <c r="AC164" s="2794"/>
      <c r="AD164" s="254" t="s">
        <v>880</v>
      </c>
      <c r="AE164" s="255"/>
      <c r="AF164" s="2586">
        <f t="shared" si="31"/>
        <v>0</v>
      </c>
      <c r="AG164" s="2587"/>
      <c r="AH164" s="2587"/>
      <c r="AI164" s="2587"/>
      <c r="AJ164" s="2588"/>
      <c r="AK164" s="2589">
        <f t="shared" si="35"/>
        <v>0.31</v>
      </c>
      <c r="AL164" s="2590"/>
      <c r="AM164" s="2590"/>
      <c r="AN164" s="2591"/>
      <c r="AO164" s="2570">
        <f t="shared" si="36"/>
        <v>9554</v>
      </c>
      <c r="AP164" s="2571"/>
      <c r="AQ164" s="2571"/>
      <c r="AR164" s="2572"/>
      <c r="AS164" s="2570">
        <f t="shared" si="32"/>
        <v>0</v>
      </c>
      <c r="AT164" s="2571"/>
      <c r="AU164" s="2572"/>
      <c r="AV164" s="2570">
        <f t="shared" si="33"/>
        <v>0</v>
      </c>
      <c r="AW164" s="2571"/>
      <c r="AX164" s="2571"/>
      <c r="AY164" s="2571"/>
      <c r="AZ164" s="2572"/>
      <c r="BA164" s="243" t="b">
        <f t="shared" si="34"/>
        <v>0</v>
      </c>
      <c r="BB164" t="s">
        <v>1528</v>
      </c>
    </row>
    <row r="165" spans="2:54" ht="13.5" customHeight="1">
      <c r="B165" s="2681"/>
      <c r="C165" s="2682"/>
      <c r="D165" s="2681"/>
      <c r="E165" s="2682"/>
      <c r="F165" s="2778"/>
      <c r="G165" s="2779"/>
      <c r="H165" s="2779"/>
      <c r="I165" s="2779"/>
      <c r="J165" s="2779"/>
      <c r="K165" s="2779"/>
      <c r="L165" s="2779"/>
      <c r="M165" s="2779"/>
      <c r="N165" s="2779"/>
      <c r="O165" s="2780"/>
      <c r="P165" s="2778"/>
      <c r="Q165" s="2779"/>
      <c r="R165" s="2779"/>
      <c r="S165" s="2780"/>
      <c r="T165" s="2762"/>
      <c r="U165" s="2763"/>
      <c r="V165" s="2769"/>
      <c r="W165" s="2770"/>
      <c r="X165" s="2770"/>
      <c r="Y165" s="254" t="s">
        <v>879</v>
      </c>
      <c r="Z165" s="255"/>
      <c r="AA165" s="2793"/>
      <c r="AB165" s="2794"/>
      <c r="AC165" s="2794"/>
      <c r="AD165" s="254" t="s">
        <v>880</v>
      </c>
      <c r="AE165" s="255"/>
      <c r="AF165" s="2586">
        <f t="shared" si="31"/>
        <v>0</v>
      </c>
      <c r="AG165" s="2587"/>
      <c r="AH165" s="2587"/>
      <c r="AI165" s="2587"/>
      <c r="AJ165" s="2588"/>
      <c r="AK165" s="2589">
        <f t="shared" si="35"/>
        <v>0.31</v>
      </c>
      <c r="AL165" s="2590"/>
      <c r="AM165" s="2590"/>
      <c r="AN165" s="2591"/>
      <c r="AO165" s="2570">
        <f t="shared" si="36"/>
        <v>9554</v>
      </c>
      <c r="AP165" s="2571"/>
      <c r="AQ165" s="2571"/>
      <c r="AR165" s="2572"/>
      <c r="AS165" s="2570">
        <f t="shared" si="32"/>
        <v>0</v>
      </c>
      <c r="AT165" s="2571"/>
      <c r="AU165" s="2572"/>
      <c r="AV165" s="2570">
        <f t="shared" si="33"/>
        <v>0</v>
      </c>
      <c r="AW165" s="2571"/>
      <c r="AX165" s="2571"/>
      <c r="AY165" s="2571"/>
      <c r="AZ165" s="2572"/>
      <c r="BA165" s="243" t="b">
        <f t="shared" si="34"/>
        <v>0</v>
      </c>
      <c r="BB165" t="s">
        <v>1527</v>
      </c>
    </row>
    <row r="166" spans="2:54" ht="13.5" customHeight="1">
      <c r="B166" s="2681"/>
      <c r="C166" s="2682"/>
      <c r="D166" s="2681"/>
      <c r="E166" s="2682"/>
      <c r="F166" s="2578"/>
      <c r="G166" s="2579"/>
      <c r="H166" s="2579"/>
      <c r="I166" s="2579"/>
      <c r="J166" s="2579"/>
      <c r="K166" s="2579"/>
      <c r="L166" s="2579"/>
      <c r="M166" s="2579"/>
      <c r="N166" s="2579"/>
      <c r="O166" s="2836"/>
      <c r="P166" s="2578"/>
      <c r="Q166" s="2579"/>
      <c r="R166" s="2579"/>
      <c r="S166" s="2836"/>
      <c r="T166" s="3038"/>
      <c r="U166" s="3039"/>
      <c r="V166" s="2822"/>
      <c r="W166" s="2823"/>
      <c r="X166" s="2823"/>
      <c r="Y166" s="256" t="s">
        <v>879</v>
      </c>
      <c r="Z166" s="257"/>
      <c r="AA166" s="3009"/>
      <c r="AB166" s="3010"/>
      <c r="AC166" s="3010"/>
      <c r="AD166" s="256" t="s">
        <v>880</v>
      </c>
      <c r="AE166" s="257"/>
      <c r="AF166" s="3055">
        <f t="shared" si="31"/>
        <v>0</v>
      </c>
      <c r="AG166" s="3056"/>
      <c r="AH166" s="3056"/>
      <c r="AI166" s="3056"/>
      <c r="AJ166" s="3057"/>
      <c r="AK166" s="3058">
        <f t="shared" si="35"/>
        <v>0.31</v>
      </c>
      <c r="AL166" s="3059"/>
      <c r="AM166" s="3059"/>
      <c r="AN166" s="3060"/>
      <c r="AO166" s="3040">
        <f t="shared" si="36"/>
        <v>9554</v>
      </c>
      <c r="AP166" s="3041"/>
      <c r="AQ166" s="3041"/>
      <c r="AR166" s="3042"/>
      <c r="AS166" s="3040">
        <f t="shared" si="32"/>
        <v>0</v>
      </c>
      <c r="AT166" s="3041"/>
      <c r="AU166" s="3042"/>
      <c r="AV166" s="3040">
        <f t="shared" si="33"/>
        <v>0</v>
      </c>
      <c r="AW166" s="3041"/>
      <c r="AX166" s="3041"/>
      <c r="AY166" s="3041"/>
      <c r="AZ166" s="3042"/>
      <c r="BA166" s="243" t="b">
        <f t="shared" si="34"/>
        <v>0</v>
      </c>
      <c r="BB166" t="s">
        <v>1526</v>
      </c>
    </row>
    <row r="167" spans="2:54" ht="13.5" customHeight="1">
      <c r="B167" s="2681"/>
      <c r="C167" s="2682"/>
      <c r="D167" s="2681"/>
      <c r="E167" s="2682"/>
      <c r="F167" s="258"/>
      <c r="G167" s="259"/>
      <c r="H167" s="259"/>
      <c r="I167" s="259"/>
      <c r="J167" s="259"/>
      <c r="K167" s="259"/>
      <c r="L167" s="259"/>
      <c r="M167" s="259"/>
      <c r="N167" s="259"/>
      <c r="O167" s="259"/>
      <c r="P167" s="2354"/>
      <c r="Q167" s="2354"/>
      <c r="R167" s="2354"/>
      <c r="S167" s="2354"/>
      <c r="T167" s="261" t="s">
        <v>881</v>
      </c>
      <c r="U167" s="262"/>
      <c r="V167" s="3003">
        <v>50</v>
      </c>
      <c r="W167" s="3004"/>
      <c r="X167" s="3004"/>
      <c r="Y167" s="263" t="s">
        <v>882</v>
      </c>
      <c r="Z167" s="264"/>
      <c r="AA167" s="3048">
        <v>14</v>
      </c>
      <c r="AB167" s="3049"/>
      <c r="AC167" s="3049"/>
      <c r="AD167" s="265" t="s">
        <v>883</v>
      </c>
      <c r="AE167" s="266"/>
      <c r="AF167" s="3003">
        <f>V167^2*AA167</f>
        <v>35000</v>
      </c>
      <c r="AG167" s="3004"/>
      <c r="AH167" s="3061"/>
      <c r="AI167" s="267">
        <v>5</v>
      </c>
      <c r="AJ167" s="262"/>
      <c r="AK167" s="260"/>
      <c r="AL167" s="260"/>
      <c r="AM167" s="260"/>
      <c r="AN167" s="260"/>
      <c r="AO167" s="260"/>
      <c r="AP167" s="260"/>
      <c r="AQ167" s="260"/>
      <c r="AR167" s="260"/>
      <c r="AS167" s="260"/>
      <c r="AT167" s="260"/>
      <c r="AU167" s="260"/>
      <c r="AV167" s="260"/>
      <c r="AW167" s="260"/>
      <c r="AX167" s="260"/>
      <c r="AY167" s="260"/>
      <c r="AZ167" s="268"/>
      <c r="BA167" s="243" t="b">
        <f>BA$159</f>
        <v>0</v>
      </c>
      <c r="BB167"/>
    </row>
    <row r="168" spans="2:54" ht="13.5" customHeight="1">
      <c r="B168" s="2681"/>
      <c r="C168" s="2682"/>
      <c r="D168" s="2681"/>
      <c r="E168" s="2682"/>
      <c r="F168" s="269"/>
      <c r="G168" s="270"/>
      <c r="H168" s="270"/>
      <c r="I168" s="270"/>
      <c r="J168" s="270"/>
      <c r="K168" s="270"/>
      <c r="L168" s="270"/>
      <c r="M168" s="270"/>
      <c r="N168" s="270"/>
      <c r="O168" s="270"/>
      <c r="P168" s="2277"/>
      <c r="Q168" s="2277"/>
      <c r="R168" s="2277"/>
      <c r="S168" s="2277"/>
      <c r="T168" s="159" t="s">
        <v>161</v>
      </c>
      <c r="U168" s="272"/>
      <c r="V168" s="2795">
        <v>30</v>
      </c>
      <c r="W168" s="2796"/>
      <c r="X168" s="2796"/>
      <c r="Y168" s="157" t="s">
        <v>882</v>
      </c>
      <c r="Z168" s="273"/>
      <c r="AA168" s="3050">
        <v>7</v>
      </c>
      <c r="AB168" s="3051"/>
      <c r="AC168" s="3051"/>
      <c r="AD168" s="274" t="s">
        <v>883</v>
      </c>
      <c r="AE168" s="275"/>
      <c r="AF168" s="2795">
        <f>V168^2*AA168</f>
        <v>6300</v>
      </c>
      <c r="AG168" s="2796"/>
      <c r="AH168" s="3011"/>
      <c r="AI168" s="276">
        <v>1</v>
      </c>
      <c r="AJ168" s="272"/>
      <c r="AK168" s="271"/>
      <c r="AL168" s="271"/>
      <c r="AM168" s="271"/>
      <c r="AN168" s="271"/>
      <c r="AO168" s="271"/>
      <c r="AP168" s="271"/>
      <c r="AQ168" s="271"/>
      <c r="AR168" s="271"/>
      <c r="AS168" s="271"/>
      <c r="AT168" s="271"/>
      <c r="AU168" s="271"/>
      <c r="AV168" s="271"/>
      <c r="AW168" s="271"/>
      <c r="AX168" s="271"/>
      <c r="AY168" s="271"/>
      <c r="AZ168" s="277"/>
      <c r="BA168" s="243" t="b">
        <f>BA$159</f>
        <v>0</v>
      </c>
      <c r="BB168"/>
    </row>
    <row r="169" spans="2:54" ht="13.5" customHeight="1">
      <c r="B169" s="2681"/>
      <c r="C169" s="2682"/>
      <c r="D169" s="2681"/>
      <c r="E169" s="2682"/>
      <c r="F169" s="269"/>
      <c r="G169" s="270"/>
      <c r="H169" s="270"/>
      <c r="I169" s="270"/>
      <c r="J169" s="270"/>
      <c r="K169" s="270"/>
      <c r="L169" s="270"/>
      <c r="M169" s="270"/>
      <c r="N169" s="270"/>
      <c r="O169" s="270"/>
      <c r="P169" s="2277"/>
      <c r="Q169" s="2277"/>
      <c r="R169" s="2277"/>
      <c r="S169" s="2277"/>
      <c r="T169" s="278" t="s">
        <v>162</v>
      </c>
      <c r="U169" s="279"/>
      <c r="V169" s="3005">
        <v>20</v>
      </c>
      <c r="W169" s="3006"/>
      <c r="X169" s="3006"/>
      <c r="Y169" s="161" t="s">
        <v>63</v>
      </c>
      <c r="Z169" s="280"/>
      <c r="AA169" s="3043">
        <v>2</v>
      </c>
      <c r="AB169" s="3044"/>
      <c r="AC169" s="3044"/>
      <c r="AD169" s="281" t="s">
        <v>60</v>
      </c>
      <c r="AE169" s="282"/>
      <c r="AF169" s="3005">
        <f>V169^2*AA169</f>
        <v>800</v>
      </c>
      <c r="AG169" s="3006"/>
      <c r="AH169" s="3007"/>
      <c r="AI169" s="283">
        <v>0.4</v>
      </c>
      <c r="AJ169" s="279"/>
      <c r="AK169" s="271"/>
      <c r="AL169" s="271"/>
      <c r="AM169" s="271"/>
      <c r="AN169" s="271"/>
      <c r="AO169" s="271"/>
      <c r="AP169" s="271"/>
      <c r="AQ169" s="271"/>
      <c r="AR169" s="271"/>
      <c r="AS169" s="271"/>
      <c r="AT169" s="271"/>
      <c r="AU169" s="271"/>
      <c r="AV169" s="271"/>
      <c r="AW169" s="271"/>
      <c r="AX169" s="271"/>
      <c r="AY169" s="271"/>
      <c r="AZ169" s="277"/>
      <c r="BA169" s="243" t="b">
        <f>BA$159</f>
        <v>0</v>
      </c>
      <c r="BB169"/>
    </row>
    <row r="170" spans="2:54" ht="13.5" customHeight="1">
      <c r="B170" s="2681"/>
      <c r="C170" s="2682"/>
      <c r="D170" s="2681"/>
      <c r="E170" s="2682"/>
      <c r="F170" s="284"/>
      <c r="G170" s="285"/>
      <c r="H170" s="285"/>
      <c r="I170" s="285"/>
      <c r="J170" s="285"/>
      <c r="K170" s="285"/>
      <c r="L170" s="285"/>
      <c r="M170" s="285"/>
      <c r="N170" s="285"/>
      <c r="O170" s="285"/>
      <c r="P170" s="2355"/>
      <c r="Q170" s="2355"/>
      <c r="R170" s="2355"/>
      <c r="S170" s="2355"/>
      <c r="T170" s="287"/>
      <c r="U170" s="287"/>
      <c r="V170" s="288"/>
      <c r="W170" s="288"/>
      <c r="X170" s="289"/>
      <c r="Y170" s="288"/>
      <c r="Z170" s="288"/>
      <c r="AA170" s="289"/>
      <c r="AB170" s="288"/>
      <c r="AC170" s="288"/>
      <c r="AD170" s="288"/>
      <c r="AE170" s="290"/>
      <c r="AF170" s="287"/>
      <c r="AG170" s="286"/>
      <c r="AH170" s="286"/>
      <c r="AI170" s="286"/>
      <c r="AJ170" s="286"/>
      <c r="AK170" s="271"/>
      <c r="AL170" s="271"/>
      <c r="AM170" s="271"/>
      <c r="AN170" s="271"/>
      <c r="AO170" s="271"/>
      <c r="AP170" s="271"/>
      <c r="AQ170" s="271"/>
      <c r="AR170" s="271"/>
      <c r="AS170" s="271"/>
      <c r="AT170" s="271"/>
      <c r="AU170" s="271"/>
      <c r="AV170" s="271"/>
      <c r="AW170" s="271"/>
      <c r="AX170" s="271"/>
      <c r="AY170" s="271"/>
      <c r="AZ170" s="277"/>
      <c r="BA170" s="243" t="b">
        <f>BA$159</f>
        <v>0</v>
      </c>
      <c r="BB170"/>
    </row>
    <row r="171" spans="2:54" ht="13.5" customHeight="1">
      <c r="B171" s="2681"/>
      <c r="C171" s="2682"/>
      <c r="D171" s="2681"/>
      <c r="E171" s="2682"/>
      <c r="F171" s="291" t="s">
        <v>870</v>
      </c>
      <c r="G171" s="292"/>
      <c r="H171" s="292"/>
      <c r="I171" s="292"/>
      <c r="J171" s="292"/>
      <c r="K171" s="292"/>
      <c r="L171" s="292"/>
      <c r="M171" s="292"/>
      <c r="N171" s="292"/>
      <c r="O171" s="292"/>
      <c r="P171" s="1502" t="s">
        <v>760</v>
      </c>
      <c r="Q171" s="2356"/>
      <c r="R171" s="2356"/>
      <c r="S171" s="2357"/>
      <c r="T171" s="291" t="s">
        <v>871</v>
      </c>
      <c r="U171" s="292"/>
      <c r="V171" s="291" t="s">
        <v>872</v>
      </c>
      <c r="W171" s="292"/>
      <c r="X171" s="292"/>
      <c r="Y171" s="292"/>
      <c r="Z171" s="293"/>
      <c r="AA171" s="291" t="s">
        <v>873</v>
      </c>
      <c r="AB171" s="292"/>
      <c r="AC171" s="293"/>
      <c r="AD171" s="292"/>
      <c r="AE171" s="292"/>
      <c r="AF171" s="291" t="s">
        <v>163</v>
      </c>
      <c r="AG171" s="292"/>
      <c r="AH171" s="292"/>
      <c r="AI171" s="292"/>
      <c r="AJ171" s="293"/>
      <c r="AK171" s="294" t="s">
        <v>765</v>
      </c>
      <c r="AL171" s="294"/>
      <c r="AM171" s="294"/>
      <c r="AN171" s="294"/>
      <c r="AO171" s="35" t="s">
        <v>164</v>
      </c>
      <c r="AP171" s="35"/>
      <c r="AQ171" s="35"/>
      <c r="AR171" s="35"/>
      <c r="AS171" s="35" t="s">
        <v>876</v>
      </c>
      <c r="AT171" s="35"/>
      <c r="AU171" s="34"/>
      <c r="AV171" s="36" t="s">
        <v>877</v>
      </c>
      <c r="AW171" s="37"/>
      <c r="AX171" s="37"/>
      <c r="AY171" s="38"/>
      <c r="AZ171" s="39"/>
      <c r="BA171" s="243" t="b">
        <f>SUM(AV172:AZ174)&lt;&gt;0</f>
        <v>0</v>
      </c>
      <c r="BB171"/>
    </row>
    <row r="172" spans="2:54" ht="13.5" customHeight="1">
      <c r="B172" s="2681"/>
      <c r="C172" s="2682"/>
      <c r="D172" s="2681"/>
      <c r="E172" s="2682"/>
      <c r="F172" s="2776" t="s">
        <v>165</v>
      </c>
      <c r="G172" s="2577"/>
      <c r="H172" s="2577"/>
      <c r="I172" s="2577"/>
      <c r="J172" s="2577"/>
      <c r="K172" s="2577"/>
      <c r="L172" s="2577"/>
      <c r="M172" s="2577"/>
      <c r="N172" s="2577"/>
      <c r="O172" s="2777"/>
      <c r="P172" s="2776">
        <v>589450</v>
      </c>
      <c r="Q172" s="2577"/>
      <c r="R172" s="2577"/>
      <c r="S172" s="2777"/>
      <c r="T172" s="2797"/>
      <c r="U172" s="2798"/>
      <c r="V172" s="2767"/>
      <c r="W172" s="2768"/>
      <c r="X172" s="295" t="s">
        <v>166</v>
      </c>
      <c r="Y172" s="296">
        <f>MIN(ROUNDDOWN(IF(V172&gt;V$176,1+(Y$175-Y$176)/(V$175-V$176)*(V172-V$176),1-(Y$176-Y$177)/(V$176-V$177)*(V$176-V172)),2),Y$175)</f>
        <v>0</v>
      </c>
      <c r="Z172" s="297"/>
      <c r="AA172" s="2702"/>
      <c r="AB172" s="2703"/>
      <c r="AC172" s="298" t="s">
        <v>167</v>
      </c>
      <c r="AD172" s="296">
        <f>MIN(ROUNDDOWN(IF(AA172&gt;AA$176,1+(AD$175-AD$176)/(AA$175-AA$176)*(AA172-AA$176),1-(AD$176-AD$177)/(AA$176-AA$177)*(AA$176-AA172)),2),AD$175)</f>
        <v>0.25</v>
      </c>
      <c r="AE172" s="297"/>
      <c r="AF172" s="299" t="s">
        <v>168</v>
      </c>
      <c r="AG172" s="300"/>
      <c r="AH172" s="300"/>
      <c r="AI172" s="300"/>
      <c r="AJ172" s="301"/>
      <c r="AK172" s="2573">
        <f>MIN(ROUNDDOWN(Y172*AD172,2),5)</f>
        <v>0</v>
      </c>
      <c r="AL172" s="2574"/>
      <c r="AM172" s="2574"/>
      <c r="AN172" s="2575"/>
      <c r="AO172" s="3012">
        <f>INT($P$172*AK172)</f>
        <v>0</v>
      </c>
      <c r="AP172" s="3013"/>
      <c r="AQ172" s="3013"/>
      <c r="AR172" s="3014"/>
      <c r="AS172" s="3012">
        <f>T172</f>
        <v>0</v>
      </c>
      <c r="AT172" s="3013"/>
      <c r="AU172" s="3014"/>
      <c r="AV172" s="3012">
        <f>AO172*AS172</f>
        <v>0</v>
      </c>
      <c r="AW172" s="3013"/>
      <c r="AX172" s="3013"/>
      <c r="AY172" s="3013"/>
      <c r="AZ172" s="3014"/>
      <c r="BA172" s="243" t="b">
        <f>COUNTA(T172:AC172)-3&lt;&gt;0</f>
        <v>0</v>
      </c>
      <c r="BB172"/>
    </row>
    <row r="173" spans="2:54" ht="13.5" customHeight="1">
      <c r="B173" s="2681"/>
      <c r="C173" s="2682"/>
      <c r="D173" s="2681"/>
      <c r="E173" s="2682"/>
      <c r="F173" s="2778"/>
      <c r="G173" s="2779"/>
      <c r="H173" s="2779"/>
      <c r="I173" s="2779"/>
      <c r="J173" s="2779"/>
      <c r="K173" s="2779"/>
      <c r="L173" s="2779"/>
      <c r="M173" s="2779"/>
      <c r="N173" s="2779"/>
      <c r="O173" s="2780"/>
      <c r="P173" s="2778"/>
      <c r="Q173" s="2779"/>
      <c r="R173" s="2779"/>
      <c r="S173" s="2780"/>
      <c r="T173" s="2762"/>
      <c r="U173" s="2763"/>
      <c r="V173" s="2769"/>
      <c r="W173" s="2770"/>
      <c r="X173" s="302" t="s">
        <v>166</v>
      </c>
      <c r="Y173" s="303">
        <f>MIN(ROUNDDOWN(IF(V173&gt;V$176,1+(Y$175-Y$176)/(V$175-V$176)*(V173-V$176),1-(Y$176-Y$177)/(V$176-V$177)*(V$176-V173)),2),Y$175)</f>
        <v>0</v>
      </c>
      <c r="Z173" s="304"/>
      <c r="AA173" s="2793"/>
      <c r="AB173" s="2794"/>
      <c r="AC173" s="305" t="s">
        <v>167</v>
      </c>
      <c r="AD173" s="303">
        <f>MIN(ROUNDDOWN(IF(AA173&gt;AA$176,1+(AD$175-AD$176)/(AA$175-AA$176)*(AA173-AA$176),1-(AD$176-AD$177)/(AA$176-AA$177)*(AA$176-AA173)),2),AD$175)</f>
        <v>0.25</v>
      </c>
      <c r="AE173" s="304"/>
      <c r="AF173" s="306" t="s">
        <v>168</v>
      </c>
      <c r="AG173" s="307"/>
      <c r="AH173" s="307"/>
      <c r="AI173" s="307"/>
      <c r="AJ173" s="308"/>
      <c r="AK173" s="2589">
        <f>ROUNDDOWN(Y173*AD173,2)</f>
        <v>0</v>
      </c>
      <c r="AL173" s="2590"/>
      <c r="AM173" s="2590"/>
      <c r="AN173" s="2591"/>
      <c r="AO173" s="2570">
        <f t="shared" ref="AO173:AO174" si="37">INT($P$172*AK173)</f>
        <v>0</v>
      </c>
      <c r="AP173" s="2571"/>
      <c r="AQ173" s="2571"/>
      <c r="AR173" s="2572"/>
      <c r="AS173" s="2570">
        <f>T173</f>
        <v>0</v>
      </c>
      <c r="AT173" s="2571"/>
      <c r="AU173" s="2572"/>
      <c r="AV173" s="2570">
        <f>AO173*AS173</f>
        <v>0</v>
      </c>
      <c r="AW173" s="2571"/>
      <c r="AX173" s="2571"/>
      <c r="AY173" s="2571"/>
      <c r="AZ173" s="2572"/>
      <c r="BA173" s="243" t="b">
        <f>COUNTA(T173:AC173)-3&lt;&gt;0</f>
        <v>0</v>
      </c>
      <c r="BB173"/>
    </row>
    <row r="174" spans="2:54" ht="13.5" customHeight="1">
      <c r="B174" s="2681"/>
      <c r="C174" s="2682"/>
      <c r="D174" s="2681"/>
      <c r="E174" s="2682"/>
      <c r="F174" s="2578"/>
      <c r="G174" s="2579"/>
      <c r="H174" s="2579"/>
      <c r="I174" s="2579"/>
      <c r="J174" s="2579"/>
      <c r="K174" s="2579"/>
      <c r="L174" s="2579"/>
      <c r="M174" s="2579"/>
      <c r="N174" s="2579"/>
      <c r="O174" s="2836"/>
      <c r="P174" s="2578"/>
      <c r="Q174" s="2579"/>
      <c r="R174" s="2579"/>
      <c r="S174" s="2836"/>
      <c r="T174" s="3038"/>
      <c r="U174" s="3039"/>
      <c r="V174" s="2822"/>
      <c r="W174" s="2823"/>
      <c r="X174" s="47" t="s">
        <v>166</v>
      </c>
      <c r="Y174" s="309">
        <f>MIN(ROUNDDOWN(IF(V174&gt;V$176,1+(Y$175-Y$176)/(V$175-V$176)*(V174-V$176),1-(Y$176-Y$177)/(V$176-V$177)*(V$176-V174)),2),Y$175)</f>
        <v>0</v>
      </c>
      <c r="Z174" s="310"/>
      <c r="AA174" s="3009"/>
      <c r="AB174" s="3010"/>
      <c r="AC174" s="311" t="s">
        <v>167</v>
      </c>
      <c r="AD174" s="309">
        <f>MIN(ROUNDDOWN(IF(AA174&gt;AA$176,1+(AD$175-AD$176)/(AA$175-AA$176)*(AA174-AA$176),1-(AD$176-AD$177)/(AA$176-AA$177)*(AA$176-AA174)),2),AD$175)</f>
        <v>0.25</v>
      </c>
      <c r="AE174" s="310"/>
      <c r="AF174" s="312" t="s">
        <v>168</v>
      </c>
      <c r="AG174" s="313"/>
      <c r="AH174" s="313"/>
      <c r="AI174" s="313"/>
      <c r="AJ174" s="314"/>
      <c r="AK174" s="3058">
        <f>ROUNDDOWN(Y174*AD174,2)</f>
        <v>0</v>
      </c>
      <c r="AL174" s="3059"/>
      <c r="AM174" s="3059"/>
      <c r="AN174" s="3060"/>
      <c r="AO174" s="3040">
        <f t="shared" si="37"/>
        <v>0</v>
      </c>
      <c r="AP174" s="3041"/>
      <c r="AQ174" s="3041"/>
      <c r="AR174" s="3042"/>
      <c r="AS174" s="3040">
        <f>T174</f>
        <v>0</v>
      </c>
      <c r="AT174" s="3041"/>
      <c r="AU174" s="3042"/>
      <c r="AV174" s="3040">
        <f>AO174*AS174</f>
        <v>0</v>
      </c>
      <c r="AW174" s="3041"/>
      <c r="AX174" s="3041"/>
      <c r="AY174" s="3041"/>
      <c r="AZ174" s="3042"/>
      <c r="BA174" s="243" t="b">
        <f>COUNTA(T174:AC174)-3&lt;&gt;0</f>
        <v>0</v>
      </c>
      <c r="BB174"/>
    </row>
    <row r="175" spans="2:54" ht="13.5" customHeight="1">
      <c r="B175" s="2681"/>
      <c r="C175" s="2682"/>
      <c r="D175" s="2681"/>
      <c r="E175" s="2682"/>
      <c r="F175" s="258"/>
      <c r="G175" s="259"/>
      <c r="H175" s="259"/>
      <c r="I175" s="259"/>
      <c r="J175" s="259"/>
      <c r="K175" s="259"/>
      <c r="L175" s="259"/>
      <c r="M175" s="259"/>
      <c r="N175" s="259"/>
      <c r="O175" s="259"/>
      <c r="P175" s="260"/>
      <c r="Q175" s="260"/>
      <c r="R175" s="260"/>
      <c r="S175" s="260"/>
      <c r="T175" s="261" t="s">
        <v>881</v>
      </c>
      <c r="U175" s="262"/>
      <c r="V175" s="3003">
        <v>200</v>
      </c>
      <c r="W175" s="3004"/>
      <c r="X175" s="315" t="s">
        <v>882</v>
      </c>
      <c r="Y175" s="169">
        <v>1.5</v>
      </c>
      <c r="Z175" s="62"/>
      <c r="AA175" s="3003">
        <v>20</v>
      </c>
      <c r="AB175" s="3004"/>
      <c r="AC175" s="315" t="s">
        <v>883</v>
      </c>
      <c r="AD175" s="169">
        <v>1.25</v>
      </c>
      <c r="AE175" s="62"/>
      <c r="AF175" s="260"/>
      <c r="AG175" s="260"/>
      <c r="AH175" s="260"/>
      <c r="AI175" s="260"/>
      <c r="AJ175" s="260"/>
      <c r="AK175" s="260"/>
      <c r="AL175" s="260"/>
      <c r="AM175" s="260"/>
      <c r="AN175" s="260"/>
      <c r="AO175" s="260"/>
      <c r="AP175" s="260"/>
      <c r="AQ175" s="260"/>
      <c r="AR175" s="260"/>
      <c r="AS175" s="260"/>
      <c r="AT175" s="260"/>
      <c r="AU175" s="260"/>
      <c r="AV175" s="260"/>
      <c r="AW175" s="260"/>
      <c r="AX175" s="260"/>
      <c r="AY175" s="260"/>
      <c r="AZ175" s="268"/>
      <c r="BA175" s="243" t="b">
        <f>BA$171</f>
        <v>0</v>
      </c>
      <c r="BB175"/>
    </row>
    <row r="176" spans="2:54" ht="13.5" customHeight="1">
      <c r="B176" s="2681"/>
      <c r="C176" s="2682"/>
      <c r="D176" s="2681"/>
      <c r="E176" s="2682"/>
      <c r="F176" s="269"/>
      <c r="G176" s="270"/>
      <c r="H176" s="270"/>
      <c r="I176" s="270"/>
      <c r="J176" s="270"/>
      <c r="K176" s="270"/>
      <c r="L176" s="270"/>
      <c r="M176" s="270"/>
      <c r="N176" s="270"/>
      <c r="O176" s="270"/>
      <c r="P176" s="271"/>
      <c r="Q176" s="271"/>
      <c r="R176" s="271"/>
      <c r="S176" s="271"/>
      <c r="T176" s="159" t="s">
        <v>161</v>
      </c>
      <c r="U176" s="272"/>
      <c r="V176" s="2795">
        <v>100</v>
      </c>
      <c r="W176" s="2796"/>
      <c r="X176" s="316" t="s">
        <v>882</v>
      </c>
      <c r="Y176" s="178">
        <v>1</v>
      </c>
      <c r="Z176" s="77"/>
      <c r="AA176" s="2795">
        <v>15</v>
      </c>
      <c r="AB176" s="2796"/>
      <c r="AC176" s="316" t="s">
        <v>883</v>
      </c>
      <c r="AD176" s="178">
        <v>1</v>
      </c>
      <c r="AE176" s="77"/>
      <c r="AF176" s="271"/>
      <c r="AG176" s="271"/>
      <c r="AH176" s="271"/>
      <c r="AI176" s="271"/>
      <c r="AJ176" s="271"/>
      <c r="AK176" s="271"/>
      <c r="AL176" s="271"/>
      <c r="AM176" s="271"/>
      <c r="AN176" s="271"/>
      <c r="AO176" s="271"/>
      <c r="AP176" s="271"/>
      <c r="AQ176" s="271"/>
      <c r="AR176" s="271"/>
      <c r="AS176" s="271"/>
      <c r="AT176" s="271"/>
      <c r="AU176" s="271"/>
      <c r="AV176" s="271"/>
      <c r="AW176" s="271"/>
      <c r="AX176" s="271"/>
      <c r="AY176" s="271"/>
      <c r="AZ176" s="277"/>
      <c r="BA176" s="243" t="b">
        <f>BA$171</f>
        <v>0</v>
      </c>
      <c r="BB176"/>
    </row>
    <row r="177" spans="1:54" ht="13.5" customHeight="1">
      <c r="B177" s="2681"/>
      <c r="C177" s="2682"/>
      <c r="D177" s="2681"/>
      <c r="E177" s="2682"/>
      <c r="F177" s="269"/>
      <c r="G177" s="270"/>
      <c r="H177" s="270"/>
      <c r="I177" s="270"/>
      <c r="J177" s="270"/>
      <c r="K177" s="270"/>
      <c r="L177" s="270"/>
      <c r="M177" s="270"/>
      <c r="N177" s="270"/>
      <c r="O177" s="270"/>
      <c r="P177" s="271"/>
      <c r="Q177" s="271"/>
      <c r="R177" s="271"/>
      <c r="S177" s="271"/>
      <c r="T177" s="278" t="s">
        <v>162</v>
      </c>
      <c r="U177" s="279"/>
      <c r="V177" s="3005">
        <v>80</v>
      </c>
      <c r="W177" s="3006"/>
      <c r="X177" s="317" t="s">
        <v>63</v>
      </c>
      <c r="Y177" s="190">
        <v>0.8</v>
      </c>
      <c r="Z177" s="93"/>
      <c r="AA177" s="3005">
        <v>10</v>
      </c>
      <c r="AB177" s="3006"/>
      <c r="AC177" s="317" t="s">
        <v>60</v>
      </c>
      <c r="AD177" s="190">
        <v>0.75</v>
      </c>
      <c r="AE177" s="93"/>
      <c r="AF177" s="271"/>
      <c r="AG177" s="271"/>
      <c r="AH177" s="271"/>
      <c r="AI177" s="271"/>
      <c r="AJ177" s="271"/>
      <c r="AK177" s="271"/>
      <c r="AL177" s="271"/>
      <c r="AM177" s="271"/>
      <c r="AN177" s="271"/>
      <c r="AO177" s="271"/>
      <c r="AP177" s="271"/>
      <c r="AQ177" s="271"/>
      <c r="AR177" s="271"/>
      <c r="AS177" s="271"/>
      <c r="AT177" s="271"/>
      <c r="AU177" s="271"/>
      <c r="AV177" s="271"/>
      <c r="AW177" s="271"/>
      <c r="AX177" s="271"/>
      <c r="AY177" s="271"/>
      <c r="AZ177" s="277"/>
      <c r="BA177" s="243" t="b">
        <f>BA$171</f>
        <v>0</v>
      </c>
      <c r="BB177"/>
    </row>
    <row r="178" spans="1:54" ht="13.5" customHeight="1" thickBot="1">
      <c r="B178" s="2681"/>
      <c r="C178" s="2682"/>
      <c r="D178" s="2681"/>
      <c r="E178" s="2682"/>
      <c r="F178" s="269"/>
      <c r="G178" s="270"/>
      <c r="H178" s="270"/>
      <c r="I178" s="270"/>
      <c r="J178" s="270"/>
      <c r="K178" s="270"/>
      <c r="L178" s="270"/>
      <c r="M178" s="270"/>
      <c r="N178" s="270"/>
      <c r="O178" s="270"/>
      <c r="P178" s="271"/>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86"/>
      <c r="AQ178" s="271"/>
      <c r="AR178" s="271"/>
      <c r="AS178" s="271"/>
      <c r="AT178" s="271"/>
      <c r="AU178" s="271"/>
      <c r="AV178" s="271"/>
      <c r="AW178" s="271"/>
      <c r="AX178" s="271"/>
      <c r="AY178" s="271"/>
      <c r="AZ178" s="277"/>
      <c r="BA178" s="243" t="b">
        <f>BA$171</f>
        <v>0</v>
      </c>
      <c r="BB178"/>
    </row>
    <row r="179" spans="1:54" ht="13.5" customHeight="1" thickBot="1">
      <c r="B179" s="2684"/>
      <c r="C179" s="2686"/>
      <c r="D179" s="318"/>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319"/>
      <c r="AP179" s="135" t="s">
        <v>782</v>
      </c>
      <c r="AQ179" s="136"/>
      <c r="AR179" s="136"/>
      <c r="AS179" s="136"/>
      <c r="AT179" s="136"/>
      <c r="AU179" s="136"/>
      <c r="AV179" s="2985">
        <f>SUM(AV159:AZ178)</f>
        <v>0</v>
      </c>
      <c r="AW179" s="2986"/>
      <c r="AX179" s="2986"/>
      <c r="AY179" s="2986"/>
      <c r="AZ179" s="2987"/>
      <c r="BA179" s="243" t="b">
        <f>AV$179&lt;&gt;0</f>
        <v>0</v>
      </c>
    </row>
    <row r="180" spans="1:54" ht="13.5" customHeight="1">
      <c r="BA180" s="25" t="b">
        <v>0</v>
      </c>
    </row>
    <row r="181" spans="1:54" ht="13.5" customHeight="1">
      <c r="C181" s="3068" t="s">
        <v>1435</v>
      </c>
      <c r="D181" s="3069"/>
      <c r="E181" s="3069"/>
      <c r="F181" s="3069"/>
      <c r="G181" s="3069"/>
      <c r="H181" s="3069"/>
      <c r="I181" s="3069"/>
      <c r="J181" s="3069"/>
      <c r="K181" s="3069"/>
      <c r="L181" s="3069"/>
      <c r="M181" s="3069"/>
      <c r="N181" s="3069"/>
      <c r="O181" s="3069"/>
      <c r="P181" s="3069"/>
      <c r="Q181" s="3069"/>
      <c r="R181" s="3069"/>
      <c r="S181" s="3069"/>
      <c r="T181" s="3069"/>
      <c r="U181" s="3069"/>
      <c r="V181" s="3069"/>
      <c r="W181" s="3069"/>
      <c r="X181" s="3069"/>
      <c r="Y181" s="3069"/>
      <c r="Z181" s="3069"/>
      <c r="AA181" s="3069"/>
      <c r="AB181" s="3069"/>
      <c r="AC181" s="3069"/>
      <c r="AD181" s="3069"/>
      <c r="AE181" s="3069"/>
      <c r="AF181" s="3069"/>
      <c r="AG181" s="3069"/>
      <c r="AH181" s="3069"/>
      <c r="AI181" s="3069"/>
      <c r="AJ181" s="3069"/>
      <c r="AK181" s="3069"/>
      <c r="AL181" s="3069"/>
      <c r="AM181" s="3069"/>
      <c r="AN181" s="3069"/>
      <c r="AO181" s="3069"/>
      <c r="AP181" s="3069"/>
      <c r="AQ181" s="3069"/>
      <c r="AR181" s="3069"/>
      <c r="AS181" s="3069"/>
      <c r="AT181" s="3069"/>
      <c r="AU181" s="3069"/>
      <c r="AV181" s="3069"/>
      <c r="AW181" s="3069"/>
      <c r="AX181" s="3069"/>
      <c r="AY181" s="3070"/>
      <c r="BA181" s="25" t="b">
        <v>0</v>
      </c>
    </row>
    <row r="182" spans="1:54" ht="13.5" customHeight="1">
      <c r="C182" s="3045" t="s">
        <v>1436</v>
      </c>
      <c r="D182" s="3046"/>
      <c r="E182" s="3046"/>
      <c r="F182" s="3046"/>
      <c r="G182" s="3046"/>
      <c r="H182" s="3046"/>
      <c r="I182" s="3046"/>
      <c r="J182" s="3046"/>
      <c r="K182" s="3046"/>
      <c r="L182" s="3046"/>
      <c r="M182" s="3046"/>
      <c r="N182" s="3046"/>
      <c r="O182" s="3046"/>
      <c r="P182" s="3046"/>
      <c r="Q182" s="3046"/>
      <c r="R182" s="3046"/>
      <c r="S182" s="3046"/>
      <c r="T182" s="3046"/>
      <c r="U182" s="3046"/>
      <c r="V182" s="3046"/>
      <c r="W182" s="3046"/>
      <c r="X182" s="3046"/>
      <c r="Y182" s="3046"/>
      <c r="Z182" s="3046"/>
      <c r="AA182" s="3046"/>
      <c r="AB182" s="3046"/>
      <c r="AC182" s="3046"/>
      <c r="AD182" s="3046"/>
      <c r="AE182" s="3046"/>
      <c r="AF182" s="3046"/>
      <c r="AG182" s="3046"/>
      <c r="AH182" s="3046"/>
      <c r="AI182" s="3046"/>
      <c r="AJ182" s="3046"/>
      <c r="AK182" s="3046"/>
      <c r="AL182" s="3046"/>
      <c r="AM182" s="3046"/>
      <c r="AN182" s="3046"/>
      <c r="AO182" s="3046"/>
      <c r="AP182" s="3046"/>
      <c r="AQ182" s="3046"/>
      <c r="AR182" s="3046"/>
      <c r="AS182" s="3046"/>
      <c r="AT182" s="3046"/>
      <c r="AU182" s="3046"/>
      <c r="AV182" s="3046"/>
      <c r="AW182" s="3046"/>
      <c r="AX182" s="3046"/>
      <c r="AY182" s="3047"/>
      <c r="BA182" s="25" t="b">
        <v>0</v>
      </c>
    </row>
    <row r="183" spans="1:54" ht="13.5" customHeight="1">
      <c r="C183" s="3045" t="s">
        <v>1437</v>
      </c>
      <c r="D183" s="3046"/>
      <c r="E183" s="3046"/>
      <c r="F183" s="3046"/>
      <c r="G183" s="3046"/>
      <c r="H183" s="3046"/>
      <c r="I183" s="3046"/>
      <c r="J183" s="3046"/>
      <c r="K183" s="3046"/>
      <c r="L183" s="3046"/>
      <c r="M183" s="3046"/>
      <c r="N183" s="3046"/>
      <c r="O183" s="3046"/>
      <c r="P183" s="3046"/>
      <c r="Q183" s="3046"/>
      <c r="R183" s="3046"/>
      <c r="S183" s="3046"/>
      <c r="T183" s="3046"/>
      <c r="U183" s="3046"/>
      <c r="V183" s="3046"/>
      <c r="W183" s="3046"/>
      <c r="X183" s="3046"/>
      <c r="Y183" s="3046"/>
      <c r="Z183" s="3046"/>
      <c r="AA183" s="3046"/>
      <c r="AB183" s="3046"/>
      <c r="AC183" s="3046"/>
      <c r="AD183" s="3046"/>
      <c r="AE183" s="3046"/>
      <c r="AF183" s="3046"/>
      <c r="AG183" s="3046"/>
      <c r="AH183" s="3046"/>
      <c r="AI183" s="3046"/>
      <c r="AJ183" s="3046"/>
      <c r="AK183" s="3046"/>
      <c r="AL183" s="3046"/>
      <c r="AM183" s="3046"/>
      <c r="AN183" s="3046"/>
      <c r="AO183" s="3046"/>
      <c r="AP183" s="3046"/>
      <c r="AQ183" s="3046"/>
      <c r="AR183" s="3046"/>
      <c r="AS183" s="3046"/>
      <c r="AT183" s="3046"/>
      <c r="AU183" s="3046"/>
      <c r="AV183" s="3046"/>
      <c r="AW183" s="3046"/>
      <c r="AX183" s="3046"/>
      <c r="AY183" s="3047"/>
      <c r="BA183" s="25" t="b">
        <v>0</v>
      </c>
    </row>
    <row r="184" spans="1:54" ht="13.5" customHeight="1">
      <c r="C184" s="3045" t="s">
        <v>1438</v>
      </c>
      <c r="D184" s="3046"/>
      <c r="E184" s="3046"/>
      <c r="F184" s="3046"/>
      <c r="G184" s="3046"/>
      <c r="H184" s="3046"/>
      <c r="I184" s="3046"/>
      <c r="J184" s="3046"/>
      <c r="K184" s="3046"/>
      <c r="L184" s="3046"/>
      <c r="M184" s="3046"/>
      <c r="N184" s="3046"/>
      <c r="O184" s="3046"/>
      <c r="P184" s="3046"/>
      <c r="Q184" s="3046"/>
      <c r="R184" s="3046"/>
      <c r="S184" s="3046"/>
      <c r="T184" s="3046"/>
      <c r="U184" s="3046"/>
      <c r="V184" s="3046"/>
      <c r="W184" s="3046"/>
      <c r="X184" s="3046"/>
      <c r="Y184" s="3046"/>
      <c r="Z184" s="3046"/>
      <c r="AA184" s="3046"/>
      <c r="AB184" s="3046"/>
      <c r="AC184" s="3046"/>
      <c r="AD184" s="3046"/>
      <c r="AE184" s="3046"/>
      <c r="AF184" s="3046"/>
      <c r="AG184" s="3046"/>
      <c r="AH184" s="3046"/>
      <c r="AI184" s="3046"/>
      <c r="AJ184" s="3046"/>
      <c r="AK184" s="3046"/>
      <c r="AL184" s="3046"/>
      <c r="AM184" s="3046"/>
      <c r="AN184" s="3046"/>
      <c r="AO184" s="3046"/>
      <c r="AP184" s="3046"/>
      <c r="AQ184" s="3046"/>
      <c r="AR184" s="3046"/>
      <c r="AS184" s="3046"/>
      <c r="AT184" s="3046"/>
      <c r="AU184" s="3046"/>
      <c r="AV184" s="3046"/>
      <c r="AW184" s="3046"/>
      <c r="AX184" s="3046"/>
      <c r="AY184" s="3047"/>
      <c r="BA184" s="25" t="b">
        <v>0</v>
      </c>
    </row>
    <row r="185" spans="1:54" ht="13.5" customHeight="1">
      <c r="C185" s="3045" t="s">
        <v>1439</v>
      </c>
      <c r="D185" s="3046"/>
      <c r="E185" s="3046"/>
      <c r="F185" s="3046"/>
      <c r="G185" s="3046"/>
      <c r="H185" s="3046"/>
      <c r="I185" s="3046"/>
      <c r="J185" s="3046"/>
      <c r="K185" s="3046"/>
      <c r="L185" s="3046"/>
      <c r="M185" s="3046"/>
      <c r="N185" s="3046"/>
      <c r="O185" s="3046"/>
      <c r="P185" s="3046"/>
      <c r="Q185" s="3046"/>
      <c r="R185" s="3046"/>
      <c r="S185" s="3046"/>
      <c r="T185" s="3046"/>
      <c r="U185" s="3046"/>
      <c r="V185" s="3046"/>
      <c r="W185" s="3046"/>
      <c r="X185" s="3046"/>
      <c r="Y185" s="3046"/>
      <c r="Z185" s="3046"/>
      <c r="AA185" s="3046"/>
      <c r="AB185" s="3046"/>
      <c r="AC185" s="3046"/>
      <c r="AD185" s="3046"/>
      <c r="AE185" s="3046"/>
      <c r="AF185" s="3046"/>
      <c r="AG185" s="3046"/>
      <c r="AH185" s="3046"/>
      <c r="AI185" s="3046"/>
      <c r="AJ185" s="3046"/>
      <c r="AK185" s="3046"/>
      <c r="AL185" s="3046"/>
      <c r="AM185" s="3046"/>
      <c r="AN185" s="3046"/>
      <c r="AO185" s="3046"/>
      <c r="AP185" s="3046"/>
      <c r="AQ185" s="3046"/>
      <c r="AR185" s="3046"/>
      <c r="AS185" s="3046"/>
      <c r="AT185" s="3046"/>
      <c r="AU185" s="3046"/>
      <c r="AV185" s="3046"/>
      <c r="AW185" s="3046"/>
      <c r="AX185" s="3046"/>
      <c r="AY185" s="3047"/>
      <c r="BA185" s="25" t="b">
        <v>0</v>
      </c>
    </row>
    <row r="186" spans="1:54" ht="13.5" customHeight="1">
      <c r="C186" s="3052" t="s">
        <v>1440</v>
      </c>
      <c r="D186" s="3053"/>
      <c r="E186" s="3053"/>
      <c r="F186" s="3053"/>
      <c r="G186" s="3053"/>
      <c r="H186" s="3053"/>
      <c r="I186" s="3053"/>
      <c r="J186" s="3053"/>
      <c r="K186" s="3053"/>
      <c r="L186" s="3053"/>
      <c r="M186" s="3053"/>
      <c r="N186" s="3053"/>
      <c r="O186" s="3053"/>
      <c r="P186" s="3053"/>
      <c r="Q186" s="3053"/>
      <c r="R186" s="3053"/>
      <c r="S186" s="3053"/>
      <c r="T186" s="3053"/>
      <c r="U186" s="3053"/>
      <c r="V186" s="3053"/>
      <c r="W186" s="3053"/>
      <c r="X186" s="3053"/>
      <c r="Y186" s="3053"/>
      <c r="Z186" s="3053"/>
      <c r="AA186" s="3053"/>
      <c r="AB186" s="3053"/>
      <c r="AC186" s="3053"/>
      <c r="AD186" s="3053"/>
      <c r="AE186" s="3053"/>
      <c r="AF186" s="3053"/>
      <c r="AG186" s="3053"/>
      <c r="AH186" s="3053"/>
      <c r="AI186" s="3053"/>
      <c r="AJ186" s="3053"/>
      <c r="AK186" s="3053"/>
      <c r="AL186" s="3053"/>
      <c r="AM186" s="3053"/>
      <c r="AN186" s="3053"/>
      <c r="AO186" s="3053"/>
      <c r="AP186" s="3053"/>
      <c r="AQ186" s="3053"/>
      <c r="AR186" s="3053"/>
      <c r="AS186" s="3053"/>
      <c r="AT186" s="3053"/>
      <c r="AU186" s="3053"/>
      <c r="AV186" s="3053"/>
      <c r="AW186" s="3053"/>
      <c r="AX186" s="3053"/>
      <c r="AY186" s="3054"/>
      <c r="BA186" s="25" t="b">
        <v>0</v>
      </c>
    </row>
    <row r="187" spans="1:54" ht="13.5" customHeight="1">
      <c r="BA187" s="25" t="b">
        <v>0</v>
      </c>
    </row>
    <row r="188" spans="1:54" ht="13.5" customHeight="1">
      <c r="B188" s="6"/>
      <c r="C188" s="26" t="s">
        <v>884</v>
      </c>
      <c r="D188" s="27"/>
      <c r="E188" s="27"/>
      <c r="F188" s="27"/>
      <c r="G188" s="27"/>
      <c r="H188" s="27"/>
      <c r="I188" s="27"/>
      <c r="J188" s="27"/>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25" t="b">
        <v>0</v>
      </c>
      <c r="BB188" s="2705" t="s">
        <v>1663</v>
      </c>
    </row>
    <row r="189" spans="1:54" ht="13.5" customHeight="1">
      <c r="B189" s="1695"/>
      <c r="C189" s="1695"/>
      <c r="AF189" s="1695"/>
      <c r="AG189" s="1695"/>
      <c r="AH189" s="1695"/>
      <c r="AI189" s="1695"/>
      <c r="AJ189" s="1695"/>
      <c r="AK189" s="1695"/>
      <c r="AL189" s="1695"/>
      <c r="AM189" s="1695"/>
      <c r="AN189" s="1695"/>
      <c r="AO189" s="1695"/>
      <c r="AP189" s="1695"/>
      <c r="AQ189" s="1695"/>
      <c r="AR189" s="1695"/>
      <c r="AS189" s="1695"/>
      <c r="AT189" s="1695"/>
      <c r="AU189" s="1695"/>
      <c r="AV189" s="1695"/>
      <c r="AW189" s="1695"/>
      <c r="AX189" s="1695"/>
      <c r="AY189" s="1695"/>
      <c r="AZ189" s="1695"/>
      <c r="BA189" s="25" t="b">
        <v>1</v>
      </c>
      <c r="BB189" s="2705"/>
    </row>
    <row r="190" spans="1:54" ht="13.5" customHeight="1">
      <c r="B190" s="137"/>
      <c r="C190" s="138"/>
      <c r="D190" s="139"/>
      <c r="E190" s="291" t="s">
        <v>759</v>
      </c>
      <c r="F190" s="292"/>
      <c r="G190" s="292"/>
      <c r="H190" s="292"/>
      <c r="I190" s="292"/>
      <c r="J190" s="292"/>
      <c r="K190" s="292"/>
      <c r="L190" s="292"/>
      <c r="M190" s="292"/>
      <c r="N190" s="292"/>
      <c r="O190" s="292"/>
      <c r="P190" s="293"/>
      <c r="Q190" s="292" t="s">
        <v>885</v>
      </c>
      <c r="R190" s="292"/>
      <c r="S190" s="292"/>
      <c r="T190" s="320"/>
      <c r="U190" s="292" t="s">
        <v>886</v>
      </c>
      <c r="V190" s="292"/>
      <c r="W190" s="292"/>
      <c r="X190" s="320"/>
      <c r="Y190" s="292" t="s">
        <v>887</v>
      </c>
      <c r="Z190" s="292"/>
      <c r="AA190" s="292"/>
      <c r="AB190" s="320"/>
      <c r="AC190" s="292" t="s">
        <v>888</v>
      </c>
      <c r="AD190" s="292"/>
      <c r="AE190" s="292"/>
      <c r="AF190" s="292" t="s">
        <v>888</v>
      </c>
      <c r="AG190" s="292"/>
      <c r="AH190" s="293"/>
      <c r="AI190" s="293"/>
      <c r="AJ190" s="291" t="s">
        <v>889</v>
      </c>
      <c r="AK190" s="292"/>
      <c r="AL190" s="293"/>
      <c r="AM190" s="291" t="s">
        <v>765</v>
      </c>
      <c r="AN190" s="292"/>
      <c r="AO190" s="293"/>
      <c r="AP190" s="291" t="s">
        <v>890</v>
      </c>
      <c r="AQ190" s="292"/>
      <c r="AR190" s="293"/>
      <c r="AS190" s="294" t="s">
        <v>891</v>
      </c>
      <c r="AT190" s="291"/>
      <c r="AU190" s="291"/>
      <c r="AV190" s="291"/>
      <c r="AW190" s="2658" t="s">
        <v>762</v>
      </c>
      <c r="AX190" s="2658"/>
      <c r="AY190" s="2658"/>
      <c r="AZ190" s="2658"/>
      <c r="BA190" s="25" t="b">
        <v>1</v>
      </c>
      <c r="BB190" s="2705"/>
    </row>
    <row r="191" spans="1:54" ht="13.5" customHeight="1">
      <c r="A191">
        <f>ROW()</f>
        <v>191</v>
      </c>
      <c r="B191" s="2681" t="s">
        <v>892</v>
      </c>
      <c r="C191" s="2673"/>
      <c r="D191" s="2682"/>
      <c r="E191" s="322" t="s">
        <v>893</v>
      </c>
      <c r="F191" s="2652" t="s">
        <v>894</v>
      </c>
      <c r="G191" s="2652"/>
      <c r="H191" s="2652"/>
      <c r="I191" s="2652"/>
      <c r="J191" s="2652"/>
      <c r="K191" s="2652"/>
      <c r="L191" s="2652"/>
      <c r="M191" s="2652"/>
      <c r="N191" s="2652"/>
      <c r="O191" s="2652"/>
      <c r="P191" s="2653"/>
      <c r="Q191" s="2733"/>
      <c r="R191" s="2691"/>
      <c r="S191" s="2691"/>
      <c r="T191" s="2300"/>
      <c r="U191" s="2691"/>
      <c r="V191" s="2691"/>
      <c r="W191" s="2691"/>
      <c r="X191" s="2300"/>
      <c r="Y191" s="2691"/>
      <c r="Z191" s="2691"/>
      <c r="AA191" s="2691"/>
      <c r="AB191" s="1382"/>
      <c r="AC191" s="3074"/>
      <c r="AD191" s="3074"/>
      <c r="AE191" s="3074"/>
      <c r="AF191" s="1382"/>
      <c r="AG191" s="3074"/>
      <c r="AH191" s="3074"/>
      <c r="AI191" s="3217"/>
      <c r="AJ191" s="2543">
        <f t="shared" ref="AJ191:AJ214" si="38">ROUNDDOWN(SUM(Q191:AI191),-1)</f>
        <v>0</v>
      </c>
      <c r="AK191" s="2544"/>
      <c r="AL191" s="2545"/>
      <c r="AM191" s="2505">
        <v>1</v>
      </c>
      <c r="AN191" s="2506"/>
      <c r="AO191" s="2507"/>
      <c r="AP191" s="2543">
        <f t="shared" ref="AP191:AP214" si="39">INT(AJ191*AM191)</f>
        <v>0</v>
      </c>
      <c r="AQ191" s="2544"/>
      <c r="AR191" s="2545"/>
      <c r="AS191" s="2659"/>
      <c r="AT191" s="2660"/>
      <c r="AU191" s="2660"/>
      <c r="AV191" s="2661"/>
      <c r="AW191" s="2520">
        <f t="shared" ref="AW191:AW214" si="40">INT(AP191*AS191)</f>
        <v>0</v>
      </c>
      <c r="AX191" s="2521"/>
      <c r="AY191" s="2521"/>
      <c r="AZ191" s="2522"/>
      <c r="BA191" s="25" t="b">
        <f ca="1">AW215=0</f>
        <v>1</v>
      </c>
      <c r="BB191"/>
    </row>
    <row r="192" spans="1:54" ht="13.5" customHeight="1">
      <c r="B192" s="2681"/>
      <c r="C192" s="2673"/>
      <c r="D192" s="2682"/>
      <c r="E192" s="1337" t="s">
        <v>893</v>
      </c>
      <c r="F192" s="2500" t="s">
        <v>1665</v>
      </c>
      <c r="G192" s="2500"/>
      <c r="H192" s="2500"/>
      <c r="I192" s="2500"/>
      <c r="J192" s="2500"/>
      <c r="K192" s="2500"/>
      <c r="L192" s="2500"/>
      <c r="M192" s="2500"/>
      <c r="N192" s="2500"/>
      <c r="O192" s="2500"/>
      <c r="P192" s="2501"/>
      <c r="Q192" s="2542">
        <v>7069</v>
      </c>
      <c r="R192" s="2518"/>
      <c r="S192" s="2518"/>
      <c r="T192" s="2299" t="s">
        <v>1664</v>
      </c>
      <c r="U192" s="2518" t="s">
        <v>1173</v>
      </c>
      <c r="V192" s="2518"/>
      <c r="W192" s="2518"/>
      <c r="X192" s="2299" t="s">
        <v>895</v>
      </c>
      <c r="Y192" s="2518">
        <v>1983</v>
      </c>
      <c r="Z192" s="2518"/>
      <c r="AA192" s="2518"/>
      <c r="AB192" s="1849" t="s">
        <v>896</v>
      </c>
      <c r="AC192" s="2792"/>
      <c r="AD192" s="2792"/>
      <c r="AE192" s="2792"/>
      <c r="AF192" s="1383" t="s">
        <v>896</v>
      </c>
      <c r="AG192" s="2792"/>
      <c r="AH192" s="2792"/>
      <c r="AI192" s="3008"/>
      <c r="AJ192" s="2520">
        <f t="shared" si="38"/>
        <v>9050</v>
      </c>
      <c r="AK192" s="2521"/>
      <c r="AL192" s="2522"/>
      <c r="AM192" s="2505">
        <v>1</v>
      </c>
      <c r="AN192" s="2506"/>
      <c r="AO192" s="2507"/>
      <c r="AP192" s="2499">
        <f t="shared" si="39"/>
        <v>9050</v>
      </c>
      <c r="AQ192" s="2500"/>
      <c r="AR192" s="2501"/>
      <c r="AS192" s="2555">
        <f ca="1">SUMIF(基礎・屋根・外壁!B$37:AE$37,F192,基礎・屋根・外壁!B$41:AE$41)+SUMIF(基礎・屋根・外壁!B$61:AE$61,F192,基礎・屋根・外壁!B$65:AE$65)+SUMIF(見積拾!C$39:D$43,F192,見積拾!T$39:T$43)</f>
        <v>0</v>
      </c>
      <c r="AT192" s="2556"/>
      <c r="AU192" s="2556"/>
      <c r="AV192" s="2557"/>
      <c r="AW192" s="2520">
        <f t="shared" ca="1" si="40"/>
        <v>0</v>
      </c>
      <c r="AX192" s="2521"/>
      <c r="AY192" s="2521"/>
      <c r="AZ192" s="2522"/>
      <c r="BA192" s="25" t="b">
        <f t="shared" ref="BA192:BA214" ca="1" si="41">AW192&lt;&gt;0</f>
        <v>0</v>
      </c>
      <c r="BB192"/>
    </row>
    <row r="193" spans="2:54" ht="13.5" customHeight="1">
      <c r="B193" s="2681"/>
      <c r="C193" s="2673"/>
      <c r="D193" s="2682"/>
      <c r="E193" s="1337" t="s">
        <v>893</v>
      </c>
      <c r="F193" s="2500" t="s">
        <v>1666</v>
      </c>
      <c r="G193" s="2500"/>
      <c r="H193" s="2500"/>
      <c r="I193" s="2500"/>
      <c r="J193" s="2500"/>
      <c r="K193" s="2500"/>
      <c r="L193" s="2500"/>
      <c r="M193" s="2500"/>
      <c r="N193" s="2500"/>
      <c r="O193" s="2500"/>
      <c r="P193" s="2501"/>
      <c r="Q193" s="2542">
        <v>7069</v>
      </c>
      <c r="R193" s="2518"/>
      <c r="S193" s="2518"/>
      <c r="T193" s="2299" t="s">
        <v>1664</v>
      </c>
      <c r="U193" s="2518" t="s">
        <v>1173</v>
      </c>
      <c r="V193" s="2518"/>
      <c r="W193" s="2518"/>
      <c r="X193" s="2299" t="s">
        <v>895</v>
      </c>
      <c r="Y193" s="2518">
        <v>1850</v>
      </c>
      <c r="Z193" s="2518"/>
      <c r="AA193" s="2518"/>
      <c r="AB193" s="1849" t="s">
        <v>896</v>
      </c>
      <c r="AC193" s="2792"/>
      <c r="AD193" s="2792"/>
      <c r="AE193" s="2792"/>
      <c r="AF193" s="1383" t="s">
        <v>896</v>
      </c>
      <c r="AG193" s="2792"/>
      <c r="AH193" s="2792"/>
      <c r="AI193" s="3008"/>
      <c r="AJ193" s="2520">
        <f t="shared" si="38"/>
        <v>8910</v>
      </c>
      <c r="AK193" s="2521"/>
      <c r="AL193" s="2522"/>
      <c r="AM193" s="2505">
        <v>1</v>
      </c>
      <c r="AN193" s="2506"/>
      <c r="AO193" s="2507"/>
      <c r="AP193" s="2499">
        <f t="shared" si="39"/>
        <v>8910</v>
      </c>
      <c r="AQ193" s="2500"/>
      <c r="AR193" s="2501"/>
      <c r="AS193" s="2555">
        <f ca="1">SUMIF(基礎・屋根・外壁!B$37:AE$37,F193,基礎・屋根・外壁!B$41:AE$41)+SUMIF(基礎・屋根・外壁!B$61:AE$61,F193,基礎・屋根・外壁!B$65:AE$65)+SUMIF(見積拾!C$39:D$43,F193,見積拾!T$39:T$43)</f>
        <v>0</v>
      </c>
      <c r="AT193" s="2556"/>
      <c r="AU193" s="2556"/>
      <c r="AV193" s="2557"/>
      <c r="AW193" s="2520">
        <f t="shared" ca="1" si="40"/>
        <v>0</v>
      </c>
      <c r="AX193" s="2521"/>
      <c r="AY193" s="2521"/>
      <c r="AZ193" s="2522"/>
      <c r="BA193" s="25" t="b">
        <f t="shared" ca="1" si="41"/>
        <v>0</v>
      </c>
      <c r="BB193"/>
    </row>
    <row r="194" spans="2:54" ht="13.5" customHeight="1">
      <c r="B194" s="2681"/>
      <c r="C194" s="2673"/>
      <c r="D194" s="2682"/>
      <c r="E194" s="1337" t="s">
        <v>893</v>
      </c>
      <c r="F194" s="2500" t="s">
        <v>1667</v>
      </c>
      <c r="G194" s="2500"/>
      <c r="H194" s="2500"/>
      <c r="I194" s="2500"/>
      <c r="J194" s="2500"/>
      <c r="K194" s="2500"/>
      <c r="L194" s="2500"/>
      <c r="M194" s="2500"/>
      <c r="N194" s="2500"/>
      <c r="O194" s="2500"/>
      <c r="P194" s="2501"/>
      <c r="Q194" s="2542">
        <v>8080</v>
      </c>
      <c r="R194" s="2518"/>
      <c r="S194" s="2518"/>
      <c r="T194" s="2299" t="s">
        <v>1664</v>
      </c>
      <c r="U194" s="2518" t="s">
        <v>1173</v>
      </c>
      <c r="V194" s="2518"/>
      <c r="W194" s="2518"/>
      <c r="X194" s="2299" t="s">
        <v>895</v>
      </c>
      <c r="Y194" s="2518">
        <v>925</v>
      </c>
      <c r="Z194" s="2518"/>
      <c r="AA194" s="2518"/>
      <c r="AB194" s="1849" t="s">
        <v>896</v>
      </c>
      <c r="AC194" s="2792"/>
      <c r="AD194" s="2792"/>
      <c r="AE194" s="2792"/>
      <c r="AF194" s="1383" t="s">
        <v>896</v>
      </c>
      <c r="AG194" s="2792"/>
      <c r="AH194" s="2792"/>
      <c r="AI194" s="3008"/>
      <c r="AJ194" s="2520">
        <f t="shared" si="38"/>
        <v>9000</v>
      </c>
      <c r="AK194" s="2521"/>
      <c r="AL194" s="2522"/>
      <c r="AM194" s="2505">
        <v>1</v>
      </c>
      <c r="AN194" s="2506"/>
      <c r="AO194" s="2507"/>
      <c r="AP194" s="2499">
        <f t="shared" si="39"/>
        <v>9000</v>
      </c>
      <c r="AQ194" s="2500"/>
      <c r="AR194" s="2501"/>
      <c r="AS194" s="2555">
        <f ca="1">SUMIF(基礎・屋根・外壁!B$37:AE$37,F194,基礎・屋根・外壁!B$41:AE$41)+SUMIF(基礎・屋根・外壁!B$61:AE$61,F194,基礎・屋根・外壁!B$65:AE$65)+SUMIF(見積拾!C$39:D$43,F194,見積拾!T$39:T$43)</f>
        <v>0</v>
      </c>
      <c r="AT194" s="2556"/>
      <c r="AU194" s="2556"/>
      <c r="AV194" s="2557"/>
      <c r="AW194" s="2520">
        <f t="shared" ca="1" si="40"/>
        <v>0</v>
      </c>
      <c r="AX194" s="2521"/>
      <c r="AY194" s="2521"/>
      <c r="AZ194" s="2522"/>
      <c r="BA194" s="25" t="b">
        <f t="shared" ca="1" si="41"/>
        <v>0</v>
      </c>
      <c r="BB194"/>
    </row>
    <row r="195" spans="2:54" ht="13.5" customHeight="1">
      <c r="B195" s="2681"/>
      <c r="C195" s="2673"/>
      <c r="D195" s="2682"/>
      <c r="E195" s="1337" t="s">
        <v>893</v>
      </c>
      <c r="F195" s="2500" t="s">
        <v>1668</v>
      </c>
      <c r="G195" s="2500"/>
      <c r="H195" s="2500"/>
      <c r="I195" s="2500"/>
      <c r="J195" s="2500"/>
      <c r="K195" s="2500"/>
      <c r="L195" s="2500"/>
      <c r="M195" s="2500"/>
      <c r="N195" s="2500"/>
      <c r="O195" s="2500"/>
      <c r="P195" s="2501"/>
      <c r="Q195" s="2542">
        <v>6790</v>
      </c>
      <c r="R195" s="2518"/>
      <c r="S195" s="2518"/>
      <c r="T195" s="2299" t="s">
        <v>1664</v>
      </c>
      <c r="U195" s="2518" t="s">
        <v>1173</v>
      </c>
      <c r="V195" s="2518"/>
      <c r="W195" s="2518"/>
      <c r="X195" s="2299" t="s">
        <v>895</v>
      </c>
      <c r="Y195" s="2518">
        <v>925</v>
      </c>
      <c r="Z195" s="2518"/>
      <c r="AA195" s="2518"/>
      <c r="AB195" s="1849" t="s">
        <v>896</v>
      </c>
      <c r="AC195" s="2792"/>
      <c r="AD195" s="2792"/>
      <c r="AE195" s="2792"/>
      <c r="AF195" s="1383" t="s">
        <v>896</v>
      </c>
      <c r="AG195" s="2792"/>
      <c r="AH195" s="2792"/>
      <c r="AI195" s="3008"/>
      <c r="AJ195" s="2520">
        <f t="shared" si="38"/>
        <v>7710</v>
      </c>
      <c r="AK195" s="2521"/>
      <c r="AL195" s="2522"/>
      <c r="AM195" s="2505">
        <v>1</v>
      </c>
      <c r="AN195" s="2506"/>
      <c r="AO195" s="2507"/>
      <c r="AP195" s="2499">
        <f t="shared" si="39"/>
        <v>7710</v>
      </c>
      <c r="AQ195" s="2500"/>
      <c r="AR195" s="2501"/>
      <c r="AS195" s="2555">
        <f ca="1">SUMIF(基礎・屋根・外壁!B$37:AE$37,F195,基礎・屋根・外壁!B$41:AE$41)+SUMIF(基礎・屋根・外壁!B$61:AE$61,F195,基礎・屋根・外壁!B$65:AE$65)+SUMIF(見積拾!C$39:D$43,F195,見積拾!T$39:T$43)</f>
        <v>0</v>
      </c>
      <c r="AT195" s="2556"/>
      <c r="AU195" s="2556"/>
      <c r="AV195" s="2557"/>
      <c r="AW195" s="2520">
        <f t="shared" ca="1" si="40"/>
        <v>0</v>
      </c>
      <c r="AX195" s="2521"/>
      <c r="AY195" s="2521"/>
      <c r="AZ195" s="2522"/>
      <c r="BA195" s="25" t="b">
        <f t="shared" ca="1" si="41"/>
        <v>0</v>
      </c>
      <c r="BB195"/>
    </row>
    <row r="196" spans="2:54" ht="13.5" customHeight="1">
      <c r="B196" s="2681"/>
      <c r="C196" s="2673"/>
      <c r="D196" s="2682"/>
      <c r="E196" s="1337" t="s">
        <v>893</v>
      </c>
      <c r="F196" s="2500" t="s">
        <v>1669</v>
      </c>
      <c r="G196" s="2500"/>
      <c r="H196" s="2500"/>
      <c r="I196" s="2500"/>
      <c r="J196" s="2500"/>
      <c r="K196" s="2500"/>
      <c r="L196" s="2500"/>
      <c r="M196" s="2500"/>
      <c r="N196" s="2500"/>
      <c r="O196" s="2500"/>
      <c r="P196" s="2501"/>
      <c r="Q196" s="2542">
        <v>5660</v>
      </c>
      <c r="R196" s="2518"/>
      <c r="S196" s="2518"/>
      <c r="T196" s="2299" t="s">
        <v>1664</v>
      </c>
      <c r="U196" s="2518" t="s">
        <v>1173</v>
      </c>
      <c r="V196" s="2518"/>
      <c r="W196" s="2518"/>
      <c r="X196" s="2299" t="s">
        <v>895</v>
      </c>
      <c r="Y196" s="2518">
        <v>925</v>
      </c>
      <c r="Z196" s="2518"/>
      <c r="AA196" s="2518"/>
      <c r="AB196" s="1849" t="s">
        <v>896</v>
      </c>
      <c r="AC196" s="2792"/>
      <c r="AD196" s="2792"/>
      <c r="AE196" s="2792"/>
      <c r="AF196" s="1383" t="s">
        <v>896</v>
      </c>
      <c r="AG196" s="2792"/>
      <c r="AH196" s="2792"/>
      <c r="AI196" s="3008"/>
      <c r="AJ196" s="2520">
        <f t="shared" si="38"/>
        <v>6580</v>
      </c>
      <c r="AK196" s="2521"/>
      <c r="AL196" s="2522"/>
      <c r="AM196" s="2505">
        <v>1</v>
      </c>
      <c r="AN196" s="2506"/>
      <c r="AO196" s="2507"/>
      <c r="AP196" s="2499">
        <f t="shared" si="39"/>
        <v>6580</v>
      </c>
      <c r="AQ196" s="2500"/>
      <c r="AR196" s="2501"/>
      <c r="AS196" s="2555">
        <f ca="1">SUMIF(基礎・屋根・外壁!B$37:AE$37,F196,基礎・屋根・外壁!B$41:AE$41)+SUMIF(基礎・屋根・外壁!B$61:AE$61,F196,基礎・屋根・外壁!B$65:AE$65)+SUMIF(見積拾!C$39:D$43,F196,見積拾!T$39:T$43)</f>
        <v>0</v>
      </c>
      <c r="AT196" s="2556"/>
      <c r="AU196" s="2556"/>
      <c r="AV196" s="2557"/>
      <c r="AW196" s="2520">
        <f t="shared" ca="1" si="40"/>
        <v>0</v>
      </c>
      <c r="AX196" s="2521"/>
      <c r="AY196" s="2521"/>
      <c r="AZ196" s="2522"/>
      <c r="BA196" s="25" t="b">
        <f t="shared" ca="1" si="41"/>
        <v>0</v>
      </c>
      <c r="BB196"/>
    </row>
    <row r="197" spans="2:54" ht="13.5" customHeight="1">
      <c r="B197" s="2681"/>
      <c r="C197" s="2673"/>
      <c r="D197" s="2682"/>
      <c r="E197" s="1337" t="s">
        <v>893</v>
      </c>
      <c r="F197" s="2500" t="s">
        <v>1670</v>
      </c>
      <c r="G197" s="2500"/>
      <c r="H197" s="2500"/>
      <c r="I197" s="2500"/>
      <c r="J197" s="2500"/>
      <c r="K197" s="2500"/>
      <c r="L197" s="2500"/>
      <c r="M197" s="2500"/>
      <c r="N197" s="2500"/>
      <c r="O197" s="2500"/>
      <c r="P197" s="2501"/>
      <c r="Q197" s="2542">
        <v>4940</v>
      </c>
      <c r="R197" s="2518"/>
      <c r="S197" s="2518"/>
      <c r="T197" s="2299" t="s">
        <v>1664</v>
      </c>
      <c r="U197" s="2518" t="s">
        <v>1173</v>
      </c>
      <c r="V197" s="2518"/>
      <c r="W197" s="2518"/>
      <c r="X197" s="2299" t="s">
        <v>895</v>
      </c>
      <c r="Y197" s="2518">
        <v>925</v>
      </c>
      <c r="Z197" s="2518"/>
      <c r="AA197" s="2518"/>
      <c r="AB197" s="1849" t="s">
        <v>896</v>
      </c>
      <c r="AC197" s="2792"/>
      <c r="AD197" s="2792"/>
      <c r="AE197" s="2792"/>
      <c r="AF197" s="1383" t="s">
        <v>896</v>
      </c>
      <c r="AG197" s="2792"/>
      <c r="AH197" s="2792"/>
      <c r="AI197" s="3008"/>
      <c r="AJ197" s="2520">
        <f>ROUNDDOWN(SUM(Q197:AI197),-1)</f>
        <v>5860</v>
      </c>
      <c r="AK197" s="2521"/>
      <c r="AL197" s="2522"/>
      <c r="AM197" s="2505">
        <v>1</v>
      </c>
      <c r="AN197" s="2506"/>
      <c r="AO197" s="2507"/>
      <c r="AP197" s="2499">
        <f t="shared" ref="AP197:AP201" si="42">INT(AJ197*AM197)</f>
        <v>5860</v>
      </c>
      <c r="AQ197" s="2500"/>
      <c r="AR197" s="2501"/>
      <c r="AS197" s="2555">
        <f ca="1">SUMIF(基礎・屋根・外壁!B$37:AE$37,F197,基礎・屋根・外壁!B$41:AE$41)+SUMIF(基礎・屋根・外壁!B$61:AE$61,F197,基礎・屋根・外壁!B$65:AE$65)+SUMIF(見積拾!C$39:D$43,F197,見積拾!T$39:T$43)</f>
        <v>0</v>
      </c>
      <c r="AT197" s="2556"/>
      <c r="AU197" s="2556"/>
      <c r="AV197" s="2557"/>
      <c r="AW197" s="2520">
        <f t="shared" ref="AW197:AW201" ca="1" si="43">INT(AP197*AS197)</f>
        <v>0</v>
      </c>
      <c r="AX197" s="2521"/>
      <c r="AY197" s="2521"/>
      <c r="AZ197" s="2522"/>
      <c r="BA197" s="25" t="b">
        <f t="shared" ref="BA197:BA201" ca="1" si="44">AW197&lt;&gt;0</f>
        <v>0</v>
      </c>
      <c r="BB197"/>
    </row>
    <row r="198" spans="2:54" ht="13.5" customHeight="1">
      <c r="B198" s="2681"/>
      <c r="C198" s="2673"/>
      <c r="D198" s="2682"/>
      <c r="E198" s="1337" t="s">
        <v>893</v>
      </c>
      <c r="F198" s="2500" t="s">
        <v>1671</v>
      </c>
      <c r="G198" s="2500"/>
      <c r="H198" s="2500"/>
      <c r="I198" s="2500"/>
      <c r="J198" s="2500"/>
      <c r="K198" s="2500"/>
      <c r="L198" s="2500"/>
      <c r="M198" s="2500"/>
      <c r="N198" s="2500"/>
      <c r="O198" s="2500"/>
      <c r="P198" s="2501"/>
      <c r="Q198" s="2542">
        <v>11303</v>
      </c>
      <c r="R198" s="2518"/>
      <c r="S198" s="2518"/>
      <c r="T198" s="2299" t="s">
        <v>1664</v>
      </c>
      <c r="U198" s="2518" t="s">
        <v>1173</v>
      </c>
      <c r="V198" s="2518"/>
      <c r="W198" s="2518"/>
      <c r="X198" s="2299" t="s">
        <v>895</v>
      </c>
      <c r="Y198" s="2518">
        <v>925</v>
      </c>
      <c r="Z198" s="2518"/>
      <c r="AA198" s="2518"/>
      <c r="AB198" s="1838" t="s">
        <v>903</v>
      </c>
      <c r="AC198" s="2518"/>
      <c r="AD198" s="2518"/>
      <c r="AE198" s="2518"/>
      <c r="AF198" s="1380" t="s">
        <v>903</v>
      </c>
      <c r="AG198" s="2518"/>
      <c r="AH198" s="2518"/>
      <c r="AI198" s="2519"/>
      <c r="AJ198" s="2520">
        <f>ROUNDDOWN(SUM(Q198:AI198),-1)</f>
        <v>12220</v>
      </c>
      <c r="AK198" s="2521"/>
      <c r="AL198" s="2522"/>
      <c r="AM198" s="2505">
        <v>1</v>
      </c>
      <c r="AN198" s="2506"/>
      <c r="AO198" s="2507"/>
      <c r="AP198" s="2499">
        <f t="shared" ref="AP198" si="45">INT(AJ198*AM198)</f>
        <v>12220</v>
      </c>
      <c r="AQ198" s="2500"/>
      <c r="AR198" s="2501"/>
      <c r="AS198" s="2555">
        <f ca="1">SUMIF(基礎・屋根・外壁!B$37:AE$37,F198,基礎・屋根・外壁!B$41:AE$41)+SUMIF(基礎・屋根・外壁!B$61:AE$61,F198,基礎・屋根・外壁!B$65:AE$65)+SUMIF(見積拾!C$39:D$43,F198,見積拾!T$39:T$43)</f>
        <v>0</v>
      </c>
      <c r="AT198" s="2556"/>
      <c r="AU198" s="2556"/>
      <c r="AV198" s="2557"/>
      <c r="AW198" s="2520">
        <f t="shared" ca="1" si="43"/>
        <v>0</v>
      </c>
      <c r="AX198" s="2521"/>
      <c r="AY198" s="2521"/>
      <c r="AZ198" s="2522"/>
      <c r="BA198" s="25" t="b">
        <f t="shared" ca="1" si="44"/>
        <v>0</v>
      </c>
      <c r="BB198"/>
    </row>
    <row r="199" spans="2:54" ht="13.5" customHeight="1">
      <c r="B199" s="2681"/>
      <c r="C199" s="2673"/>
      <c r="D199" s="2682"/>
      <c r="E199" s="1337" t="s">
        <v>893</v>
      </c>
      <c r="F199" s="2500" t="s">
        <v>1672</v>
      </c>
      <c r="G199" s="2500"/>
      <c r="H199" s="2500"/>
      <c r="I199" s="2500"/>
      <c r="J199" s="2500"/>
      <c r="K199" s="2500"/>
      <c r="L199" s="2500"/>
      <c r="M199" s="2500"/>
      <c r="N199" s="2500"/>
      <c r="O199" s="2500"/>
      <c r="P199" s="2501"/>
      <c r="Q199" s="2542">
        <v>7523</v>
      </c>
      <c r="R199" s="2518"/>
      <c r="S199" s="2518"/>
      <c r="T199" s="2299" t="s">
        <v>1664</v>
      </c>
      <c r="U199" s="2518" t="s">
        <v>1173</v>
      </c>
      <c r="V199" s="2518"/>
      <c r="W199" s="2518"/>
      <c r="X199" s="2299" t="s">
        <v>895</v>
      </c>
      <c r="Y199" s="2518">
        <v>925</v>
      </c>
      <c r="Z199" s="2518"/>
      <c r="AA199" s="2518"/>
      <c r="AB199" s="1849" t="s">
        <v>896</v>
      </c>
      <c r="AC199" s="2792"/>
      <c r="AD199" s="2792"/>
      <c r="AE199" s="2792"/>
      <c r="AF199" s="1383" t="s">
        <v>896</v>
      </c>
      <c r="AG199" s="2792"/>
      <c r="AH199" s="2792"/>
      <c r="AI199" s="3008"/>
      <c r="AJ199" s="2520">
        <f t="shared" ref="AJ199:AJ201" si="46">ROUNDDOWN(SUM(Q199:AI199),-1)</f>
        <v>8440</v>
      </c>
      <c r="AK199" s="2521"/>
      <c r="AL199" s="2522"/>
      <c r="AM199" s="2505">
        <v>1</v>
      </c>
      <c r="AN199" s="2506"/>
      <c r="AO199" s="2507"/>
      <c r="AP199" s="2499">
        <f t="shared" si="42"/>
        <v>8440</v>
      </c>
      <c r="AQ199" s="2500"/>
      <c r="AR199" s="2501"/>
      <c r="AS199" s="2555">
        <f ca="1">SUMIF(基礎・屋根・外壁!B$37:AE$37,F199,基礎・屋根・外壁!B$41:AE$41)+SUMIF(基礎・屋根・外壁!B$61:AE$61,F199,基礎・屋根・外壁!B$65:AE$65)+SUMIF(見積拾!C$39:D$43,F199,見積拾!T$39:T$43)</f>
        <v>0</v>
      </c>
      <c r="AT199" s="2556"/>
      <c r="AU199" s="2556"/>
      <c r="AV199" s="2557"/>
      <c r="AW199" s="2520">
        <f t="shared" ca="1" si="43"/>
        <v>0</v>
      </c>
      <c r="AX199" s="2521"/>
      <c r="AY199" s="2521"/>
      <c r="AZ199" s="2522"/>
      <c r="BA199" s="25" t="b">
        <f t="shared" ca="1" si="44"/>
        <v>0</v>
      </c>
      <c r="BB199"/>
    </row>
    <row r="200" spans="2:54" ht="13.5" customHeight="1">
      <c r="B200" s="2681"/>
      <c r="C200" s="2673"/>
      <c r="D200" s="2682"/>
      <c r="E200" s="1337" t="s">
        <v>893</v>
      </c>
      <c r="F200" s="2500" t="s">
        <v>1673</v>
      </c>
      <c r="G200" s="2500"/>
      <c r="H200" s="2500"/>
      <c r="I200" s="2500"/>
      <c r="J200" s="2500"/>
      <c r="K200" s="2500"/>
      <c r="L200" s="2500"/>
      <c r="M200" s="2500"/>
      <c r="N200" s="2500"/>
      <c r="O200" s="2500"/>
      <c r="P200" s="2501"/>
      <c r="Q200" s="2542">
        <v>3545</v>
      </c>
      <c r="R200" s="2518"/>
      <c r="S200" s="2518"/>
      <c r="T200" s="2299" t="s">
        <v>1664</v>
      </c>
      <c r="U200" s="2518" t="s">
        <v>1173</v>
      </c>
      <c r="V200" s="2518"/>
      <c r="W200" s="2518"/>
      <c r="X200" s="2299" t="s">
        <v>895</v>
      </c>
      <c r="Y200" s="2518">
        <v>925</v>
      </c>
      <c r="Z200" s="2518"/>
      <c r="AA200" s="2518"/>
      <c r="AB200" s="1849" t="s">
        <v>896</v>
      </c>
      <c r="AC200" s="2792"/>
      <c r="AD200" s="2792"/>
      <c r="AE200" s="2792"/>
      <c r="AF200" s="1383" t="s">
        <v>896</v>
      </c>
      <c r="AG200" s="2792"/>
      <c r="AH200" s="2792"/>
      <c r="AI200" s="3008"/>
      <c r="AJ200" s="2520">
        <f t="shared" si="46"/>
        <v>4470</v>
      </c>
      <c r="AK200" s="2521"/>
      <c r="AL200" s="2522"/>
      <c r="AM200" s="2505">
        <v>1</v>
      </c>
      <c r="AN200" s="2506"/>
      <c r="AO200" s="2507"/>
      <c r="AP200" s="2499">
        <f t="shared" si="42"/>
        <v>4470</v>
      </c>
      <c r="AQ200" s="2500"/>
      <c r="AR200" s="2501"/>
      <c r="AS200" s="2555">
        <f ca="1">SUMIF(基礎・屋根・外壁!B$37:AE$37,F200,基礎・屋根・外壁!B$41:AE$41)+SUMIF(基礎・屋根・外壁!B$61:AE$61,F200,基礎・屋根・外壁!B$65:AE$65)+SUMIF(見積拾!C$39:D$43,F200,見積拾!T$39:T$43)</f>
        <v>0</v>
      </c>
      <c r="AT200" s="2556"/>
      <c r="AU200" s="2556"/>
      <c r="AV200" s="2557"/>
      <c r="AW200" s="2520">
        <f t="shared" ca="1" si="43"/>
        <v>0</v>
      </c>
      <c r="AX200" s="2521"/>
      <c r="AY200" s="2521"/>
      <c r="AZ200" s="2522"/>
      <c r="BA200" s="25" t="b">
        <f t="shared" ca="1" si="44"/>
        <v>0</v>
      </c>
      <c r="BB200"/>
    </row>
    <row r="201" spans="2:54" ht="13.5" customHeight="1">
      <c r="B201" s="2681"/>
      <c r="C201" s="2673"/>
      <c r="D201" s="2682"/>
      <c r="E201" s="1337" t="s">
        <v>893</v>
      </c>
      <c r="F201" s="2500" t="s">
        <v>1674</v>
      </c>
      <c r="G201" s="2500"/>
      <c r="H201" s="2500"/>
      <c r="I201" s="2500"/>
      <c r="J201" s="2500"/>
      <c r="K201" s="2500"/>
      <c r="L201" s="2500"/>
      <c r="M201" s="2500"/>
      <c r="N201" s="2500"/>
      <c r="O201" s="2500"/>
      <c r="P201" s="2501"/>
      <c r="Q201" s="2542">
        <v>2950</v>
      </c>
      <c r="R201" s="2518"/>
      <c r="S201" s="2518"/>
      <c r="T201" s="2299" t="s">
        <v>1664</v>
      </c>
      <c r="U201" s="2518" t="s">
        <v>1173</v>
      </c>
      <c r="V201" s="2518"/>
      <c r="W201" s="2518"/>
      <c r="X201" s="2299" t="s">
        <v>895</v>
      </c>
      <c r="Y201" s="2518">
        <v>925</v>
      </c>
      <c r="Z201" s="2518"/>
      <c r="AA201" s="2518"/>
      <c r="AB201" s="1849" t="s">
        <v>896</v>
      </c>
      <c r="AC201" s="2792"/>
      <c r="AD201" s="2792"/>
      <c r="AE201" s="2792"/>
      <c r="AF201" s="1383" t="s">
        <v>896</v>
      </c>
      <c r="AG201" s="2792"/>
      <c r="AH201" s="2792"/>
      <c r="AI201" s="3008"/>
      <c r="AJ201" s="2520">
        <f t="shared" si="46"/>
        <v>3870</v>
      </c>
      <c r="AK201" s="2521"/>
      <c r="AL201" s="2522"/>
      <c r="AM201" s="2505">
        <v>1</v>
      </c>
      <c r="AN201" s="2506"/>
      <c r="AO201" s="2507"/>
      <c r="AP201" s="2499">
        <f t="shared" si="42"/>
        <v>3870</v>
      </c>
      <c r="AQ201" s="2500"/>
      <c r="AR201" s="2501"/>
      <c r="AS201" s="2555">
        <f ca="1">SUMIF(基礎・屋根・外壁!B$37:AE$37,F201,基礎・屋根・外壁!B$41:AE$41)+SUMIF(基礎・屋根・外壁!B$61:AE$61,F201,基礎・屋根・外壁!B$65:AE$65)+SUMIF(見積拾!C$39:D$43,F201,見積拾!T$39:T$43)</f>
        <v>0</v>
      </c>
      <c r="AT201" s="2556"/>
      <c r="AU201" s="2556"/>
      <c r="AV201" s="2557"/>
      <c r="AW201" s="2520">
        <f t="shared" ca="1" si="43"/>
        <v>0</v>
      </c>
      <c r="AX201" s="2521"/>
      <c r="AY201" s="2521"/>
      <c r="AZ201" s="2522"/>
      <c r="BA201" s="25" t="b">
        <f t="shared" ca="1" si="44"/>
        <v>0</v>
      </c>
      <c r="BB201"/>
    </row>
    <row r="202" spans="2:54" ht="13.5" customHeight="1">
      <c r="B202" s="2681"/>
      <c r="C202" s="2673"/>
      <c r="D202" s="2682"/>
      <c r="E202" s="1337" t="s">
        <v>893</v>
      </c>
      <c r="F202" s="2500" t="s">
        <v>1675</v>
      </c>
      <c r="G202" s="2500"/>
      <c r="H202" s="2500"/>
      <c r="I202" s="2500"/>
      <c r="J202" s="2500"/>
      <c r="K202" s="2500"/>
      <c r="L202" s="2500"/>
      <c r="M202" s="2500"/>
      <c r="N202" s="2500"/>
      <c r="O202" s="2500"/>
      <c r="P202" s="2501"/>
      <c r="Q202" s="2542">
        <v>2635</v>
      </c>
      <c r="R202" s="2518"/>
      <c r="S202" s="2518"/>
      <c r="T202" s="2299" t="s">
        <v>1664</v>
      </c>
      <c r="U202" s="2518" t="s">
        <v>1173</v>
      </c>
      <c r="V202" s="2518"/>
      <c r="W202" s="2518"/>
      <c r="X202" s="2299" t="s">
        <v>895</v>
      </c>
      <c r="Y202" s="2518">
        <v>925</v>
      </c>
      <c r="Z202" s="2518"/>
      <c r="AA202" s="2518"/>
      <c r="AB202" s="1849" t="s">
        <v>896</v>
      </c>
      <c r="AC202" s="2792"/>
      <c r="AD202" s="2792"/>
      <c r="AE202" s="2792"/>
      <c r="AF202" s="1383" t="s">
        <v>896</v>
      </c>
      <c r="AG202" s="2792"/>
      <c r="AH202" s="2792"/>
      <c r="AI202" s="3008"/>
      <c r="AJ202" s="2520">
        <f t="shared" si="38"/>
        <v>3560</v>
      </c>
      <c r="AK202" s="2521"/>
      <c r="AL202" s="2522"/>
      <c r="AM202" s="2505">
        <v>1</v>
      </c>
      <c r="AN202" s="2506"/>
      <c r="AO202" s="2507"/>
      <c r="AP202" s="2499">
        <f t="shared" si="39"/>
        <v>3560</v>
      </c>
      <c r="AQ202" s="2500"/>
      <c r="AR202" s="2501"/>
      <c r="AS202" s="2555">
        <f ca="1">SUMIF(基礎・屋根・外壁!B$37:AE$37,F202,基礎・屋根・外壁!B$41:AE$41)+SUMIF(基礎・屋根・外壁!B$61:AE$61,F202,基礎・屋根・外壁!B$65:AE$65)+SUMIF(見積拾!C$39:D$43,F202,見積拾!T$39:T$43)</f>
        <v>0</v>
      </c>
      <c r="AT202" s="2556"/>
      <c r="AU202" s="2556"/>
      <c r="AV202" s="2557"/>
      <c r="AW202" s="2520">
        <f t="shared" ca="1" si="40"/>
        <v>0</v>
      </c>
      <c r="AX202" s="2521"/>
      <c r="AY202" s="2521"/>
      <c r="AZ202" s="2522"/>
      <c r="BA202" s="25" t="b">
        <f t="shared" ca="1" si="41"/>
        <v>0</v>
      </c>
      <c r="BB202"/>
    </row>
    <row r="203" spans="2:54" s="1810" customFormat="1" ht="13.5" customHeight="1">
      <c r="B203" s="2681"/>
      <c r="C203" s="2673"/>
      <c r="D203" s="2683"/>
      <c r="E203" s="1808" t="s">
        <v>893</v>
      </c>
      <c r="F203" s="2500" t="s">
        <v>1676</v>
      </c>
      <c r="G203" s="2500"/>
      <c r="H203" s="2500"/>
      <c r="I203" s="2500"/>
      <c r="J203" s="2500"/>
      <c r="K203" s="2500"/>
      <c r="L203" s="2500"/>
      <c r="M203" s="2500"/>
      <c r="N203" s="2500"/>
      <c r="O203" s="2500"/>
      <c r="P203" s="2501"/>
      <c r="Q203" s="2542">
        <v>4750</v>
      </c>
      <c r="R203" s="2518"/>
      <c r="S203" s="2518"/>
      <c r="T203" s="2299" t="s">
        <v>1664</v>
      </c>
      <c r="U203" s="2518" t="s">
        <v>1173</v>
      </c>
      <c r="V203" s="2518"/>
      <c r="W203" s="2518"/>
      <c r="X203" s="2299" t="s">
        <v>895</v>
      </c>
      <c r="Y203" s="2518" t="s">
        <v>1174</v>
      </c>
      <c r="Z203" s="2518"/>
      <c r="AA203" s="2518"/>
      <c r="AB203" s="1849" t="s">
        <v>896</v>
      </c>
      <c r="AC203" s="2792"/>
      <c r="AD203" s="2792"/>
      <c r="AE203" s="2792"/>
      <c r="AF203" s="1809" t="s">
        <v>896</v>
      </c>
      <c r="AG203" s="2792"/>
      <c r="AH203" s="2792"/>
      <c r="AI203" s="3008"/>
      <c r="AJ203" s="2520">
        <f t="shared" ref="AJ203" si="47">ROUNDDOWN(SUM(Q203:AI203),-1)</f>
        <v>4750</v>
      </c>
      <c r="AK203" s="2521"/>
      <c r="AL203" s="2522"/>
      <c r="AM203" s="2505">
        <v>1</v>
      </c>
      <c r="AN203" s="2506"/>
      <c r="AO203" s="2507"/>
      <c r="AP203" s="2499">
        <f t="shared" ref="AP203" si="48">INT(AJ203*AM203)</f>
        <v>4750</v>
      </c>
      <c r="AQ203" s="2500"/>
      <c r="AR203" s="2501"/>
      <c r="AS203" s="2555">
        <f ca="1">SUMIF(基礎・屋根・外壁!B$37:AE$37,F203,基礎・屋根・外壁!B$41:AE$41)+SUMIF(基礎・屋根・外壁!B$61:AE$61,F203,基礎・屋根・外壁!B$65:AE$65)+SUMIF(見積拾!C$39:D$43,F203,見積拾!T$39:T$43)</f>
        <v>0</v>
      </c>
      <c r="AT203" s="2556"/>
      <c r="AU203" s="2556"/>
      <c r="AV203" s="2557"/>
      <c r="AW203" s="2520">
        <f t="shared" ref="AW203" ca="1" si="49">INT(AP203*AS203)</f>
        <v>0</v>
      </c>
      <c r="AX203" s="2521"/>
      <c r="AY203" s="2521"/>
      <c r="AZ203" s="2522"/>
      <c r="BA203" s="25" t="b">
        <f t="shared" ref="BA203" ca="1" si="50">AW203&lt;&gt;0</f>
        <v>0</v>
      </c>
    </row>
    <row r="204" spans="2:54" ht="13.5" customHeight="1">
      <c r="B204" s="2681"/>
      <c r="C204" s="2673"/>
      <c r="D204" s="2682"/>
      <c r="E204" s="1337" t="s">
        <v>893</v>
      </c>
      <c r="F204" s="2500" t="s">
        <v>1677</v>
      </c>
      <c r="G204" s="2500"/>
      <c r="H204" s="2500"/>
      <c r="I204" s="2500"/>
      <c r="J204" s="2500"/>
      <c r="K204" s="2500"/>
      <c r="L204" s="2500"/>
      <c r="M204" s="2500"/>
      <c r="N204" s="2500"/>
      <c r="O204" s="2500"/>
      <c r="P204" s="2501"/>
      <c r="Q204" s="2542">
        <v>3650</v>
      </c>
      <c r="R204" s="2518"/>
      <c r="S204" s="2518"/>
      <c r="T204" s="2299" t="s">
        <v>1664</v>
      </c>
      <c r="U204" s="2518" t="s">
        <v>1173</v>
      </c>
      <c r="V204" s="2518"/>
      <c r="W204" s="2518"/>
      <c r="X204" s="2299" t="s">
        <v>895</v>
      </c>
      <c r="Y204" s="2518" t="s">
        <v>1174</v>
      </c>
      <c r="Z204" s="2518"/>
      <c r="AA204" s="2518"/>
      <c r="AB204" s="1849" t="s">
        <v>896</v>
      </c>
      <c r="AC204" s="2792"/>
      <c r="AD204" s="2792"/>
      <c r="AE204" s="2792"/>
      <c r="AF204" s="1383" t="s">
        <v>896</v>
      </c>
      <c r="AG204" s="2792"/>
      <c r="AH204" s="2792"/>
      <c r="AI204" s="3008"/>
      <c r="AJ204" s="2561">
        <f t="shared" si="38"/>
        <v>3650</v>
      </c>
      <c r="AK204" s="2562"/>
      <c r="AL204" s="2563"/>
      <c r="AM204" s="2502">
        <v>1</v>
      </c>
      <c r="AN204" s="2503"/>
      <c r="AO204" s="2504"/>
      <c r="AP204" s="2499">
        <f t="shared" si="39"/>
        <v>3650</v>
      </c>
      <c r="AQ204" s="2500"/>
      <c r="AR204" s="2501"/>
      <c r="AS204" s="2555">
        <f ca="1">SUMIF(基礎・屋根・外壁!B$37:AE$37,F204,基礎・屋根・外壁!B$41:AE$41)+SUMIF(基礎・屋根・外壁!B$61:AE$61,F204,基礎・屋根・外壁!B$65:AE$65)+SUMIF(見積拾!C$39:D$43,F204,見積拾!T$39:T$43)</f>
        <v>0</v>
      </c>
      <c r="AT204" s="2556"/>
      <c r="AU204" s="2556"/>
      <c r="AV204" s="2557"/>
      <c r="AW204" s="2561">
        <f t="shared" ca="1" si="40"/>
        <v>0</v>
      </c>
      <c r="AX204" s="2562"/>
      <c r="AY204" s="2562"/>
      <c r="AZ204" s="2563"/>
      <c r="BA204" s="25" t="b">
        <f t="shared" ca="1" si="41"/>
        <v>0</v>
      </c>
      <c r="BB204"/>
    </row>
    <row r="205" spans="2:54" s="1847" customFormat="1" ht="13.5" customHeight="1">
      <c r="B205" s="2681"/>
      <c r="C205" s="2673"/>
      <c r="D205" s="2683"/>
      <c r="E205" s="1840" t="s">
        <v>893</v>
      </c>
      <c r="F205" s="2500" t="s">
        <v>2031</v>
      </c>
      <c r="G205" s="2500"/>
      <c r="H205" s="2500"/>
      <c r="I205" s="2500"/>
      <c r="J205" s="2500"/>
      <c r="K205" s="2500"/>
      <c r="L205" s="2500"/>
      <c r="M205" s="2500"/>
      <c r="N205" s="2500"/>
      <c r="O205" s="2500"/>
      <c r="P205" s="2501"/>
      <c r="Q205" s="2542">
        <v>5755</v>
      </c>
      <c r="R205" s="2518"/>
      <c r="S205" s="2518"/>
      <c r="T205" s="2299" t="s">
        <v>1664</v>
      </c>
      <c r="U205" s="2518" t="s">
        <v>1173</v>
      </c>
      <c r="V205" s="2518"/>
      <c r="W205" s="2518"/>
      <c r="X205" s="2299" t="s">
        <v>895</v>
      </c>
      <c r="Y205" s="2518">
        <v>1705</v>
      </c>
      <c r="Z205" s="2518"/>
      <c r="AA205" s="2518"/>
      <c r="AB205" s="1849" t="s">
        <v>896</v>
      </c>
      <c r="AC205" s="2792"/>
      <c r="AD205" s="2792"/>
      <c r="AE205" s="2792"/>
      <c r="AF205" s="1849" t="s">
        <v>896</v>
      </c>
      <c r="AG205" s="2792"/>
      <c r="AH205" s="2792"/>
      <c r="AI205" s="3008"/>
      <c r="AJ205" s="2561">
        <f t="shared" ref="AJ205:AJ206" si="51">ROUNDDOWN(SUM(Q205:AI205),-1)</f>
        <v>7460</v>
      </c>
      <c r="AK205" s="2562"/>
      <c r="AL205" s="2563"/>
      <c r="AM205" s="2502">
        <v>1</v>
      </c>
      <c r="AN205" s="2503"/>
      <c r="AO205" s="2504"/>
      <c r="AP205" s="2499">
        <f t="shared" ref="AP205:AP206" si="52">INT(AJ205*AM205)</f>
        <v>7460</v>
      </c>
      <c r="AQ205" s="2500"/>
      <c r="AR205" s="2501"/>
      <c r="AS205" s="2555">
        <f ca="1">SUMIF(基礎・屋根・外壁!B$37:AE$37,F205,基礎・屋根・外壁!B$41:AE$41)+SUMIF(基礎・屋根・外壁!B$61:AE$61,F205,基礎・屋根・外壁!B$65:AE$65)+SUMIF(見積拾!C$39:D$43,F205,見積拾!T$39:T$43)</f>
        <v>0</v>
      </c>
      <c r="AT205" s="2556"/>
      <c r="AU205" s="2556"/>
      <c r="AV205" s="2557"/>
      <c r="AW205" s="2561">
        <f t="shared" ref="AW205:AW206" ca="1" si="53">INT(AP205*AS205)</f>
        <v>0</v>
      </c>
      <c r="AX205" s="2562"/>
      <c r="AY205" s="2562"/>
      <c r="AZ205" s="2563"/>
      <c r="BA205" s="25" t="b">
        <f t="shared" ref="BA205:BA206" ca="1" si="54">AW205&lt;&gt;0</f>
        <v>0</v>
      </c>
    </row>
    <row r="206" spans="2:54" s="1847" customFormat="1" ht="13.5" customHeight="1">
      <c r="B206" s="2681"/>
      <c r="C206" s="2673"/>
      <c r="D206" s="2683"/>
      <c r="E206" s="1840" t="s">
        <v>893</v>
      </c>
      <c r="F206" s="2500" t="s">
        <v>2032</v>
      </c>
      <c r="G206" s="2500"/>
      <c r="H206" s="2500"/>
      <c r="I206" s="2500"/>
      <c r="J206" s="2500"/>
      <c r="K206" s="2500"/>
      <c r="L206" s="2500"/>
      <c r="M206" s="2500"/>
      <c r="N206" s="2500"/>
      <c r="O206" s="2500"/>
      <c r="P206" s="2501"/>
      <c r="Q206" s="2542">
        <v>5160</v>
      </c>
      <c r="R206" s="2518"/>
      <c r="S206" s="2518"/>
      <c r="T206" s="2299" t="s">
        <v>1664</v>
      </c>
      <c r="U206" s="2518" t="s">
        <v>1173</v>
      </c>
      <c r="V206" s="2518"/>
      <c r="W206" s="2518"/>
      <c r="X206" s="2299" t="s">
        <v>895</v>
      </c>
      <c r="Y206" s="2518">
        <v>1705</v>
      </c>
      <c r="Z206" s="2518"/>
      <c r="AA206" s="2518"/>
      <c r="AB206" s="1849" t="s">
        <v>896</v>
      </c>
      <c r="AC206" s="2792"/>
      <c r="AD206" s="2792"/>
      <c r="AE206" s="2792"/>
      <c r="AF206" s="1849" t="s">
        <v>896</v>
      </c>
      <c r="AG206" s="2792"/>
      <c r="AH206" s="2792"/>
      <c r="AI206" s="3008"/>
      <c r="AJ206" s="2561">
        <f t="shared" si="51"/>
        <v>6860</v>
      </c>
      <c r="AK206" s="2562"/>
      <c r="AL206" s="2563"/>
      <c r="AM206" s="2502">
        <v>1</v>
      </c>
      <c r="AN206" s="2503"/>
      <c r="AO206" s="2504"/>
      <c r="AP206" s="2499">
        <f t="shared" si="52"/>
        <v>6860</v>
      </c>
      <c r="AQ206" s="2500"/>
      <c r="AR206" s="2501"/>
      <c r="AS206" s="2555">
        <f ca="1">SUMIF(基礎・屋根・外壁!B$37:AE$37,F206,基礎・屋根・外壁!B$41:AE$41)+SUMIF(基礎・屋根・外壁!B$61:AE$61,F206,基礎・屋根・外壁!B$65:AE$65)+SUMIF(見積拾!C$39:D$43,F206,見積拾!T$39:T$43)</f>
        <v>0</v>
      </c>
      <c r="AT206" s="2556"/>
      <c r="AU206" s="2556"/>
      <c r="AV206" s="2557"/>
      <c r="AW206" s="2561">
        <f t="shared" ca="1" si="53"/>
        <v>0</v>
      </c>
      <c r="AX206" s="2562"/>
      <c r="AY206" s="2562"/>
      <c r="AZ206" s="2563"/>
      <c r="BA206" s="25" t="b">
        <f t="shared" ca="1" si="54"/>
        <v>0</v>
      </c>
    </row>
    <row r="207" spans="2:54" ht="13.5" customHeight="1">
      <c r="B207" s="2681"/>
      <c r="C207" s="2673"/>
      <c r="D207" s="2682"/>
      <c r="E207" s="1337" t="s">
        <v>893</v>
      </c>
      <c r="F207" s="2500" t="s">
        <v>2033</v>
      </c>
      <c r="G207" s="2500"/>
      <c r="H207" s="2500"/>
      <c r="I207" s="2500"/>
      <c r="J207" s="2500"/>
      <c r="K207" s="2500"/>
      <c r="L207" s="2500"/>
      <c r="M207" s="2500"/>
      <c r="N207" s="2500"/>
      <c r="O207" s="2500"/>
      <c r="P207" s="2501"/>
      <c r="Q207" s="2542">
        <v>4845</v>
      </c>
      <c r="R207" s="2518"/>
      <c r="S207" s="2518"/>
      <c r="T207" s="2299" t="s">
        <v>1664</v>
      </c>
      <c r="U207" s="2518" t="s">
        <v>1173</v>
      </c>
      <c r="V207" s="2518"/>
      <c r="W207" s="2518"/>
      <c r="X207" s="2299" t="s">
        <v>895</v>
      </c>
      <c r="Y207" s="2518">
        <v>1705</v>
      </c>
      <c r="Z207" s="2518"/>
      <c r="AA207" s="2518"/>
      <c r="AB207" s="1849" t="s">
        <v>896</v>
      </c>
      <c r="AC207" s="2792"/>
      <c r="AD207" s="2792"/>
      <c r="AE207" s="2792"/>
      <c r="AF207" s="1383" t="s">
        <v>896</v>
      </c>
      <c r="AG207" s="2792"/>
      <c r="AH207" s="2792"/>
      <c r="AI207" s="3008"/>
      <c r="AJ207" s="2520">
        <f t="shared" si="38"/>
        <v>6550</v>
      </c>
      <c r="AK207" s="2521"/>
      <c r="AL207" s="2522"/>
      <c r="AM207" s="2505">
        <v>1</v>
      </c>
      <c r="AN207" s="2506"/>
      <c r="AO207" s="2507"/>
      <c r="AP207" s="2499">
        <f t="shared" si="39"/>
        <v>6550</v>
      </c>
      <c r="AQ207" s="2500"/>
      <c r="AR207" s="2501"/>
      <c r="AS207" s="2555">
        <f ca="1">SUMIF(基礎・屋根・外壁!B$37:AE$37,F207,基礎・屋根・外壁!B$41:AE$41)+SUMIF(基礎・屋根・外壁!B$61:AE$61,F207,基礎・屋根・外壁!B$65:AE$65)+SUMIF(見積拾!C$39:D$43,F207,見積拾!T$39:T$43)</f>
        <v>0</v>
      </c>
      <c r="AT207" s="2556"/>
      <c r="AU207" s="2556"/>
      <c r="AV207" s="2557"/>
      <c r="AW207" s="2520">
        <f t="shared" ca="1" si="40"/>
        <v>0</v>
      </c>
      <c r="AX207" s="2521"/>
      <c r="AY207" s="2521"/>
      <c r="AZ207" s="2522"/>
      <c r="BA207" s="25" t="b">
        <f t="shared" ca="1" si="41"/>
        <v>0</v>
      </c>
      <c r="BB207"/>
    </row>
    <row r="208" spans="2:54" ht="13.5" customHeight="1">
      <c r="B208" s="2681"/>
      <c r="C208" s="2673"/>
      <c r="D208" s="2682"/>
      <c r="E208" s="1337" t="s">
        <v>893</v>
      </c>
      <c r="F208" s="2500" t="s">
        <v>2034</v>
      </c>
      <c r="G208" s="2500"/>
      <c r="H208" s="2500"/>
      <c r="I208" s="2500"/>
      <c r="J208" s="2500"/>
      <c r="K208" s="2500"/>
      <c r="L208" s="2500"/>
      <c r="M208" s="2500"/>
      <c r="N208" s="2500"/>
      <c r="O208" s="2500"/>
      <c r="P208" s="2501"/>
      <c r="Q208" s="2542">
        <v>8950</v>
      </c>
      <c r="R208" s="2518"/>
      <c r="S208" s="2518"/>
      <c r="T208" s="2299" t="s">
        <v>1664</v>
      </c>
      <c r="U208" s="2518" t="s">
        <v>1173</v>
      </c>
      <c r="V208" s="2518"/>
      <c r="W208" s="2518"/>
      <c r="X208" s="2299" t="s">
        <v>895</v>
      </c>
      <c r="Y208" s="2518" t="s">
        <v>1174</v>
      </c>
      <c r="Z208" s="2518"/>
      <c r="AA208" s="2518"/>
      <c r="AB208" s="1849" t="s">
        <v>896</v>
      </c>
      <c r="AC208" s="2792"/>
      <c r="AD208" s="2792"/>
      <c r="AE208" s="2792"/>
      <c r="AF208" s="1383" t="s">
        <v>896</v>
      </c>
      <c r="AG208" s="2792"/>
      <c r="AH208" s="2792"/>
      <c r="AI208" s="3008"/>
      <c r="AJ208" s="2520">
        <f t="shared" si="38"/>
        <v>8950</v>
      </c>
      <c r="AK208" s="2521"/>
      <c r="AL208" s="2522"/>
      <c r="AM208" s="2505">
        <v>1</v>
      </c>
      <c r="AN208" s="2506"/>
      <c r="AO208" s="2507"/>
      <c r="AP208" s="2499">
        <f t="shared" si="39"/>
        <v>8950</v>
      </c>
      <c r="AQ208" s="2500"/>
      <c r="AR208" s="2501"/>
      <c r="AS208" s="2555">
        <f ca="1">SUMIF(基礎・屋根・外壁!B$37:AE$37,F208,基礎・屋根・外壁!B$41:AE$41)+SUMIF(基礎・屋根・外壁!B$61:AE$61,F208,基礎・屋根・外壁!B$65:AE$65)+SUMIF(見積拾!C$39:D$43,F208,見積拾!T$39:T$43)</f>
        <v>0</v>
      </c>
      <c r="AT208" s="2556"/>
      <c r="AU208" s="2556"/>
      <c r="AV208" s="2557"/>
      <c r="AW208" s="2520">
        <f t="shared" ca="1" si="40"/>
        <v>0</v>
      </c>
      <c r="AX208" s="2521"/>
      <c r="AY208" s="2521"/>
      <c r="AZ208" s="2522"/>
      <c r="BA208" s="25" t="b">
        <f t="shared" ca="1" si="41"/>
        <v>0</v>
      </c>
      <c r="BB208"/>
    </row>
    <row r="209" spans="1:54" ht="13.5" customHeight="1">
      <c r="B209" s="2681"/>
      <c r="C209" s="2673"/>
      <c r="D209" s="2682"/>
      <c r="E209" s="1337" t="s">
        <v>893</v>
      </c>
      <c r="F209" s="2500" t="s">
        <v>2035</v>
      </c>
      <c r="G209" s="2500"/>
      <c r="H209" s="2500"/>
      <c r="I209" s="2500"/>
      <c r="J209" s="2500"/>
      <c r="K209" s="2500"/>
      <c r="L209" s="2500"/>
      <c r="M209" s="2500"/>
      <c r="N209" s="2500"/>
      <c r="O209" s="2500"/>
      <c r="P209" s="2501"/>
      <c r="Q209" s="2542">
        <v>7850</v>
      </c>
      <c r="R209" s="2518"/>
      <c r="S209" s="2518"/>
      <c r="T209" s="2299" t="s">
        <v>1664</v>
      </c>
      <c r="U209" s="2518" t="s">
        <v>1173</v>
      </c>
      <c r="V209" s="2518"/>
      <c r="W209" s="2518"/>
      <c r="X209" s="2299" t="s">
        <v>895</v>
      </c>
      <c r="Y209" s="2518" t="s">
        <v>1174</v>
      </c>
      <c r="Z209" s="2518"/>
      <c r="AA209" s="2518"/>
      <c r="AB209" s="1849" t="s">
        <v>896</v>
      </c>
      <c r="AC209" s="2792"/>
      <c r="AD209" s="2792"/>
      <c r="AE209" s="2792"/>
      <c r="AF209" s="1383" t="s">
        <v>896</v>
      </c>
      <c r="AG209" s="2792"/>
      <c r="AH209" s="2792"/>
      <c r="AI209" s="3008"/>
      <c r="AJ209" s="2520">
        <f t="shared" si="38"/>
        <v>7850</v>
      </c>
      <c r="AK209" s="2521"/>
      <c r="AL209" s="2522"/>
      <c r="AM209" s="2505">
        <v>1</v>
      </c>
      <c r="AN209" s="2506"/>
      <c r="AO209" s="2507"/>
      <c r="AP209" s="2499">
        <f t="shared" si="39"/>
        <v>7850</v>
      </c>
      <c r="AQ209" s="2500"/>
      <c r="AR209" s="2501"/>
      <c r="AS209" s="2555">
        <f ca="1">SUMIF(基礎・屋根・外壁!B$37:AE$37,F209,基礎・屋根・外壁!B$41:AE$41)+SUMIF(基礎・屋根・外壁!B$61:AE$61,F209,基礎・屋根・外壁!B$65:AE$65)+SUMIF(見積拾!C$39:D$43,F209,見積拾!T$39:T$43)</f>
        <v>0</v>
      </c>
      <c r="AT209" s="2556"/>
      <c r="AU209" s="2556"/>
      <c r="AV209" s="2557"/>
      <c r="AW209" s="2520">
        <f t="shared" ca="1" si="40"/>
        <v>0</v>
      </c>
      <c r="AX209" s="2521"/>
      <c r="AY209" s="2521"/>
      <c r="AZ209" s="2522"/>
      <c r="BA209" s="25" t="b">
        <f t="shared" ca="1" si="41"/>
        <v>0</v>
      </c>
      <c r="BB209"/>
    </row>
    <row r="210" spans="1:54" ht="13.5" customHeight="1">
      <c r="B210" s="2681"/>
      <c r="C210" s="2673"/>
      <c r="D210" s="2682"/>
      <c r="E210" s="1337" t="s">
        <v>893</v>
      </c>
      <c r="F210" s="2500" t="s">
        <v>1678</v>
      </c>
      <c r="G210" s="2500"/>
      <c r="H210" s="2500"/>
      <c r="I210" s="2500"/>
      <c r="J210" s="2500"/>
      <c r="K210" s="2500"/>
      <c r="L210" s="2500"/>
      <c r="M210" s="2500"/>
      <c r="N210" s="2500"/>
      <c r="O210" s="2500"/>
      <c r="P210" s="2501"/>
      <c r="Q210" s="2542">
        <v>5195</v>
      </c>
      <c r="R210" s="2518"/>
      <c r="S210" s="2518"/>
      <c r="T210" s="2299" t="s">
        <v>1664</v>
      </c>
      <c r="U210" s="2518" t="s">
        <v>1173</v>
      </c>
      <c r="V210" s="2518"/>
      <c r="W210" s="2518"/>
      <c r="X210" s="2299" t="s">
        <v>895</v>
      </c>
      <c r="Y210" s="2518" t="s">
        <v>1174</v>
      </c>
      <c r="Z210" s="2518"/>
      <c r="AA210" s="2518"/>
      <c r="AB210" s="1849" t="s">
        <v>896</v>
      </c>
      <c r="AC210" s="2792"/>
      <c r="AD210" s="2792"/>
      <c r="AE210" s="2792"/>
      <c r="AF210" s="1383" t="s">
        <v>896</v>
      </c>
      <c r="AG210" s="2792"/>
      <c r="AH210" s="2792"/>
      <c r="AI210" s="3008"/>
      <c r="AJ210" s="2520">
        <f t="shared" si="38"/>
        <v>5190</v>
      </c>
      <c r="AK210" s="2521"/>
      <c r="AL210" s="2522"/>
      <c r="AM210" s="2505">
        <v>1</v>
      </c>
      <c r="AN210" s="2506"/>
      <c r="AO210" s="2507"/>
      <c r="AP210" s="2499">
        <f t="shared" si="39"/>
        <v>5190</v>
      </c>
      <c r="AQ210" s="2500"/>
      <c r="AR210" s="2501"/>
      <c r="AS210" s="2555">
        <f ca="1">SUMIF(基礎・屋根・外壁!B$37:AE$37,F210,基礎・屋根・外壁!B$41:AE$41)+SUMIF(基礎・屋根・外壁!B$61:AE$61,F210,基礎・屋根・外壁!B$65:AE$65)+SUMIF(見積拾!C$39:D$43,F210,見積拾!T$39:T$43)</f>
        <v>0</v>
      </c>
      <c r="AT210" s="2556"/>
      <c r="AU210" s="2556"/>
      <c r="AV210" s="2557"/>
      <c r="AW210" s="2520">
        <f t="shared" ca="1" si="40"/>
        <v>0</v>
      </c>
      <c r="AX210" s="2521"/>
      <c r="AY210" s="2521"/>
      <c r="AZ210" s="2522"/>
      <c r="BA210" s="25" t="b">
        <f t="shared" ca="1" si="41"/>
        <v>0</v>
      </c>
      <c r="BB210"/>
    </row>
    <row r="211" spans="1:54" ht="13.5" customHeight="1">
      <c r="B211" s="2681"/>
      <c r="C211" s="2673"/>
      <c r="D211" s="2682"/>
      <c r="E211" s="1337" t="s">
        <v>893</v>
      </c>
      <c r="F211" s="2500" t="s">
        <v>1679</v>
      </c>
      <c r="G211" s="2500"/>
      <c r="H211" s="2500"/>
      <c r="I211" s="2500"/>
      <c r="J211" s="2500"/>
      <c r="K211" s="2500"/>
      <c r="L211" s="2500"/>
      <c r="M211" s="2500"/>
      <c r="N211" s="2500"/>
      <c r="O211" s="2500"/>
      <c r="P211" s="2501"/>
      <c r="Q211" s="2542">
        <v>3328</v>
      </c>
      <c r="R211" s="2518"/>
      <c r="S211" s="2518"/>
      <c r="T211" s="2299" t="s">
        <v>1664</v>
      </c>
      <c r="U211" s="2518" t="s">
        <v>1173</v>
      </c>
      <c r="V211" s="2518"/>
      <c r="W211" s="2518"/>
      <c r="X211" s="2299" t="s">
        <v>895</v>
      </c>
      <c r="Y211" s="2518" t="s">
        <v>1174</v>
      </c>
      <c r="Z211" s="2518"/>
      <c r="AA211" s="2518"/>
      <c r="AB211" s="1849" t="s">
        <v>896</v>
      </c>
      <c r="AC211" s="2792"/>
      <c r="AD211" s="2792"/>
      <c r="AE211" s="2792"/>
      <c r="AF211" s="1383" t="s">
        <v>896</v>
      </c>
      <c r="AG211" s="2792"/>
      <c r="AH211" s="2792"/>
      <c r="AI211" s="3008"/>
      <c r="AJ211" s="2520">
        <f t="shared" si="38"/>
        <v>3320</v>
      </c>
      <c r="AK211" s="2521"/>
      <c r="AL211" s="2522"/>
      <c r="AM211" s="2505">
        <v>1</v>
      </c>
      <c r="AN211" s="2506"/>
      <c r="AO211" s="2507"/>
      <c r="AP211" s="2499">
        <f t="shared" si="39"/>
        <v>3320</v>
      </c>
      <c r="AQ211" s="2500"/>
      <c r="AR211" s="2501"/>
      <c r="AS211" s="2555">
        <f ca="1">SUMIF(基礎・屋根・外壁!B$37:AE$37,F211,基礎・屋根・外壁!B$41:AE$41)+SUMIF(基礎・屋根・外壁!B$61:AE$61,F211,基礎・屋根・外壁!B$65:AE$65)+SUMIF(見積拾!C$39:D$43,F211,見積拾!T$39:T$43)</f>
        <v>0</v>
      </c>
      <c r="AT211" s="2556"/>
      <c r="AU211" s="2556"/>
      <c r="AV211" s="2557"/>
      <c r="AW211" s="2520">
        <f t="shared" ca="1" si="40"/>
        <v>0</v>
      </c>
      <c r="AX211" s="2521"/>
      <c r="AY211" s="2521"/>
      <c r="AZ211" s="2522"/>
      <c r="BA211" s="25" t="b">
        <f t="shared" ca="1" si="41"/>
        <v>0</v>
      </c>
      <c r="BB211"/>
    </row>
    <row r="212" spans="1:54" ht="13.5" customHeight="1">
      <c r="B212" s="2681"/>
      <c r="C212" s="2673"/>
      <c r="D212" s="2682"/>
      <c r="E212" s="1337" t="s">
        <v>893</v>
      </c>
      <c r="F212" s="2500" t="s">
        <v>1680</v>
      </c>
      <c r="G212" s="2500"/>
      <c r="H212" s="2500"/>
      <c r="I212" s="2500"/>
      <c r="J212" s="2500"/>
      <c r="K212" s="2500"/>
      <c r="L212" s="2500"/>
      <c r="M212" s="2500"/>
      <c r="N212" s="2500"/>
      <c r="O212" s="2500"/>
      <c r="P212" s="2501"/>
      <c r="Q212" s="2542">
        <v>3000</v>
      </c>
      <c r="R212" s="2518"/>
      <c r="S212" s="2518"/>
      <c r="T212" s="2299" t="s">
        <v>1664</v>
      </c>
      <c r="U212" s="2518">
        <v>4554</v>
      </c>
      <c r="V212" s="2518"/>
      <c r="W212" s="2518"/>
      <c r="X212" s="2299" t="s">
        <v>895</v>
      </c>
      <c r="Y212" s="2518">
        <v>185</v>
      </c>
      <c r="Z212" s="2518"/>
      <c r="AA212" s="2518"/>
      <c r="AB212" s="1849" t="s">
        <v>896</v>
      </c>
      <c r="AC212" s="2792"/>
      <c r="AD212" s="2792"/>
      <c r="AE212" s="2792"/>
      <c r="AF212" s="1383" t="s">
        <v>896</v>
      </c>
      <c r="AG212" s="2792"/>
      <c r="AH212" s="2792"/>
      <c r="AI212" s="3008"/>
      <c r="AJ212" s="2520">
        <f t="shared" si="38"/>
        <v>7730</v>
      </c>
      <c r="AK212" s="2521"/>
      <c r="AL212" s="2522"/>
      <c r="AM212" s="2505">
        <v>1</v>
      </c>
      <c r="AN212" s="2506"/>
      <c r="AO212" s="2507"/>
      <c r="AP212" s="2499">
        <f t="shared" si="39"/>
        <v>7730</v>
      </c>
      <c r="AQ212" s="2500"/>
      <c r="AR212" s="2501"/>
      <c r="AS212" s="2555">
        <f ca="1">SUMIF(基礎・屋根・外壁!B$37:AE$37,F212,基礎・屋根・外壁!B$41:AE$41)+SUMIF(基礎・屋根・外壁!B$61:AE$61,F212,基礎・屋根・外壁!B$65:AE$65)+SUMIF(見積拾!C$39:D$43,F212,見積拾!T$39:T$43)</f>
        <v>0</v>
      </c>
      <c r="AT212" s="2556"/>
      <c r="AU212" s="2556"/>
      <c r="AV212" s="2557"/>
      <c r="AW212" s="2520">
        <f t="shared" ca="1" si="40"/>
        <v>0</v>
      </c>
      <c r="AX212" s="2521"/>
      <c r="AY212" s="2521"/>
      <c r="AZ212" s="2522"/>
      <c r="BA212" s="25" t="b">
        <f t="shared" ca="1" si="41"/>
        <v>0</v>
      </c>
      <c r="BB212"/>
    </row>
    <row r="213" spans="1:54" ht="13.5" customHeight="1">
      <c r="B213" s="2681"/>
      <c r="C213" s="2673"/>
      <c r="D213" s="2682"/>
      <c r="E213" s="327" t="s">
        <v>897</v>
      </c>
      <c r="F213" s="3218" t="s">
        <v>898</v>
      </c>
      <c r="G213" s="3218"/>
      <c r="H213" s="3218"/>
      <c r="I213" s="3218"/>
      <c r="J213" s="3218"/>
      <c r="K213" s="3218"/>
      <c r="L213" s="3218"/>
      <c r="M213" s="3218"/>
      <c r="N213" s="3218"/>
      <c r="O213" s="3218"/>
      <c r="P213" s="3219"/>
      <c r="Q213" s="3220"/>
      <c r="R213" s="2540"/>
      <c r="S213" s="2540"/>
      <c r="T213" s="1384" t="s">
        <v>896</v>
      </c>
      <c r="U213" s="2540"/>
      <c r="V213" s="2540"/>
      <c r="W213" s="2540"/>
      <c r="X213" s="1384" t="s">
        <v>896</v>
      </c>
      <c r="Y213" s="2540"/>
      <c r="Z213" s="2540"/>
      <c r="AA213" s="2540"/>
      <c r="AB213" s="1384" t="s">
        <v>896</v>
      </c>
      <c r="AC213" s="2540"/>
      <c r="AD213" s="2540"/>
      <c r="AE213" s="2540"/>
      <c r="AF213" s="1384" t="s">
        <v>896</v>
      </c>
      <c r="AG213" s="2540"/>
      <c r="AH213" s="2540"/>
      <c r="AI213" s="2541"/>
      <c r="AJ213" s="2543">
        <f t="shared" si="38"/>
        <v>0</v>
      </c>
      <c r="AK213" s="2544"/>
      <c r="AL213" s="2545"/>
      <c r="AM213" s="2505">
        <v>1</v>
      </c>
      <c r="AN213" s="2506"/>
      <c r="AO213" s="2507"/>
      <c r="AP213" s="2499">
        <f t="shared" si="39"/>
        <v>0</v>
      </c>
      <c r="AQ213" s="2500"/>
      <c r="AR213" s="2501"/>
      <c r="AS213" s="2555">
        <f ca="1">SUMIF(基礎・屋根・外壁!B$37:AE$37,F213,基礎・屋根・外壁!B$41:AE$41)+SUMIF(基礎・屋根・外壁!B$61:AE$61,F213,基礎・屋根・外壁!B$65:AE$65)+SUMIF(見積拾!C$39:D$43,F213,見積拾!T$39:T$43)</f>
        <v>0</v>
      </c>
      <c r="AT213" s="2556"/>
      <c r="AU213" s="2556"/>
      <c r="AV213" s="2557"/>
      <c r="AW213" s="2520">
        <f t="shared" ca="1" si="40"/>
        <v>0</v>
      </c>
      <c r="AX213" s="2521"/>
      <c r="AY213" s="2521"/>
      <c r="AZ213" s="2522"/>
      <c r="BA213" s="25" t="b">
        <f t="shared" ca="1" si="41"/>
        <v>0</v>
      </c>
      <c r="BB213"/>
    </row>
    <row r="214" spans="1:54" ht="13.5" customHeight="1" thickBot="1">
      <c r="B214" s="2681"/>
      <c r="C214" s="2673"/>
      <c r="D214" s="2682"/>
      <c r="E214" s="328" t="s">
        <v>897</v>
      </c>
      <c r="F214" s="2813" t="s">
        <v>898</v>
      </c>
      <c r="G214" s="2813"/>
      <c r="H214" s="2813"/>
      <c r="I214" s="2813"/>
      <c r="J214" s="2813"/>
      <c r="K214" s="2813"/>
      <c r="L214" s="2813"/>
      <c r="M214" s="2813"/>
      <c r="N214" s="2813"/>
      <c r="O214" s="2813"/>
      <c r="P214" s="2814"/>
      <c r="Q214" s="3071"/>
      <c r="R214" s="3072"/>
      <c r="S214" s="3072"/>
      <c r="T214" s="1385" t="s">
        <v>896</v>
      </c>
      <c r="U214" s="3072"/>
      <c r="V214" s="3072"/>
      <c r="W214" s="3072"/>
      <c r="X214" s="1385" t="s">
        <v>896</v>
      </c>
      <c r="Y214" s="3072"/>
      <c r="Z214" s="3072"/>
      <c r="AA214" s="3072"/>
      <c r="AB214" s="1385" t="s">
        <v>896</v>
      </c>
      <c r="AC214" s="3072"/>
      <c r="AD214" s="3072"/>
      <c r="AE214" s="3072"/>
      <c r="AF214" s="1385" t="s">
        <v>896</v>
      </c>
      <c r="AG214" s="3072"/>
      <c r="AH214" s="3072"/>
      <c r="AI214" s="3073"/>
      <c r="AJ214" s="2543">
        <f t="shared" si="38"/>
        <v>0</v>
      </c>
      <c r="AK214" s="2544"/>
      <c r="AL214" s="2545"/>
      <c r="AM214" s="2505">
        <v>1</v>
      </c>
      <c r="AN214" s="2506"/>
      <c r="AO214" s="2507"/>
      <c r="AP214" s="3062">
        <f t="shared" si="39"/>
        <v>0</v>
      </c>
      <c r="AQ214" s="3063"/>
      <c r="AR214" s="3064"/>
      <c r="AS214" s="2555">
        <f ca="1">SUMIF(基礎・屋根・外壁!B$37:AE$37,F214,基礎・屋根・外壁!B$41:AE$41)+SUMIF(基礎・屋根・外壁!B$61:AE$61,F214,基礎・屋根・外壁!B$65:AE$65)+SUMIF(見積拾!C$39:D$43,F214,見積拾!T$39:T$43)</f>
        <v>0</v>
      </c>
      <c r="AT214" s="2556"/>
      <c r="AU214" s="2556"/>
      <c r="AV214" s="2557"/>
      <c r="AW214" s="2520">
        <f t="shared" ca="1" si="40"/>
        <v>0</v>
      </c>
      <c r="AX214" s="2521"/>
      <c r="AY214" s="2521"/>
      <c r="AZ214" s="2522"/>
      <c r="BA214" s="25" t="b">
        <f t="shared" ca="1" si="41"/>
        <v>0</v>
      </c>
      <c r="BB214"/>
    </row>
    <row r="215" spans="1:54" ht="13.5" customHeight="1" thickBot="1">
      <c r="B215" s="2684"/>
      <c r="C215" s="2685"/>
      <c r="D215" s="2686"/>
      <c r="E215" s="329"/>
      <c r="F215" s="330"/>
      <c r="G215" s="330"/>
      <c r="H215" s="330"/>
      <c r="I215" s="330"/>
      <c r="J215" s="330"/>
      <c r="K215" s="330"/>
      <c r="L215" s="330"/>
      <c r="M215" s="330"/>
      <c r="N215" s="330"/>
      <c r="O215" s="330"/>
      <c r="P215" s="330"/>
      <c r="Q215" s="329"/>
      <c r="R215" s="330"/>
      <c r="S215" s="330"/>
      <c r="T215" s="330"/>
      <c r="U215" s="330"/>
      <c r="V215" s="330"/>
      <c r="W215" s="330"/>
      <c r="X215" s="330"/>
      <c r="Y215" s="330"/>
      <c r="Z215" s="330"/>
      <c r="AA215" s="330"/>
      <c r="AB215" s="330"/>
      <c r="AC215" s="330"/>
      <c r="AD215" s="330"/>
      <c r="AE215" s="330"/>
      <c r="AF215" s="330"/>
      <c r="AG215" s="330"/>
      <c r="AH215" s="330"/>
      <c r="AI215" s="331"/>
      <c r="AJ215" s="3076" t="str">
        <f ca="1">IF(AS215=基礎・屋根・外壁!AF41+見積拾!T44,"面積合計及び部分別評点数","補助票と面積が違います！")</f>
        <v>面積合計及び部分別評点数</v>
      </c>
      <c r="AK215" s="3077"/>
      <c r="AL215" s="3077"/>
      <c r="AM215" s="3077"/>
      <c r="AN215" s="3077"/>
      <c r="AO215" s="3077"/>
      <c r="AP215" s="3077"/>
      <c r="AQ215" s="3077"/>
      <c r="AR215" s="3078"/>
      <c r="AS215" s="3065">
        <f ca="1">SUM(AS192:AV214)</f>
        <v>0</v>
      </c>
      <c r="AT215" s="3066"/>
      <c r="AU215" s="3066"/>
      <c r="AV215" s="3067"/>
      <c r="AW215" s="2668">
        <f ca="1">SUM(AW191:AZ214)</f>
        <v>0</v>
      </c>
      <c r="AX215" s="2668"/>
      <c r="AY215" s="2668"/>
      <c r="AZ215" s="2669"/>
      <c r="BA215" s="25" t="b">
        <v>1</v>
      </c>
      <c r="BB215"/>
    </row>
    <row r="216" spans="1:54" ht="13.5" customHeight="1">
      <c r="BA216" s="25" t="b">
        <v>0</v>
      </c>
    </row>
    <row r="217" spans="1:54" ht="13.5" customHeight="1">
      <c r="BA217" s="25" t="b">
        <v>0</v>
      </c>
    </row>
    <row r="218" spans="1:54" ht="13.5" customHeight="1">
      <c r="C218" s="26" t="s">
        <v>899</v>
      </c>
      <c r="D218" s="27"/>
      <c r="E218" s="27"/>
      <c r="F218" s="27"/>
      <c r="G218" s="27"/>
      <c r="H218" s="27"/>
      <c r="I218" s="27"/>
      <c r="J218" s="27"/>
      <c r="BA218" s="25" t="b">
        <v>0</v>
      </c>
    </row>
    <row r="219" spans="1:54" ht="13.5" customHeight="1">
      <c r="BA219" s="25" t="b">
        <v>0</v>
      </c>
      <c r="BB219"/>
    </row>
    <row r="220" spans="1:54" ht="13.5" customHeight="1">
      <c r="B220" s="137"/>
      <c r="C220" s="138"/>
      <c r="D220" s="139"/>
      <c r="E220" s="291" t="s">
        <v>759</v>
      </c>
      <c r="F220" s="292"/>
      <c r="G220" s="292"/>
      <c r="H220" s="292"/>
      <c r="I220" s="292"/>
      <c r="J220" s="292"/>
      <c r="K220" s="292"/>
      <c r="L220" s="292"/>
      <c r="M220" s="292"/>
      <c r="N220" s="292"/>
      <c r="O220" s="292"/>
      <c r="P220" s="293"/>
      <c r="Q220" s="292" t="s">
        <v>885</v>
      </c>
      <c r="R220" s="292"/>
      <c r="S220" s="292"/>
      <c r="T220" s="320"/>
      <c r="U220" s="292" t="s">
        <v>886</v>
      </c>
      <c r="V220" s="292"/>
      <c r="W220" s="292"/>
      <c r="X220" s="320"/>
      <c r="Y220" s="292" t="s">
        <v>887</v>
      </c>
      <c r="Z220" s="292"/>
      <c r="AA220" s="292"/>
      <c r="AB220" s="320"/>
      <c r="AC220" s="292" t="s">
        <v>888</v>
      </c>
      <c r="AD220" s="292"/>
      <c r="AE220" s="292"/>
      <c r="AF220" s="292" t="s">
        <v>888</v>
      </c>
      <c r="AG220" s="292"/>
      <c r="AH220" s="293"/>
      <c r="AI220" s="293"/>
      <c r="AJ220" s="291" t="s">
        <v>889</v>
      </c>
      <c r="AK220" s="292"/>
      <c r="AL220" s="293"/>
      <c r="AM220" s="291" t="s">
        <v>765</v>
      </c>
      <c r="AN220" s="292"/>
      <c r="AO220" s="293"/>
      <c r="AP220" s="291" t="s">
        <v>890</v>
      </c>
      <c r="AQ220" s="292"/>
      <c r="AR220" s="293"/>
      <c r="AS220" s="294" t="s">
        <v>891</v>
      </c>
      <c r="AT220" s="291"/>
      <c r="AU220" s="291"/>
      <c r="AV220" s="291"/>
      <c r="AW220" s="2658" t="s">
        <v>762</v>
      </c>
      <c r="AX220" s="2658"/>
      <c r="AY220" s="2658"/>
      <c r="AZ220" s="2658"/>
      <c r="BA220" s="25" t="b">
        <v>0</v>
      </c>
      <c r="BB220"/>
    </row>
    <row r="221" spans="1:54" ht="13.5" customHeight="1">
      <c r="A221">
        <f>ROW()</f>
        <v>221</v>
      </c>
      <c r="B221" s="2681" t="s">
        <v>900</v>
      </c>
      <c r="C221" s="2673"/>
      <c r="D221" s="2682"/>
      <c r="E221" s="322" t="s">
        <v>893</v>
      </c>
      <c r="F221" s="2811" t="s">
        <v>894</v>
      </c>
      <c r="G221" s="2811"/>
      <c r="H221" s="2811"/>
      <c r="I221" s="2811"/>
      <c r="J221" s="2811"/>
      <c r="K221" s="2811"/>
      <c r="L221" s="2811"/>
      <c r="M221" s="2811"/>
      <c r="N221" s="2811"/>
      <c r="O221" s="2811"/>
      <c r="P221" s="2812"/>
      <c r="Q221" s="2733"/>
      <c r="R221" s="2691"/>
      <c r="S221" s="2691"/>
      <c r="T221" s="2300"/>
      <c r="U221" s="2691"/>
      <c r="V221" s="2691"/>
      <c r="W221" s="2691"/>
      <c r="X221" s="2300"/>
      <c r="Y221" s="2691"/>
      <c r="Z221" s="2691"/>
      <c r="AA221" s="2691"/>
      <c r="AB221" s="2300"/>
      <c r="AC221" s="2691"/>
      <c r="AD221" s="2691"/>
      <c r="AE221" s="2691"/>
      <c r="AF221" s="1378"/>
      <c r="AG221" s="3075"/>
      <c r="AH221" s="3075"/>
      <c r="AI221" s="3075"/>
      <c r="AJ221" s="2543">
        <f t="shared" ref="AJ221:AJ243" si="55">ROUNDDOWN(SUM(Q221:AI221),-1)</f>
        <v>0</v>
      </c>
      <c r="AK221" s="2544"/>
      <c r="AL221" s="2545"/>
      <c r="AM221" s="2505">
        <v>1</v>
      </c>
      <c r="AN221" s="2506"/>
      <c r="AO221" s="2507"/>
      <c r="AP221" s="2543">
        <f t="shared" ref="AP221:AP243" si="56">INT(AJ221*AM221)</f>
        <v>0</v>
      </c>
      <c r="AQ221" s="2544"/>
      <c r="AR221" s="2545"/>
      <c r="AS221" s="2659"/>
      <c r="AT221" s="2660"/>
      <c r="AU221" s="2660"/>
      <c r="AV221" s="2661"/>
      <c r="AW221" s="2520">
        <f t="shared" ref="AW221:AW243" si="57">INT(AP221*AS221)</f>
        <v>0</v>
      </c>
      <c r="AX221" s="2521"/>
      <c r="AY221" s="2521"/>
      <c r="AZ221" s="2522"/>
      <c r="BA221" s="25" t="b">
        <f ca="1">AW244=0</f>
        <v>1</v>
      </c>
      <c r="BB221"/>
    </row>
    <row r="222" spans="1:54" ht="13.5" customHeight="1">
      <c r="B222" s="2681"/>
      <c r="C222" s="2673"/>
      <c r="D222" s="2682"/>
      <c r="E222" s="322" t="s">
        <v>893</v>
      </c>
      <c r="F222" s="2500" t="s">
        <v>1665</v>
      </c>
      <c r="G222" s="2500"/>
      <c r="H222" s="2500"/>
      <c r="I222" s="2500"/>
      <c r="J222" s="2500"/>
      <c r="K222" s="2500"/>
      <c r="L222" s="2500"/>
      <c r="M222" s="2500"/>
      <c r="N222" s="2500"/>
      <c r="O222" s="2500"/>
      <c r="P222" s="2501"/>
      <c r="Q222" s="2542">
        <v>5740</v>
      </c>
      <c r="R222" s="2518"/>
      <c r="S222" s="2518"/>
      <c r="T222" s="2299" t="s">
        <v>1664</v>
      </c>
      <c r="U222" s="2518" t="s">
        <v>1173</v>
      </c>
      <c r="V222" s="2518"/>
      <c r="W222" s="2518"/>
      <c r="X222" s="2299" t="s">
        <v>895</v>
      </c>
      <c r="Y222" s="2518">
        <v>1983</v>
      </c>
      <c r="Z222" s="2518"/>
      <c r="AA222" s="2518"/>
      <c r="AB222" s="2301" t="s">
        <v>1172</v>
      </c>
      <c r="AC222" s="2518"/>
      <c r="AD222" s="2518"/>
      <c r="AE222" s="2518"/>
      <c r="AF222" s="1380" t="s">
        <v>901</v>
      </c>
      <c r="AG222" s="2518"/>
      <c r="AH222" s="2518"/>
      <c r="AI222" s="2518"/>
      <c r="AJ222" s="2520">
        <f t="shared" si="55"/>
        <v>7720</v>
      </c>
      <c r="AK222" s="2521"/>
      <c r="AL222" s="2522"/>
      <c r="AM222" s="2505">
        <v>1</v>
      </c>
      <c r="AN222" s="2506"/>
      <c r="AO222" s="2507"/>
      <c r="AP222" s="2499">
        <f t="shared" si="56"/>
        <v>7720</v>
      </c>
      <c r="AQ222" s="2500"/>
      <c r="AR222" s="2501"/>
      <c r="AS222" s="2555">
        <f ca="1">SUMIF(床・天井!Q$6:Q$89,F222,床・天井!I$6:I$89)+SUMIF(見積拾!C$47:D$51,F222,見積拾!T$47:T$51)</f>
        <v>0</v>
      </c>
      <c r="AT222" s="2556"/>
      <c r="AU222" s="2556"/>
      <c r="AV222" s="2557"/>
      <c r="AW222" s="2520">
        <f t="shared" ca="1" si="57"/>
        <v>0</v>
      </c>
      <c r="AX222" s="2521"/>
      <c r="AY222" s="2521"/>
      <c r="AZ222" s="2522"/>
      <c r="BA222" s="25" t="b">
        <f t="shared" ref="BA222:BA243" ca="1" si="58">AW222&lt;&gt;0</f>
        <v>0</v>
      </c>
      <c r="BB222"/>
    </row>
    <row r="223" spans="1:54" ht="13.5" customHeight="1">
      <c r="B223" s="2681"/>
      <c r="C223" s="2673"/>
      <c r="D223" s="2682"/>
      <c r="E223" s="322" t="s">
        <v>893</v>
      </c>
      <c r="F223" s="2500" t="s">
        <v>1666</v>
      </c>
      <c r="G223" s="2500"/>
      <c r="H223" s="2500"/>
      <c r="I223" s="2500"/>
      <c r="J223" s="2500"/>
      <c r="K223" s="2500"/>
      <c r="L223" s="2500"/>
      <c r="M223" s="2500"/>
      <c r="N223" s="2500"/>
      <c r="O223" s="2500"/>
      <c r="P223" s="2501"/>
      <c r="Q223" s="2542">
        <v>5740</v>
      </c>
      <c r="R223" s="2518"/>
      <c r="S223" s="2518"/>
      <c r="T223" s="2299" t="s">
        <v>1664</v>
      </c>
      <c r="U223" s="2518" t="s">
        <v>1173</v>
      </c>
      <c r="V223" s="2518"/>
      <c r="W223" s="2518"/>
      <c r="X223" s="2299" t="s">
        <v>895</v>
      </c>
      <c r="Y223" s="2518">
        <v>1850</v>
      </c>
      <c r="Z223" s="2518"/>
      <c r="AA223" s="2518"/>
      <c r="AB223" s="2301" t="s">
        <v>1172</v>
      </c>
      <c r="AC223" s="2518"/>
      <c r="AD223" s="2518"/>
      <c r="AE223" s="2518"/>
      <c r="AF223" s="1380" t="s">
        <v>902</v>
      </c>
      <c r="AG223" s="2518"/>
      <c r="AH223" s="2518"/>
      <c r="AI223" s="2518"/>
      <c r="AJ223" s="2520">
        <f t="shared" si="55"/>
        <v>7590</v>
      </c>
      <c r="AK223" s="2521"/>
      <c r="AL223" s="2522"/>
      <c r="AM223" s="2505">
        <v>1</v>
      </c>
      <c r="AN223" s="2506"/>
      <c r="AO223" s="2507"/>
      <c r="AP223" s="2499">
        <f t="shared" si="56"/>
        <v>7590</v>
      </c>
      <c r="AQ223" s="2500"/>
      <c r="AR223" s="2501"/>
      <c r="AS223" s="2555">
        <f ca="1">SUMIF(床・天井!Q$6:Q$89,F223,床・天井!I$6:I$89)+SUMIF(見積拾!C$47:D$51,F223,見積拾!T$47:T$51)</f>
        <v>0</v>
      </c>
      <c r="AT223" s="2556"/>
      <c r="AU223" s="2556"/>
      <c r="AV223" s="2557"/>
      <c r="AW223" s="2520">
        <f t="shared" ca="1" si="57"/>
        <v>0</v>
      </c>
      <c r="AX223" s="2521"/>
      <c r="AY223" s="2521"/>
      <c r="AZ223" s="2522"/>
      <c r="BA223" s="25" t="b">
        <f t="shared" ca="1" si="58"/>
        <v>0</v>
      </c>
      <c r="BB223"/>
    </row>
    <row r="224" spans="1:54" ht="13.5" customHeight="1">
      <c r="B224" s="2681"/>
      <c r="C224" s="2673"/>
      <c r="D224" s="2682"/>
      <c r="E224" s="322" t="s">
        <v>893</v>
      </c>
      <c r="F224" s="2500" t="s">
        <v>1175</v>
      </c>
      <c r="G224" s="2500"/>
      <c r="H224" s="2500"/>
      <c r="I224" s="2500"/>
      <c r="J224" s="2500"/>
      <c r="K224" s="2500"/>
      <c r="L224" s="2500"/>
      <c r="M224" s="2500"/>
      <c r="N224" s="2500"/>
      <c r="O224" s="2500"/>
      <c r="P224" s="2501"/>
      <c r="Q224" s="2542">
        <v>518</v>
      </c>
      <c r="R224" s="2518"/>
      <c r="S224" s="2518"/>
      <c r="T224" s="2299" t="s">
        <v>1664</v>
      </c>
      <c r="U224" s="2518">
        <v>1771</v>
      </c>
      <c r="V224" s="2518"/>
      <c r="W224" s="2518"/>
      <c r="X224" s="2299" t="s">
        <v>895</v>
      </c>
      <c r="Y224" s="2518" t="s">
        <v>1174</v>
      </c>
      <c r="Z224" s="2518"/>
      <c r="AA224" s="2518"/>
      <c r="AB224" s="2301" t="s">
        <v>1172</v>
      </c>
      <c r="AC224" s="2518"/>
      <c r="AD224" s="2518"/>
      <c r="AE224" s="2518"/>
      <c r="AF224" s="1380" t="s">
        <v>64</v>
      </c>
      <c r="AG224" s="2518"/>
      <c r="AH224" s="2518"/>
      <c r="AI224" s="2518"/>
      <c r="AJ224" s="2520">
        <f t="shared" si="55"/>
        <v>2280</v>
      </c>
      <c r="AK224" s="2521"/>
      <c r="AL224" s="2522"/>
      <c r="AM224" s="2505">
        <v>1</v>
      </c>
      <c r="AN224" s="2506"/>
      <c r="AO224" s="2507"/>
      <c r="AP224" s="2499">
        <f t="shared" si="56"/>
        <v>2280</v>
      </c>
      <c r="AQ224" s="2500"/>
      <c r="AR224" s="2501"/>
      <c r="AS224" s="2555">
        <f ca="1">SUMIF(床・天井!Q$6:Q$89,F224,床・天井!I$6:I$89)+SUMIF(見積拾!C$47:D$51,F224,見積拾!T$47:T$51)</f>
        <v>0</v>
      </c>
      <c r="AT224" s="2556"/>
      <c r="AU224" s="2556"/>
      <c r="AV224" s="2557"/>
      <c r="AW224" s="2520">
        <f t="shared" ca="1" si="57"/>
        <v>0</v>
      </c>
      <c r="AX224" s="2521"/>
      <c r="AY224" s="2521"/>
      <c r="AZ224" s="2522"/>
      <c r="BA224" s="25" t="b">
        <f t="shared" ca="1" si="58"/>
        <v>0</v>
      </c>
      <c r="BB224"/>
    </row>
    <row r="225" spans="2:54" ht="13.5" customHeight="1">
      <c r="B225" s="2681"/>
      <c r="C225" s="2673"/>
      <c r="D225" s="2682"/>
      <c r="E225" s="322" t="s">
        <v>893</v>
      </c>
      <c r="F225" s="2500" t="s">
        <v>1667</v>
      </c>
      <c r="G225" s="2500"/>
      <c r="H225" s="2500"/>
      <c r="I225" s="2500"/>
      <c r="J225" s="2500"/>
      <c r="K225" s="2500"/>
      <c r="L225" s="2500"/>
      <c r="M225" s="2500"/>
      <c r="N225" s="2500"/>
      <c r="O225" s="2500"/>
      <c r="P225" s="2501"/>
      <c r="Q225" s="2542">
        <v>8250</v>
      </c>
      <c r="R225" s="2518"/>
      <c r="S225" s="2518"/>
      <c r="T225" s="2299" t="s">
        <v>1664</v>
      </c>
      <c r="U225" s="2518" t="s">
        <v>1173</v>
      </c>
      <c r="V225" s="2518"/>
      <c r="W225" s="2518"/>
      <c r="X225" s="2299" t="s">
        <v>895</v>
      </c>
      <c r="Y225" s="2518">
        <v>925</v>
      </c>
      <c r="Z225" s="2518"/>
      <c r="AA225" s="2518"/>
      <c r="AB225" s="2301" t="s">
        <v>1172</v>
      </c>
      <c r="AC225" s="2518"/>
      <c r="AD225" s="2518"/>
      <c r="AE225" s="2518"/>
      <c r="AF225" s="1380" t="s">
        <v>64</v>
      </c>
      <c r="AG225" s="2518"/>
      <c r="AH225" s="2518"/>
      <c r="AI225" s="2518"/>
      <c r="AJ225" s="2520">
        <f t="shared" si="55"/>
        <v>9170</v>
      </c>
      <c r="AK225" s="2521"/>
      <c r="AL225" s="2522"/>
      <c r="AM225" s="2505">
        <v>1</v>
      </c>
      <c r="AN225" s="2506"/>
      <c r="AO225" s="2507"/>
      <c r="AP225" s="2499">
        <f t="shared" si="56"/>
        <v>9170</v>
      </c>
      <c r="AQ225" s="2500"/>
      <c r="AR225" s="2501"/>
      <c r="AS225" s="2555">
        <f ca="1">SUMIF(床・天井!Q$6:Q$89,F225,床・天井!I$6:I$89)+SUMIF(見積拾!C$47:D$51,F225,見積拾!T$47:T$51)</f>
        <v>0</v>
      </c>
      <c r="AT225" s="2556"/>
      <c r="AU225" s="2556"/>
      <c r="AV225" s="2557"/>
      <c r="AW225" s="2520">
        <f t="shared" ca="1" si="57"/>
        <v>0</v>
      </c>
      <c r="AX225" s="2521"/>
      <c r="AY225" s="2521"/>
      <c r="AZ225" s="2522"/>
      <c r="BA225" s="25" t="b">
        <f t="shared" ca="1" si="58"/>
        <v>0</v>
      </c>
      <c r="BB225"/>
    </row>
    <row r="226" spans="2:54" ht="13.5" customHeight="1">
      <c r="B226" s="2681"/>
      <c r="C226" s="2673"/>
      <c r="D226" s="2682"/>
      <c r="E226" s="322" t="s">
        <v>893</v>
      </c>
      <c r="F226" s="2500" t="s">
        <v>1668</v>
      </c>
      <c r="G226" s="2500"/>
      <c r="H226" s="2500"/>
      <c r="I226" s="2500"/>
      <c r="J226" s="2500"/>
      <c r="K226" s="2500"/>
      <c r="L226" s="2500"/>
      <c r="M226" s="2500"/>
      <c r="N226" s="2500"/>
      <c r="O226" s="2500"/>
      <c r="P226" s="2501"/>
      <c r="Q226" s="2542">
        <v>6880</v>
      </c>
      <c r="R226" s="2518"/>
      <c r="S226" s="2518"/>
      <c r="T226" s="2299" t="s">
        <v>1664</v>
      </c>
      <c r="U226" s="2518" t="s">
        <v>1173</v>
      </c>
      <c r="V226" s="2518"/>
      <c r="W226" s="2518"/>
      <c r="X226" s="2299" t="s">
        <v>895</v>
      </c>
      <c r="Y226" s="2518">
        <v>925</v>
      </c>
      <c r="Z226" s="2518"/>
      <c r="AA226" s="2518"/>
      <c r="AB226" s="2301" t="s">
        <v>1172</v>
      </c>
      <c r="AC226" s="2518"/>
      <c r="AD226" s="2518"/>
      <c r="AE226" s="2518"/>
      <c r="AF226" s="1380" t="s">
        <v>64</v>
      </c>
      <c r="AG226" s="2518"/>
      <c r="AH226" s="2518"/>
      <c r="AI226" s="2518"/>
      <c r="AJ226" s="2520">
        <f t="shared" si="55"/>
        <v>7800</v>
      </c>
      <c r="AK226" s="2521"/>
      <c r="AL226" s="2522"/>
      <c r="AM226" s="2505">
        <v>1</v>
      </c>
      <c r="AN226" s="2506"/>
      <c r="AO226" s="2507"/>
      <c r="AP226" s="2499">
        <f t="shared" si="56"/>
        <v>7800</v>
      </c>
      <c r="AQ226" s="2500"/>
      <c r="AR226" s="2501"/>
      <c r="AS226" s="2555">
        <f ca="1">SUMIF(床・天井!Q$6:Q$89,F226,床・天井!I$6:I$89)+SUMIF(見積拾!C$47:D$51,F226,見積拾!T$47:T$51)</f>
        <v>0</v>
      </c>
      <c r="AT226" s="2556"/>
      <c r="AU226" s="2556"/>
      <c r="AV226" s="2557"/>
      <c r="AW226" s="2520">
        <f t="shared" ca="1" si="57"/>
        <v>0</v>
      </c>
      <c r="AX226" s="2521"/>
      <c r="AY226" s="2521"/>
      <c r="AZ226" s="2522"/>
      <c r="BA226" s="25" t="b">
        <f t="shared" ca="1" si="58"/>
        <v>0</v>
      </c>
      <c r="BB226"/>
    </row>
    <row r="227" spans="2:54" ht="13.5" customHeight="1">
      <c r="B227" s="2681"/>
      <c r="C227" s="2673"/>
      <c r="D227" s="2682"/>
      <c r="E227" s="322" t="s">
        <v>893</v>
      </c>
      <c r="F227" s="2500" t="s">
        <v>1669</v>
      </c>
      <c r="G227" s="2500"/>
      <c r="H227" s="2500"/>
      <c r="I227" s="2500"/>
      <c r="J227" s="2500"/>
      <c r="K227" s="2500"/>
      <c r="L227" s="2500"/>
      <c r="M227" s="2500"/>
      <c r="N227" s="2500"/>
      <c r="O227" s="2500"/>
      <c r="P227" s="2501"/>
      <c r="Q227" s="2542">
        <v>5760</v>
      </c>
      <c r="R227" s="2518"/>
      <c r="S227" s="2518"/>
      <c r="T227" s="2299" t="s">
        <v>1664</v>
      </c>
      <c r="U227" s="2518" t="s">
        <v>1173</v>
      </c>
      <c r="V227" s="2518"/>
      <c r="W227" s="2518"/>
      <c r="X227" s="2299" t="s">
        <v>895</v>
      </c>
      <c r="Y227" s="2518">
        <v>925</v>
      </c>
      <c r="Z227" s="2518"/>
      <c r="AA227" s="2518"/>
      <c r="AB227" s="2301" t="s">
        <v>1172</v>
      </c>
      <c r="AC227" s="2518"/>
      <c r="AD227" s="2518"/>
      <c r="AE227" s="2518"/>
      <c r="AF227" s="1380" t="s">
        <v>64</v>
      </c>
      <c r="AG227" s="2518"/>
      <c r="AH227" s="2518"/>
      <c r="AI227" s="2518"/>
      <c r="AJ227" s="2520">
        <f t="shared" si="55"/>
        <v>6680</v>
      </c>
      <c r="AK227" s="2521"/>
      <c r="AL227" s="2522"/>
      <c r="AM227" s="2505">
        <v>1</v>
      </c>
      <c r="AN227" s="2506"/>
      <c r="AO227" s="2507"/>
      <c r="AP227" s="2499">
        <f t="shared" si="56"/>
        <v>6680</v>
      </c>
      <c r="AQ227" s="2500"/>
      <c r="AR227" s="2501"/>
      <c r="AS227" s="2555">
        <f ca="1">SUMIF(床・天井!Q$6:Q$89,F227,床・天井!I$6:I$89)+SUMIF(見積拾!C$47:D$51,F227,見積拾!T$47:T$51)</f>
        <v>0</v>
      </c>
      <c r="AT227" s="2556"/>
      <c r="AU227" s="2556"/>
      <c r="AV227" s="2557"/>
      <c r="AW227" s="2520">
        <f t="shared" ca="1" si="57"/>
        <v>0</v>
      </c>
      <c r="AX227" s="2521"/>
      <c r="AY227" s="2521"/>
      <c r="AZ227" s="2522"/>
      <c r="BA227" s="25" t="b">
        <f t="shared" ca="1" si="58"/>
        <v>0</v>
      </c>
      <c r="BB227"/>
    </row>
    <row r="228" spans="2:54" ht="13.5" customHeight="1">
      <c r="B228" s="2681"/>
      <c r="C228" s="2673"/>
      <c r="D228" s="2682"/>
      <c r="E228" s="322" t="s">
        <v>893</v>
      </c>
      <c r="F228" s="2500" t="s">
        <v>1670</v>
      </c>
      <c r="G228" s="2500"/>
      <c r="H228" s="2500"/>
      <c r="I228" s="2500"/>
      <c r="J228" s="2500"/>
      <c r="K228" s="2500"/>
      <c r="L228" s="2500"/>
      <c r="M228" s="2500"/>
      <c r="N228" s="2500"/>
      <c r="O228" s="2500"/>
      <c r="P228" s="2501"/>
      <c r="Q228" s="2542">
        <v>5020</v>
      </c>
      <c r="R228" s="2518"/>
      <c r="S228" s="2518"/>
      <c r="T228" s="2299" t="s">
        <v>1664</v>
      </c>
      <c r="U228" s="2518" t="s">
        <v>1173</v>
      </c>
      <c r="V228" s="2518"/>
      <c r="W228" s="2518"/>
      <c r="X228" s="2299" t="s">
        <v>895</v>
      </c>
      <c r="Y228" s="2518">
        <v>925</v>
      </c>
      <c r="Z228" s="2518"/>
      <c r="AA228" s="2518"/>
      <c r="AB228" s="2301" t="s">
        <v>1172</v>
      </c>
      <c r="AC228" s="2518"/>
      <c r="AD228" s="2518"/>
      <c r="AE228" s="2518"/>
      <c r="AF228" s="1380" t="s">
        <v>64</v>
      </c>
      <c r="AG228" s="2518"/>
      <c r="AH228" s="2518"/>
      <c r="AI228" s="2518"/>
      <c r="AJ228" s="2520">
        <f t="shared" si="55"/>
        <v>5940</v>
      </c>
      <c r="AK228" s="2521"/>
      <c r="AL228" s="2522"/>
      <c r="AM228" s="2505">
        <v>1</v>
      </c>
      <c r="AN228" s="2506"/>
      <c r="AO228" s="2507"/>
      <c r="AP228" s="2499">
        <f t="shared" si="56"/>
        <v>5940</v>
      </c>
      <c r="AQ228" s="2500"/>
      <c r="AR228" s="2501"/>
      <c r="AS228" s="2555">
        <f ca="1">SUMIF(床・天井!Q$6:Q$89,F228,床・天井!I$6:I$89)+SUMIF(見積拾!C$47:D$51,F228,見積拾!T$47:T$51)</f>
        <v>0</v>
      </c>
      <c r="AT228" s="2556"/>
      <c r="AU228" s="2556"/>
      <c r="AV228" s="2557"/>
      <c r="AW228" s="2520">
        <f t="shared" ca="1" si="57"/>
        <v>0</v>
      </c>
      <c r="AX228" s="2521"/>
      <c r="AY228" s="2521"/>
      <c r="AZ228" s="2522"/>
      <c r="BA228" s="25" t="b">
        <f t="shared" ca="1" si="58"/>
        <v>0</v>
      </c>
      <c r="BB228"/>
    </row>
    <row r="229" spans="2:54" ht="13.5" customHeight="1">
      <c r="B229" s="2681"/>
      <c r="C229" s="2673"/>
      <c r="D229" s="2682"/>
      <c r="E229" s="322" t="s">
        <v>893</v>
      </c>
      <c r="F229" s="2500" t="s">
        <v>1671</v>
      </c>
      <c r="G229" s="2500"/>
      <c r="H229" s="2500"/>
      <c r="I229" s="2500"/>
      <c r="J229" s="2500"/>
      <c r="K229" s="2500"/>
      <c r="L229" s="2500"/>
      <c r="M229" s="2500"/>
      <c r="N229" s="2500"/>
      <c r="O229" s="2500"/>
      <c r="P229" s="2501"/>
      <c r="Q229" s="2542">
        <v>11303</v>
      </c>
      <c r="R229" s="2518"/>
      <c r="S229" s="2518"/>
      <c r="T229" s="2299" t="s">
        <v>1664</v>
      </c>
      <c r="U229" s="2518" t="s">
        <v>1173</v>
      </c>
      <c r="V229" s="2518"/>
      <c r="W229" s="2518"/>
      <c r="X229" s="2299" t="s">
        <v>895</v>
      </c>
      <c r="Y229" s="2518">
        <v>925</v>
      </c>
      <c r="Z229" s="2518"/>
      <c r="AA229" s="2518"/>
      <c r="AB229" s="2299" t="s">
        <v>903</v>
      </c>
      <c r="AC229" s="2518"/>
      <c r="AD229" s="2518"/>
      <c r="AE229" s="2518"/>
      <c r="AF229" s="1380" t="s">
        <v>903</v>
      </c>
      <c r="AG229" s="2518"/>
      <c r="AH229" s="2518"/>
      <c r="AI229" s="2519"/>
      <c r="AJ229" s="2520">
        <f t="shared" si="55"/>
        <v>12220</v>
      </c>
      <c r="AK229" s="2521"/>
      <c r="AL229" s="2522"/>
      <c r="AM229" s="2505">
        <v>1</v>
      </c>
      <c r="AN229" s="2506"/>
      <c r="AO229" s="2507"/>
      <c r="AP229" s="2499">
        <f t="shared" si="56"/>
        <v>12220</v>
      </c>
      <c r="AQ229" s="2500"/>
      <c r="AR229" s="2501"/>
      <c r="AS229" s="2555">
        <f ca="1">SUMIF(床・天井!Q$6:Q$89,F229,床・天井!I$6:I$89)+SUMIF(見積拾!C$47:D$51,F229,見積拾!T$47:T$51)</f>
        <v>0</v>
      </c>
      <c r="AT229" s="2556"/>
      <c r="AU229" s="2556"/>
      <c r="AV229" s="2557"/>
      <c r="AW229" s="2520">
        <f t="shared" ca="1" si="57"/>
        <v>0</v>
      </c>
      <c r="AX229" s="2521"/>
      <c r="AY229" s="2521"/>
      <c r="AZ229" s="2522"/>
      <c r="BA229" s="25" t="b">
        <f t="shared" ca="1" si="58"/>
        <v>0</v>
      </c>
      <c r="BB229"/>
    </row>
    <row r="230" spans="2:54" ht="13.5" customHeight="1">
      <c r="B230" s="2681"/>
      <c r="C230" s="2673"/>
      <c r="D230" s="2682"/>
      <c r="E230" s="322" t="s">
        <v>893</v>
      </c>
      <c r="F230" s="2500" t="s">
        <v>1672</v>
      </c>
      <c r="G230" s="2500"/>
      <c r="H230" s="2500"/>
      <c r="I230" s="2500"/>
      <c r="J230" s="2500"/>
      <c r="K230" s="2500"/>
      <c r="L230" s="2500"/>
      <c r="M230" s="2500"/>
      <c r="N230" s="2500"/>
      <c r="O230" s="2500"/>
      <c r="P230" s="2501"/>
      <c r="Q230" s="2542">
        <v>7523</v>
      </c>
      <c r="R230" s="2518"/>
      <c r="S230" s="2518"/>
      <c r="T230" s="2299" t="s">
        <v>1664</v>
      </c>
      <c r="U230" s="2518" t="s">
        <v>1173</v>
      </c>
      <c r="V230" s="2518"/>
      <c r="W230" s="2518"/>
      <c r="X230" s="2299" t="s">
        <v>895</v>
      </c>
      <c r="Y230" s="2518">
        <v>925</v>
      </c>
      <c r="Z230" s="2518"/>
      <c r="AA230" s="2518"/>
      <c r="AB230" s="2299" t="s">
        <v>64</v>
      </c>
      <c r="AC230" s="2518"/>
      <c r="AD230" s="2518"/>
      <c r="AE230" s="2518"/>
      <c r="AF230" s="1380" t="s">
        <v>64</v>
      </c>
      <c r="AG230" s="2518"/>
      <c r="AH230" s="2518"/>
      <c r="AI230" s="2518"/>
      <c r="AJ230" s="2520">
        <f t="shared" si="55"/>
        <v>8440</v>
      </c>
      <c r="AK230" s="2521"/>
      <c r="AL230" s="2522"/>
      <c r="AM230" s="2505">
        <v>1</v>
      </c>
      <c r="AN230" s="2506"/>
      <c r="AO230" s="2507"/>
      <c r="AP230" s="2499">
        <f t="shared" si="56"/>
        <v>8440</v>
      </c>
      <c r="AQ230" s="2500"/>
      <c r="AR230" s="2501"/>
      <c r="AS230" s="2555">
        <f ca="1">SUMIF(床・天井!Q$6:Q$89,F230,床・天井!I$6:I$89)+SUMIF(見積拾!C$47:D$51,F230,見積拾!T$47:T$51)</f>
        <v>0</v>
      </c>
      <c r="AT230" s="2556"/>
      <c r="AU230" s="2556"/>
      <c r="AV230" s="2557"/>
      <c r="AW230" s="2520">
        <f t="shared" ca="1" si="57"/>
        <v>0</v>
      </c>
      <c r="AX230" s="2521"/>
      <c r="AY230" s="2521"/>
      <c r="AZ230" s="2522"/>
      <c r="BA230" s="25" t="b">
        <f t="shared" ca="1" si="58"/>
        <v>0</v>
      </c>
      <c r="BB230"/>
    </row>
    <row r="231" spans="2:54" ht="13.5" customHeight="1">
      <c r="B231" s="2681"/>
      <c r="C231" s="2673"/>
      <c r="D231" s="2682"/>
      <c r="E231" s="322" t="s">
        <v>893</v>
      </c>
      <c r="F231" s="2500" t="s">
        <v>1673</v>
      </c>
      <c r="G231" s="2500"/>
      <c r="H231" s="2500"/>
      <c r="I231" s="2500"/>
      <c r="J231" s="2500"/>
      <c r="K231" s="2500"/>
      <c r="L231" s="2500"/>
      <c r="M231" s="2500"/>
      <c r="N231" s="2500"/>
      <c r="O231" s="2500"/>
      <c r="P231" s="2501"/>
      <c r="Q231" s="2542">
        <v>3545</v>
      </c>
      <c r="R231" s="2518"/>
      <c r="S231" s="2518"/>
      <c r="T231" s="2299" t="s">
        <v>1664</v>
      </c>
      <c r="U231" s="2518" t="s">
        <v>1173</v>
      </c>
      <c r="V231" s="2518"/>
      <c r="W231" s="2518"/>
      <c r="X231" s="2299" t="s">
        <v>895</v>
      </c>
      <c r="Y231" s="2518">
        <v>925</v>
      </c>
      <c r="Z231" s="2518"/>
      <c r="AA231" s="2518"/>
      <c r="AB231" s="2299" t="s">
        <v>904</v>
      </c>
      <c r="AC231" s="2518"/>
      <c r="AD231" s="2518"/>
      <c r="AE231" s="2518"/>
      <c r="AF231" s="1380" t="s">
        <v>904</v>
      </c>
      <c r="AG231" s="2518"/>
      <c r="AH231" s="2518"/>
      <c r="AI231" s="2518"/>
      <c r="AJ231" s="2520">
        <f t="shared" si="55"/>
        <v>4470</v>
      </c>
      <c r="AK231" s="2521"/>
      <c r="AL231" s="2522"/>
      <c r="AM231" s="2505">
        <v>1</v>
      </c>
      <c r="AN231" s="2506"/>
      <c r="AO231" s="2507"/>
      <c r="AP231" s="2499">
        <f t="shared" si="56"/>
        <v>4470</v>
      </c>
      <c r="AQ231" s="2500"/>
      <c r="AR231" s="2501"/>
      <c r="AS231" s="2555">
        <f ca="1">SUMIF(床・天井!Q$6:Q$89,F231,床・天井!I$6:I$89)+SUMIF(見積拾!C$47:D$51,F231,見積拾!T$47:T$51)</f>
        <v>0</v>
      </c>
      <c r="AT231" s="2556"/>
      <c r="AU231" s="2556"/>
      <c r="AV231" s="2557"/>
      <c r="AW231" s="2520">
        <f t="shared" ca="1" si="57"/>
        <v>0</v>
      </c>
      <c r="AX231" s="2521"/>
      <c r="AY231" s="2521"/>
      <c r="AZ231" s="2522"/>
      <c r="BA231" s="25" t="b">
        <f t="shared" ca="1" si="58"/>
        <v>0</v>
      </c>
      <c r="BB231" t="s">
        <v>2030</v>
      </c>
    </row>
    <row r="232" spans="2:54" ht="13.5" customHeight="1">
      <c r="B232" s="2681"/>
      <c r="C232" s="2673"/>
      <c r="D232" s="2682"/>
      <c r="E232" s="322" t="s">
        <v>893</v>
      </c>
      <c r="F232" s="2500" t="s">
        <v>1674</v>
      </c>
      <c r="G232" s="2500"/>
      <c r="H232" s="2500"/>
      <c r="I232" s="2500"/>
      <c r="J232" s="2500"/>
      <c r="K232" s="2500"/>
      <c r="L232" s="2500"/>
      <c r="M232" s="2500"/>
      <c r="N232" s="2500"/>
      <c r="O232" s="2500"/>
      <c r="P232" s="2501"/>
      <c r="Q232" s="2542">
        <v>2950</v>
      </c>
      <c r="R232" s="2518"/>
      <c r="S232" s="2518"/>
      <c r="T232" s="2299" t="s">
        <v>1664</v>
      </c>
      <c r="U232" s="2518" t="s">
        <v>1173</v>
      </c>
      <c r="V232" s="2518"/>
      <c r="W232" s="2518"/>
      <c r="X232" s="2299" t="s">
        <v>895</v>
      </c>
      <c r="Y232" s="2518">
        <v>925</v>
      </c>
      <c r="Z232" s="2518"/>
      <c r="AA232" s="2518"/>
      <c r="AB232" s="2299" t="s">
        <v>904</v>
      </c>
      <c r="AC232" s="2518"/>
      <c r="AD232" s="2518"/>
      <c r="AE232" s="2518"/>
      <c r="AF232" s="1380" t="s">
        <v>904</v>
      </c>
      <c r="AG232" s="2518"/>
      <c r="AH232" s="2518"/>
      <c r="AI232" s="2518"/>
      <c r="AJ232" s="2520">
        <f t="shared" si="55"/>
        <v>3870</v>
      </c>
      <c r="AK232" s="2521"/>
      <c r="AL232" s="2522"/>
      <c r="AM232" s="2505">
        <v>1</v>
      </c>
      <c r="AN232" s="2506"/>
      <c r="AO232" s="2507"/>
      <c r="AP232" s="2499">
        <f t="shared" si="56"/>
        <v>3870</v>
      </c>
      <c r="AQ232" s="2500"/>
      <c r="AR232" s="2501"/>
      <c r="AS232" s="2555">
        <f ca="1">SUMIF(床・天井!Q$6:Q$89,F232,床・天井!I$6:I$89)+SUMIF(見積拾!C$47:D$51,F232,見積拾!T$47:T$51)</f>
        <v>0</v>
      </c>
      <c r="AT232" s="2556"/>
      <c r="AU232" s="2556"/>
      <c r="AV232" s="2557"/>
      <c r="AW232" s="2520">
        <f t="shared" ca="1" si="57"/>
        <v>0</v>
      </c>
      <c r="AX232" s="2521"/>
      <c r="AY232" s="2521"/>
      <c r="AZ232" s="2522"/>
      <c r="BA232" s="25" t="b">
        <f t="shared" ca="1" si="58"/>
        <v>0</v>
      </c>
      <c r="BB232"/>
    </row>
    <row r="233" spans="2:54" s="1847" customFormat="1" ht="13.5" customHeight="1">
      <c r="B233" s="2681"/>
      <c r="C233" s="2673"/>
      <c r="D233" s="2683"/>
      <c r="E233" s="1840" t="s">
        <v>893</v>
      </c>
      <c r="F233" s="2500" t="s">
        <v>1675</v>
      </c>
      <c r="G233" s="2500"/>
      <c r="H233" s="2500"/>
      <c r="I233" s="2500"/>
      <c r="J233" s="2500"/>
      <c r="K233" s="2500"/>
      <c r="L233" s="2500"/>
      <c r="M233" s="2500"/>
      <c r="N233" s="2500"/>
      <c r="O233" s="2500"/>
      <c r="P233" s="2501"/>
      <c r="Q233" s="2542">
        <v>2635</v>
      </c>
      <c r="R233" s="2518"/>
      <c r="S233" s="2518"/>
      <c r="T233" s="2299" t="s">
        <v>1664</v>
      </c>
      <c r="U233" s="2518" t="s">
        <v>1173</v>
      </c>
      <c r="V233" s="2518"/>
      <c r="W233" s="2518"/>
      <c r="X233" s="2299" t="s">
        <v>895</v>
      </c>
      <c r="Y233" s="2518">
        <v>925</v>
      </c>
      <c r="Z233" s="2518"/>
      <c r="AA233" s="2518"/>
      <c r="AB233" s="2299" t="s">
        <v>64</v>
      </c>
      <c r="AC233" s="2518"/>
      <c r="AD233" s="2518"/>
      <c r="AE233" s="2518"/>
      <c r="AF233" s="1838" t="s">
        <v>64</v>
      </c>
      <c r="AG233" s="2518"/>
      <c r="AH233" s="2518"/>
      <c r="AI233" s="2518"/>
      <c r="AJ233" s="2520">
        <f t="shared" ref="AJ233:AJ234" si="59">ROUNDDOWN(SUM(Q233:AI233),-1)</f>
        <v>3560</v>
      </c>
      <c r="AK233" s="2521"/>
      <c r="AL233" s="2522"/>
      <c r="AM233" s="2505">
        <v>1</v>
      </c>
      <c r="AN233" s="2506"/>
      <c r="AO233" s="2507"/>
      <c r="AP233" s="2499">
        <f t="shared" ref="AP233:AP234" si="60">INT(AJ233*AM233)</f>
        <v>3560</v>
      </c>
      <c r="AQ233" s="2500"/>
      <c r="AR233" s="2501"/>
      <c r="AS233" s="2555">
        <f ca="1">SUMIF(床・天井!Q$6:Q$89,F233,床・天井!I$6:I$89)+SUMIF(見積拾!C$47:D$51,F233,見積拾!T$47:T$51)</f>
        <v>0</v>
      </c>
      <c r="AT233" s="2556"/>
      <c r="AU233" s="2556"/>
      <c r="AV233" s="2557"/>
      <c r="AW233" s="2520">
        <f t="shared" ref="AW233:AW234" ca="1" si="61">INT(AP233*AS233)</f>
        <v>0</v>
      </c>
      <c r="AX233" s="2521"/>
      <c r="AY233" s="2521"/>
      <c r="AZ233" s="2522"/>
      <c r="BA233" s="25" t="b">
        <f t="shared" ref="BA233:BA234" ca="1" si="62">AW233&lt;&gt;0</f>
        <v>0</v>
      </c>
    </row>
    <row r="234" spans="2:54" s="1847" customFormat="1" ht="13.5" customHeight="1">
      <c r="B234" s="2681"/>
      <c r="C234" s="2673"/>
      <c r="D234" s="2683"/>
      <c r="E234" s="1840" t="s">
        <v>893</v>
      </c>
      <c r="F234" s="2500" t="s">
        <v>1676</v>
      </c>
      <c r="G234" s="2500"/>
      <c r="H234" s="2500"/>
      <c r="I234" s="2500"/>
      <c r="J234" s="2500"/>
      <c r="K234" s="2500"/>
      <c r="L234" s="2500"/>
      <c r="M234" s="2500"/>
      <c r="N234" s="2500"/>
      <c r="O234" s="2500"/>
      <c r="P234" s="2501"/>
      <c r="Q234" s="2542">
        <v>4750</v>
      </c>
      <c r="R234" s="2518"/>
      <c r="S234" s="2518"/>
      <c r="T234" s="2299" t="s">
        <v>1664</v>
      </c>
      <c r="U234" s="2518" t="s">
        <v>1173</v>
      </c>
      <c r="V234" s="2518"/>
      <c r="W234" s="2518"/>
      <c r="X234" s="2299" t="s">
        <v>895</v>
      </c>
      <c r="Y234" s="2518" t="s">
        <v>1174</v>
      </c>
      <c r="Z234" s="2518"/>
      <c r="AA234" s="2518"/>
      <c r="AB234" s="2299" t="s">
        <v>64</v>
      </c>
      <c r="AC234" s="2518"/>
      <c r="AD234" s="2518"/>
      <c r="AE234" s="2518"/>
      <c r="AF234" s="1838" t="s">
        <v>64</v>
      </c>
      <c r="AG234" s="2518"/>
      <c r="AH234" s="2518"/>
      <c r="AI234" s="2518"/>
      <c r="AJ234" s="2520">
        <f t="shared" si="59"/>
        <v>4750</v>
      </c>
      <c r="AK234" s="2521"/>
      <c r="AL234" s="2522"/>
      <c r="AM234" s="2505">
        <v>1</v>
      </c>
      <c r="AN234" s="2506"/>
      <c r="AO234" s="2507"/>
      <c r="AP234" s="2499">
        <f t="shared" si="60"/>
        <v>4750</v>
      </c>
      <c r="AQ234" s="2500"/>
      <c r="AR234" s="2501"/>
      <c r="AS234" s="2555">
        <f ca="1">SUMIF(床・天井!Q$6:Q$89,F234,床・天井!I$6:I$89)+SUMIF(見積拾!C$47:D$51,F234,見積拾!T$47:T$51)</f>
        <v>0</v>
      </c>
      <c r="AT234" s="2556"/>
      <c r="AU234" s="2556"/>
      <c r="AV234" s="2557"/>
      <c r="AW234" s="2520">
        <f t="shared" ca="1" si="61"/>
        <v>0</v>
      </c>
      <c r="AX234" s="2521"/>
      <c r="AY234" s="2521"/>
      <c r="AZ234" s="2522"/>
      <c r="BA234" s="25" t="b">
        <f t="shared" ca="1" si="62"/>
        <v>0</v>
      </c>
      <c r="BB234" s="1847" t="s">
        <v>2029</v>
      </c>
    </row>
    <row r="235" spans="2:54" ht="13.5" customHeight="1">
      <c r="B235" s="2681"/>
      <c r="C235" s="2673"/>
      <c r="D235" s="2682"/>
      <c r="E235" s="322" t="s">
        <v>893</v>
      </c>
      <c r="F235" s="2500" t="s">
        <v>1677</v>
      </c>
      <c r="G235" s="2500"/>
      <c r="H235" s="2500"/>
      <c r="I235" s="2500"/>
      <c r="J235" s="2500"/>
      <c r="K235" s="2500"/>
      <c r="L235" s="2500"/>
      <c r="M235" s="2500"/>
      <c r="N235" s="2500"/>
      <c r="O235" s="2500"/>
      <c r="P235" s="2501"/>
      <c r="Q235" s="2542">
        <v>3650</v>
      </c>
      <c r="R235" s="2518"/>
      <c r="S235" s="2518"/>
      <c r="T235" s="2299" t="s">
        <v>1664</v>
      </c>
      <c r="U235" s="2518" t="s">
        <v>1173</v>
      </c>
      <c r="V235" s="2518"/>
      <c r="W235" s="2518"/>
      <c r="X235" s="2299" t="s">
        <v>895</v>
      </c>
      <c r="Y235" s="2518" t="s">
        <v>1174</v>
      </c>
      <c r="Z235" s="2518"/>
      <c r="AA235" s="2518"/>
      <c r="AB235" s="2299" t="s">
        <v>904</v>
      </c>
      <c r="AC235" s="2518"/>
      <c r="AD235" s="2518"/>
      <c r="AE235" s="2518"/>
      <c r="AF235" s="1380" t="s">
        <v>904</v>
      </c>
      <c r="AG235" s="2518"/>
      <c r="AH235" s="2518"/>
      <c r="AI235" s="2518"/>
      <c r="AJ235" s="2520">
        <f t="shared" si="55"/>
        <v>3650</v>
      </c>
      <c r="AK235" s="2521"/>
      <c r="AL235" s="2522"/>
      <c r="AM235" s="2505">
        <v>1</v>
      </c>
      <c r="AN235" s="2506"/>
      <c r="AO235" s="2507"/>
      <c r="AP235" s="2499">
        <f t="shared" si="56"/>
        <v>3650</v>
      </c>
      <c r="AQ235" s="2500"/>
      <c r="AR235" s="2501"/>
      <c r="AS235" s="2555">
        <f ca="1">SUMIF(床・天井!Q$6:Q$89,F235,床・天井!I$6:I$89)+SUMIF(見積拾!C$47:D$51,F235,見積拾!T$47:T$51)</f>
        <v>0</v>
      </c>
      <c r="AT235" s="2556"/>
      <c r="AU235" s="2556"/>
      <c r="AV235" s="2557"/>
      <c r="AW235" s="2520">
        <f t="shared" ca="1" si="57"/>
        <v>0</v>
      </c>
      <c r="AX235" s="2521"/>
      <c r="AY235" s="2521"/>
      <c r="AZ235" s="2522"/>
      <c r="BA235" s="25" t="b">
        <f t="shared" ca="1" si="58"/>
        <v>0</v>
      </c>
      <c r="BB235"/>
    </row>
    <row r="236" spans="2:54" s="1810" customFormat="1" ht="13.5" customHeight="1">
      <c r="B236" s="2681"/>
      <c r="C236" s="2673"/>
      <c r="D236" s="2683"/>
      <c r="E236" s="1808" t="s">
        <v>893</v>
      </c>
      <c r="F236" s="2500" t="s">
        <v>2031</v>
      </c>
      <c r="G236" s="2500"/>
      <c r="H236" s="2500"/>
      <c r="I236" s="2500"/>
      <c r="J236" s="2500"/>
      <c r="K236" s="2500"/>
      <c r="L236" s="2500"/>
      <c r="M236" s="2500"/>
      <c r="N236" s="2500"/>
      <c r="O236" s="2500"/>
      <c r="P236" s="2501"/>
      <c r="Q236" s="2542">
        <v>5755</v>
      </c>
      <c r="R236" s="2518"/>
      <c r="S236" s="2518"/>
      <c r="T236" s="2299" t="s">
        <v>1664</v>
      </c>
      <c r="U236" s="2518" t="s">
        <v>1173</v>
      </c>
      <c r="V236" s="2518"/>
      <c r="W236" s="2518"/>
      <c r="X236" s="2299" t="s">
        <v>895</v>
      </c>
      <c r="Y236" s="2518">
        <v>1705</v>
      </c>
      <c r="Z236" s="2518"/>
      <c r="AA236" s="2518"/>
      <c r="AB236" s="2299" t="s">
        <v>901</v>
      </c>
      <c r="AC236" s="2518"/>
      <c r="AD236" s="2518"/>
      <c r="AE236" s="2518"/>
      <c r="AF236" s="1807" t="s">
        <v>901</v>
      </c>
      <c r="AG236" s="2518"/>
      <c r="AH236" s="2518"/>
      <c r="AI236" s="2518"/>
      <c r="AJ236" s="2520">
        <f t="shared" ref="AJ236" si="63">ROUNDDOWN(SUM(Q236:AI236),-1)</f>
        <v>7460</v>
      </c>
      <c r="AK236" s="2521"/>
      <c r="AL236" s="2522"/>
      <c r="AM236" s="2505">
        <v>1</v>
      </c>
      <c r="AN236" s="2506"/>
      <c r="AO236" s="2507"/>
      <c r="AP236" s="2499">
        <f t="shared" ref="AP236" si="64">INT(AJ236*AM236)</f>
        <v>7460</v>
      </c>
      <c r="AQ236" s="2500"/>
      <c r="AR236" s="2501"/>
      <c r="AS236" s="2555">
        <f ca="1">SUMIF(床・天井!Q$6:Q$89,F236,床・天井!I$6:I$89)+SUMIF(見積拾!C$47:D$51,F236,見積拾!T$47:T$51)</f>
        <v>0</v>
      </c>
      <c r="AT236" s="2556"/>
      <c r="AU236" s="2556"/>
      <c r="AV236" s="2557"/>
      <c r="AW236" s="2520">
        <f t="shared" ref="AW236" ca="1" si="65">INT(AP236*AS236)</f>
        <v>0</v>
      </c>
      <c r="AX236" s="2521"/>
      <c r="AY236" s="2521"/>
      <c r="AZ236" s="2522"/>
      <c r="BA236" s="25" t="b">
        <f t="shared" ref="BA236" ca="1" si="66">AW236&lt;&gt;0</f>
        <v>0</v>
      </c>
      <c r="BB236" s="1810" t="s">
        <v>2026</v>
      </c>
    </row>
    <row r="237" spans="2:54" ht="13.5" customHeight="1">
      <c r="B237" s="2681"/>
      <c r="C237" s="2673"/>
      <c r="D237" s="2682"/>
      <c r="E237" s="322" t="s">
        <v>893</v>
      </c>
      <c r="F237" s="2500" t="s">
        <v>2032</v>
      </c>
      <c r="G237" s="2500"/>
      <c r="H237" s="2500"/>
      <c r="I237" s="2500"/>
      <c r="J237" s="2500"/>
      <c r="K237" s="2500"/>
      <c r="L237" s="2500"/>
      <c r="M237" s="2500"/>
      <c r="N237" s="2500"/>
      <c r="O237" s="2500"/>
      <c r="P237" s="2501"/>
      <c r="Q237" s="2542">
        <v>5160</v>
      </c>
      <c r="R237" s="2518"/>
      <c r="S237" s="2518"/>
      <c r="T237" s="2299" t="s">
        <v>1664</v>
      </c>
      <c r="U237" s="2518" t="s">
        <v>1173</v>
      </c>
      <c r="V237" s="2518"/>
      <c r="W237" s="2518"/>
      <c r="X237" s="2299" t="s">
        <v>895</v>
      </c>
      <c r="Y237" s="2518">
        <v>1705</v>
      </c>
      <c r="Z237" s="2518"/>
      <c r="AA237" s="2518"/>
      <c r="AB237" s="2299" t="s">
        <v>904</v>
      </c>
      <c r="AC237" s="2518"/>
      <c r="AD237" s="2518"/>
      <c r="AE237" s="2518"/>
      <c r="AF237" s="1380" t="s">
        <v>904</v>
      </c>
      <c r="AG237" s="2518"/>
      <c r="AH237" s="2518"/>
      <c r="AI237" s="2518"/>
      <c r="AJ237" s="2520">
        <f t="shared" si="55"/>
        <v>6860</v>
      </c>
      <c r="AK237" s="2521"/>
      <c r="AL237" s="2522"/>
      <c r="AM237" s="2505">
        <v>1</v>
      </c>
      <c r="AN237" s="2506"/>
      <c r="AO237" s="2507"/>
      <c r="AP237" s="2499">
        <f t="shared" si="56"/>
        <v>6860</v>
      </c>
      <c r="AQ237" s="2500"/>
      <c r="AR237" s="2501"/>
      <c r="AS237" s="2555">
        <f ca="1">SUMIF(床・天井!Q$6:Q$89,F237,床・天井!I$6:I$89)+SUMIF(見積拾!C$47:D$51,F237,見積拾!T$47:T$51)</f>
        <v>0</v>
      </c>
      <c r="AT237" s="2556"/>
      <c r="AU237" s="2556"/>
      <c r="AV237" s="2557"/>
      <c r="AW237" s="2520">
        <f t="shared" ca="1" si="57"/>
        <v>0</v>
      </c>
      <c r="AX237" s="2521"/>
      <c r="AY237" s="2521"/>
      <c r="AZ237" s="2522"/>
      <c r="BA237" s="25" t="b">
        <f t="shared" ca="1" si="58"/>
        <v>0</v>
      </c>
      <c r="BB237"/>
    </row>
    <row r="238" spans="2:54" ht="13.5" customHeight="1">
      <c r="B238" s="2681"/>
      <c r="C238" s="2673"/>
      <c r="D238" s="2682"/>
      <c r="E238" s="322" t="s">
        <v>893</v>
      </c>
      <c r="F238" s="2500" t="s">
        <v>2033</v>
      </c>
      <c r="G238" s="2500"/>
      <c r="H238" s="2500"/>
      <c r="I238" s="2500"/>
      <c r="J238" s="2500"/>
      <c r="K238" s="2500"/>
      <c r="L238" s="2500"/>
      <c r="M238" s="2500"/>
      <c r="N238" s="2500"/>
      <c r="O238" s="2500"/>
      <c r="P238" s="2501"/>
      <c r="Q238" s="2542">
        <v>4845</v>
      </c>
      <c r="R238" s="2518"/>
      <c r="S238" s="2518"/>
      <c r="T238" s="2299" t="s">
        <v>1664</v>
      </c>
      <c r="U238" s="2518" t="s">
        <v>1173</v>
      </c>
      <c r="V238" s="2518"/>
      <c r="W238" s="2518"/>
      <c r="X238" s="2299" t="s">
        <v>895</v>
      </c>
      <c r="Y238" s="2518">
        <v>1705</v>
      </c>
      <c r="Z238" s="2518"/>
      <c r="AA238" s="2518"/>
      <c r="AB238" s="2299" t="s">
        <v>904</v>
      </c>
      <c r="AC238" s="2518"/>
      <c r="AD238" s="2518"/>
      <c r="AE238" s="2518"/>
      <c r="AF238" s="1380" t="s">
        <v>904</v>
      </c>
      <c r="AG238" s="2518"/>
      <c r="AH238" s="2518"/>
      <c r="AI238" s="2518"/>
      <c r="AJ238" s="2520">
        <f t="shared" si="55"/>
        <v>6550</v>
      </c>
      <c r="AK238" s="2521"/>
      <c r="AL238" s="2522"/>
      <c r="AM238" s="2505">
        <v>1</v>
      </c>
      <c r="AN238" s="2506"/>
      <c r="AO238" s="2507"/>
      <c r="AP238" s="2499">
        <f t="shared" si="56"/>
        <v>6550</v>
      </c>
      <c r="AQ238" s="2500"/>
      <c r="AR238" s="2501"/>
      <c r="AS238" s="2555">
        <f ca="1">SUMIF(床・天井!Q$6:Q$89,F238,床・天井!I$6:I$89)+SUMIF(見積拾!C$47:D$51,F238,見積拾!T$47:T$51)</f>
        <v>0</v>
      </c>
      <c r="AT238" s="2556"/>
      <c r="AU238" s="2556"/>
      <c r="AV238" s="2557"/>
      <c r="AW238" s="2520">
        <f t="shared" ca="1" si="57"/>
        <v>0</v>
      </c>
      <c r="AX238" s="2521"/>
      <c r="AY238" s="2521"/>
      <c r="AZ238" s="2522"/>
      <c r="BA238" s="25" t="b">
        <f t="shared" ca="1" si="58"/>
        <v>0</v>
      </c>
      <c r="BB238"/>
    </row>
    <row r="239" spans="2:54" ht="13.5" customHeight="1">
      <c r="B239" s="2681"/>
      <c r="C239" s="2673"/>
      <c r="D239" s="2682"/>
      <c r="E239" s="322" t="s">
        <v>893</v>
      </c>
      <c r="F239" s="2500" t="s">
        <v>2034</v>
      </c>
      <c r="G239" s="2500"/>
      <c r="H239" s="2500"/>
      <c r="I239" s="2500"/>
      <c r="J239" s="2500"/>
      <c r="K239" s="2500"/>
      <c r="L239" s="2500"/>
      <c r="M239" s="2500"/>
      <c r="N239" s="2500"/>
      <c r="O239" s="2500"/>
      <c r="P239" s="2501"/>
      <c r="Q239" s="2542">
        <v>8950</v>
      </c>
      <c r="R239" s="2518"/>
      <c r="S239" s="2518"/>
      <c r="T239" s="2299" t="s">
        <v>1664</v>
      </c>
      <c r="U239" s="2518" t="s">
        <v>1173</v>
      </c>
      <c r="V239" s="2518"/>
      <c r="W239" s="2518"/>
      <c r="X239" s="2299" t="s">
        <v>895</v>
      </c>
      <c r="Y239" s="2518" t="s">
        <v>1174</v>
      </c>
      <c r="Z239" s="2518"/>
      <c r="AA239" s="2518"/>
      <c r="AB239" s="2299" t="s">
        <v>901</v>
      </c>
      <c r="AC239" s="2518"/>
      <c r="AD239" s="2518"/>
      <c r="AE239" s="2518"/>
      <c r="AF239" s="1380" t="s">
        <v>901</v>
      </c>
      <c r="AG239" s="2518"/>
      <c r="AH239" s="2518"/>
      <c r="AI239" s="2518"/>
      <c r="AJ239" s="2520">
        <f t="shared" si="55"/>
        <v>8950</v>
      </c>
      <c r="AK239" s="2521"/>
      <c r="AL239" s="2522"/>
      <c r="AM239" s="2505">
        <v>1</v>
      </c>
      <c r="AN239" s="2506"/>
      <c r="AO239" s="2507"/>
      <c r="AP239" s="2499">
        <f t="shared" si="56"/>
        <v>8950</v>
      </c>
      <c r="AQ239" s="2500"/>
      <c r="AR239" s="2501"/>
      <c r="AS239" s="2555">
        <f ca="1">SUMIF(床・天井!Q$6:Q$89,F239,床・天井!I$6:I$89)+SUMIF(見積拾!C$47:D$51,F239,見積拾!T$47:T$51)</f>
        <v>0</v>
      </c>
      <c r="AT239" s="2556"/>
      <c r="AU239" s="2556"/>
      <c r="AV239" s="2557"/>
      <c r="AW239" s="2520">
        <f t="shared" ca="1" si="57"/>
        <v>0</v>
      </c>
      <c r="AX239" s="2521"/>
      <c r="AY239" s="2521"/>
      <c r="AZ239" s="2522"/>
      <c r="BA239" s="25" t="b">
        <f t="shared" ca="1" si="58"/>
        <v>0</v>
      </c>
      <c r="BB239" t="s">
        <v>2027</v>
      </c>
    </row>
    <row r="240" spans="2:54" ht="13.5" customHeight="1">
      <c r="B240" s="2681"/>
      <c r="C240" s="2673"/>
      <c r="D240" s="2682"/>
      <c r="E240" s="322" t="s">
        <v>893</v>
      </c>
      <c r="F240" s="2500" t="s">
        <v>2035</v>
      </c>
      <c r="G240" s="2500"/>
      <c r="H240" s="2500"/>
      <c r="I240" s="2500"/>
      <c r="J240" s="2500"/>
      <c r="K240" s="2500"/>
      <c r="L240" s="2500"/>
      <c r="M240" s="2500"/>
      <c r="N240" s="2500"/>
      <c r="O240" s="2500"/>
      <c r="P240" s="2501"/>
      <c r="Q240" s="2542">
        <v>7850</v>
      </c>
      <c r="R240" s="2518"/>
      <c r="S240" s="2518"/>
      <c r="T240" s="2299" t="s">
        <v>1664</v>
      </c>
      <c r="U240" s="2518" t="s">
        <v>1173</v>
      </c>
      <c r="V240" s="2518"/>
      <c r="W240" s="2518"/>
      <c r="X240" s="2299" t="s">
        <v>895</v>
      </c>
      <c r="Y240" s="2518" t="s">
        <v>1174</v>
      </c>
      <c r="Z240" s="2518"/>
      <c r="AA240" s="2518"/>
      <c r="AB240" s="2299" t="s">
        <v>901</v>
      </c>
      <c r="AC240" s="2518"/>
      <c r="AD240" s="2518"/>
      <c r="AE240" s="2518"/>
      <c r="AF240" s="1380" t="s">
        <v>901</v>
      </c>
      <c r="AG240" s="2518"/>
      <c r="AH240" s="2518"/>
      <c r="AI240" s="2518"/>
      <c r="AJ240" s="2520">
        <f t="shared" si="55"/>
        <v>7850</v>
      </c>
      <c r="AK240" s="2521"/>
      <c r="AL240" s="2522"/>
      <c r="AM240" s="2505">
        <v>1</v>
      </c>
      <c r="AN240" s="2506"/>
      <c r="AO240" s="2507"/>
      <c r="AP240" s="2499">
        <f t="shared" si="56"/>
        <v>7850</v>
      </c>
      <c r="AQ240" s="2500"/>
      <c r="AR240" s="2501"/>
      <c r="AS240" s="2555">
        <f ca="1">SUMIF(床・天井!Q$6:Q$89,F240,床・天井!I$6:I$89)+SUMIF(見積拾!C$47:D$51,F240,見積拾!T$47:T$51)</f>
        <v>0</v>
      </c>
      <c r="AT240" s="2556"/>
      <c r="AU240" s="2556"/>
      <c r="AV240" s="2557"/>
      <c r="AW240" s="2520">
        <f t="shared" ca="1" si="57"/>
        <v>0</v>
      </c>
      <c r="AX240" s="2521"/>
      <c r="AY240" s="2521"/>
      <c r="AZ240" s="2522"/>
      <c r="BA240" s="25" t="b">
        <f t="shared" ca="1" si="58"/>
        <v>0</v>
      </c>
      <c r="BB240"/>
    </row>
    <row r="241" spans="1:54" ht="13.5" customHeight="1">
      <c r="B241" s="2681"/>
      <c r="C241" s="2673"/>
      <c r="D241" s="2682"/>
      <c r="E241" s="322" t="s">
        <v>893</v>
      </c>
      <c r="F241" s="2500" t="s">
        <v>1681</v>
      </c>
      <c r="G241" s="2500"/>
      <c r="H241" s="2500"/>
      <c r="I241" s="2500"/>
      <c r="J241" s="2500"/>
      <c r="K241" s="2500"/>
      <c r="L241" s="2500"/>
      <c r="M241" s="2500"/>
      <c r="N241" s="2500"/>
      <c r="O241" s="2500"/>
      <c r="P241" s="2501"/>
      <c r="Q241" s="2542">
        <v>3217</v>
      </c>
      <c r="R241" s="2518"/>
      <c r="S241" s="2518"/>
      <c r="T241" s="2299" t="s">
        <v>1664</v>
      </c>
      <c r="U241" s="2518" t="s">
        <v>1173</v>
      </c>
      <c r="V241" s="2518"/>
      <c r="W241" s="2518"/>
      <c r="X241" s="2299" t="s">
        <v>895</v>
      </c>
      <c r="Y241" s="2518">
        <v>580</v>
      </c>
      <c r="Z241" s="2518"/>
      <c r="AA241" s="2518"/>
      <c r="AB241" s="2299" t="s">
        <v>905</v>
      </c>
      <c r="AC241" s="2518" t="s">
        <v>906</v>
      </c>
      <c r="AD241" s="2518"/>
      <c r="AE241" s="2518"/>
      <c r="AF241" s="1380" t="s">
        <v>905</v>
      </c>
      <c r="AG241" s="2518"/>
      <c r="AH241" s="2518"/>
      <c r="AI241" s="2518"/>
      <c r="AJ241" s="2520">
        <f t="shared" si="55"/>
        <v>3790</v>
      </c>
      <c r="AK241" s="2521"/>
      <c r="AL241" s="2522"/>
      <c r="AM241" s="2505">
        <v>1</v>
      </c>
      <c r="AN241" s="2506"/>
      <c r="AO241" s="2507"/>
      <c r="AP241" s="2499">
        <f t="shared" si="56"/>
        <v>3790</v>
      </c>
      <c r="AQ241" s="2500"/>
      <c r="AR241" s="2501"/>
      <c r="AS241" s="2555">
        <f ca="1">SUMIF(床・天井!Q$6:Q$89,F241,床・天井!I$6:I$89)+SUMIF(見積拾!C$47:D$51,F241,見積拾!T$47:T$51)</f>
        <v>0</v>
      </c>
      <c r="AT241" s="2556"/>
      <c r="AU241" s="2556"/>
      <c r="AV241" s="2557"/>
      <c r="AW241" s="2520">
        <f t="shared" ca="1" si="57"/>
        <v>0</v>
      </c>
      <c r="AX241" s="2521"/>
      <c r="AY241" s="2521"/>
      <c r="AZ241" s="2522"/>
      <c r="BA241" s="25" t="b">
        <f t="shared" ca="1" si="58"/>
        <v>0</v>
      </c>
      <c r="BB241" t="s">
        <v>2028</v>
      </c>
    </row>
    <row r="242" spans="1:54" ht="13.5" customHeight="1">
      <c r="B242" s="2681"/>
      <c r="C242" s="2673"/>
      <c r="D242" s="2682"/>
      <c r="E242" s="327" t="s">
        <v>897</v>
      </c>
      <c r="F242" s="3081" t="s">
        <v>898</v>
      </c>
      <c r="G242" s="3081"/>
      <c r="H242" s="3081"/>
      <c r="I242" s="3081"/>
      <c r="J242" s="3081"/>
      <c r="K242" s="3081"/>
      <c r="L242" s="3081"/>
      <c r="M242" s="3081"/>
      <c r="N242" s="3081"/>
      <c r="O242" s="3081"/>
      <c r="P242" s="3082"/>
      <c r="Q242" s="2724"/>
      <c r="R242" s="2527"/>
      <c r="S242" s="2527"/>
      <c r="T242" s="1380" t="s">
        <v>907</v>
      </c>
      <c r="U242" s="2527"/>
      <c r="V242" s="2527"/>
      <c r="W242" s="2527"/>
      <c r="X242" s="1380" t="s">
        <v>907</v>
      </c>
      <c r="Y242" s="2527"/>
      <c r="Z242" s="2527"/>
      <c r="AA242" s="2527"/>
      <c r="AB242" s="1380" t="s">
        <v>907</v>
      </c>
      <c r="AC242" s="2527"/>
      <c r="AD242" s="2527"/>
      <c r="AE242" s="2527"/>
      <c r="AF242" s="1380" t="s">
        <v>907</v>
      </c>
      <c r="AG242" s="2527"/>
      <c r="AH242" s="2527"/>
      <c r="AI242" s="2527"/>
      <c r="AJ242" s="2543">
        <f t="shared" si="55"/>
        <v>0</v>
      </c>
      <c r="AK242" s="2544"/>
      <c r="AL242" s="2545"/>
      <c r="AM242" s="2505">
        <v>1</v>
      </c>
      <c r="AN242" s="2506"/>
      <c r="AO242" s="2507"/>
      <c r="AP242" s="2499">
        <f t="shared" si="56"/>
        <v>0</v>
      </c>
      <c r="AQ242" s="2500"/>
      <c r="AR242" s="2501"/>
      <c r="AS242" s="2555">
        <f ca="1">SUMIF(床・天井!Q$6:Q$89,F242,床・天井!I$6:I$89)+SUMIF(見積拾!C$47:D$51,F242,見積拾!T$47:T$51)</f>
        <v>0</v>
      </c>
      <c r="AT242" s="2556"/>
      <c r="AU242" s="2556"/>
      <c r="AV242" s="2557"/>
      <c r="AW242" s="2520">
        <f t="shared" ca="1" si="57"/>
        <v>0</v>
      </c>
      <c r="AX242" s="2521"/>
      <c r="AY242" s="2521"/>
      <c r="AZ242" s="2522"/>
      <c r="BA242" s="25" t="b">
        <f t="shared" ca="1" si="58"/>
        <v>0</v>
      </c>
      <c r="BB242"/>
    </row>
    <row r="243" spans="1:54" ht="13.5" customHeight="1" thickBot="1">
      <c r="B243" s="2681"/>
      <c r="C243" s="2673"/>
      <c r="D243" s="2682"/>
      <c r="E243" s="328" t="s">
        <v>897</v>
      </c>
      <c r="F243" s="3181" t="s">
        <v>898</v>
      </c>
      <c r="G243" s="3181"/>
      <c r="H243" s="3181"/>
      <c r="I243" s="3181"/>
      <c r="J243" s="3181"/>
      <c r="K243" s="3181"/>
      <c r="L243" s="3181"/>
      <c r="M243" s="3181"/>
      <c r="N243" s="3181"/>
      <c r="O243" s="3181"/>
      <c r="P243" s="3182"/>
      <c r="Q243" s="3083"/>
      <c r="R243" s="2693"/>
      <c r="S243" s="2693"/>
      <c r="T243" s="1381" t="s">
        <v>907</v>
      </c>
      <c r="U243" s="2693"/>
      <c r="V243" s="2693"/>
      <c r="W243" s="2693"/>
      <c r="X243" s="1381" t="s">
        <v>907</v>
      </c>
      <c r="Y243" s="2693"/>
      <c r="Z243" s="2693"/>
      <c r="AA243" s="2693"/>
      <c r="AB243" s="1381" t="s">
        <v>907</v>
      </c>
      <c r="AC243" s="2693"/>
      <c r="AD243" s="2693"/>
      <c r="AE243" s="2693"/>
      <c r="AF243" s="1381" t="s">
        <v>907</v>
      </c>
      <c r="AG243" s="2693"/>
      <c r="AH243" s="2693"/>
      <c r="AI243" s="2693"/>
      <c r="AJ243" s="2543">
        <f t="shared" si="55"/>
        <v>0</v>
      </c>
      <c r="AK243" s="2544"/>
      <c r="AL243" s="2545"/>
      <c r="AM243" s="2505">
        <v>1</v>
      </c>
      <c r="AN243" s="2506"/>
      <c r="AO243" s="2507"/>
      <c r="AP243" s="3062">
        <f t="shared" si="56"/>
        <v>0</v>
      </c>
      <c r="AQ243" s="3063"/>
      <c r="AR243" s="3064"/>
      <c r="AS243" s="2555">
        <f ca="1">SUMIF(床・天井!Q$6:Q$89,F243,床・天井!I$6:I$89)+SUMIF(見積拾!C$47:D$51,F243,見積拾!T$47:T$51)</f>
        <v>0</v>
      </c>
      <c r="AT243" s="2556"/>
      <c r="AU243" s="2556"/>
      <c r="AV243" s="2557"/>
      <c r="AW243" s="2520">
        <f t="shared" ca="1" si="57"/>
        <v>0</v>
      </c>
      <c r="AX243" s="2521"/>
      <c r="AY243" s="2521"/>
      <c r="AZ243" s="2522"/>
      <c r="BA243" s="25" t="b">
        <f t="shared" ca="1" si="58"/>
        <v>0</v>
      </c>
      <c r="BB243"/>
    </row>
    <row r="244" spans="1:54" ht="13.5" customHeight="1" thickBot="1">
      <c r="B244" s="2684"/>
      <c r="C244" s="2685"/>
      <c r="D244" s="2686"/>
      <c r="E244" s="329"/>
      <c r="F244" s="330"/>
      <c r="G244" s="330"/>
      <c r="H244" s="330"/>
      <c r="I244" s="330"/>
      <c r="J244" s="330"/>
      <c r="K244" s="330"/>
      <c r="L244" s="330"/>
      <c r="M244" s="330"/>
      <c r="N244" s="330"/>
      <c r="O244" s="330"/>
      <c r="P244" s="330"/>
      <c r="Q244" s="329"/>
      <c r="R244" s="330"/>
      <c r="S244" s="330"/>
      <c r="T244" s="330"/>
      <c r="U244" s="330"/>
      <c r="V244" s="330"/>
      <c r="W244" s="330"/>
      <c r="X244" s="330"/>
      <c r="Y244" s="330"/>
      <c r="Z244" s="330"/>
      <c r="AA244" s="330"/>
      <c r="AB244" s="330"/>
      <c r="AC244" s="330"/>
      <c r="AD244" s="330"/>
      <c r="AE244" s="330"/>
      <c r="AF244" s="330"/>
      <c r="AG244" s="330"/>
      <c r="AH244" s="330"/>
      <c r="AI244" s="331"/>
      <c r="AJ244" s="3076" t="str">
        <f ca="1">IF(AS244=床・天井!Q91+見積拾!T52,"面積合計及び部分別評点数","補助票と面積が違います！")</f>
        <v>面積合計及び部分別評点数</v>
      </c>
      <c r="AK244" s="3077"/>
      <c r="AL244" s="3077"/>
      <c r="AM244" s="3077"/>
      <c r="AN244" s="3077"/>
      <c r="AO244" s="3077"/>
      <c r="AP244" s="3077"/>
      <c r="AQ244" s="3077"/>
      <c r="AR244" s="3078"/>
      <c r="AS244" s="3065">
        <f ca="1">SUM(AS222:AV243)</f>
        <v>0</v>
      </c>
      <c r="AT244" s="3066"/>
      <c r="AU244" s="3066"/>
      <c r="AV244" s="3067"/>
      <c r="AW244" s="2668">
        <f ca="1">SUM(AW221:AZ243)</f>
        <v>0</v>
      </c>
      <c r="AX244" s="2668"/>
      <c r="AY244" s="2668"/>
      <c r="AZ244" s="2669"/>
      <c r="BA244" s="25" t="b">
        <v>1</v>
      </c>
      <c r="BB244"/>
    </row>
    <row r="245" spans="1:54" ht="13.5" customHeight="1">
      <c r="BA245" s="25" t="b">
        <v>0</v>
      </c>
    </row>
    <row r="246" spans="1:54" ht="13.5" customHeight="1">
      <c r="BA246" s="25" t="b">
        <v>0</v>
      </c>
    </row>
    <row r="247" spans="1:54" ht="13.5" customHeight="1">
      <c r="C247" s="26" t="s">
        <v>908</v>
      </c>
      <c r="D247" s="27"/>
      <c r="E247" s="27"/>
      <c r="F247" s="27"/>
      <c r="G247" s="27"/>
      <c r="H247" s="27"/>
      <c r="I247" s="27"/>
      <c r="J247" s="27"/>
      <c r="BA247" s="25" t="b">
        <v>0</v>
      </c>
      <c r="BB247" s="6" t="s">
        <v>1567</v>
      </c>
    </row>
    <row r="248" spans="1:54" ht="13.5" customHeight="1">
      <c r="BA248" s="25" t="b">
        <v>0</v>
      </c>
      <c r="BB248"/>
    </row>
    <row r="249" spans="1:54" ht="13.5" customHeight="1">
      <c r="B249" s="137"/>
      <c r="C249" s="138"/>
      <c r="D249" s="139"/>
      <c r="E249" s="291" t="s">
        <v>759</v>
      </c>
      <c r="F249" s="292"/>
      <c r="G249" s="292"/>
      <c r="H249" s="292"/>
      <c r="I249" s="292"/>
      <c r="J249" s="292"/>
      <c r="K249" s="292"/>
      <c r="L249" s="292"/>
      <c r="M249" s="292"/>
      <c r="N249" s="292"/>
      <c r="O249" s="292"/>
      <c r="P249" s="293"/>
      <c r="Q249" s="292" t="s">
        <v>885</v>
      </c>
      <c r="R249" s="292"/>
      <c r="S249" s="292"/>
      <c r="T249" s="320"/>
      <c r="U249" s="292" t="s">
        <v>886</v>
      </c>
      <c r="V249" s="292"/>
      <c r="W249" s="292"/>
      <c r="X249" s="320"/>
      <c r="Y249" s="292" t="s">
        <v>887</v>
      </c>
      <c r="Z249" s="292"/>
      <c r="AA249" s="292"/>
      <c r="AB249" s="320"/>
      <c r="AC249" s="292" t="s">
        <v>888</v>
      </c>
      <c r="AD249" s="292"/>
      <c r="AE249" s="292"/>
      <c r="AF249" s="292" t="s">
        <v>888</v>
      </c>
      <c r="AG249" s="292"/>
      <c r="AH249" s="293"/>
      <c r="AI249" s="293"/>
      <c r="AJ249" s="291" t="s">
        <v>889</v>
      </c>
      <c r="AK249" s="292"/>
      <c r="AL249" s="293"/>
      <c r="AM249" s="291" t="s">
        <v>765</v>
      </c>
      <c r="AN249" s="292"/>
      <c r="AO249" s="293"/>
      <c r="AP249" s="291" t="s">
        <v>890</v>
      </c>
      <c r="AQ249" s="292"/>
      <c r="AR249" s="293"/>
      <c r="AS249" s="294" t="s">
        <v>891</v>
      </c>
      <c r="AT249" s="291"/>
      <c r="AU249" s="291"/>
      <c r="AV249" s="291"/>
      <c r="AW249" s="2658" t="s">
        <v>762</v>
      </c>
      <c r="AX249" s="2658"/>
      <c r="AY249" s="2658"/>
      <c r="AZ249" s="2658"/>
      <c r="BA249" s="25" t="b">
        <v>0</v>
      </c>
      <c r="BB249"/>
    </row>
    <row r="250" spans="1:54" ht="13.5" customHeight="1">
      <c r="A250">
        <f>ROW()</f>
        <v>250</v>
      </c>
      <c r="B250" s="2681" t="s">
        <v>913</v>
      </c>
      <c r="C250" s="2673"/>
      <c r="D250" s="2682"/>
      <c r="E250" s="1338" t="s">
        <v>893</v>
      </c>
      <c r="F250" s="3079" t="s">
        <v>914</v>
      </c>
      <c r="G250" s="3079"/>
      <c r="H250" s="3079"/>
      <c r="I250" s="3079"/>
      <c r="J250" s="3079"/>
      <c r="K250" s="3079"/>
      <c r="L250" s="3079"/>
      <c r="M250" s="3079"/>
      <c r="N250" s="3079"/>
      <c r="O250" s="3079"/>
      <c r="P250" s="3080"/>
      <c r="Q250" s="2733"/>
      <c r="R250" s="2691"/>
      <c r="S250" s="2691"/>
      <c r="T250" s="2300"/>
      <c r="U250" s="2691"/>
      <c r="V250" s="2691"/>
      <c r="W250" s="2691"/>
      <c r="X250" s="2300"/>
      <c r="Y250" s="2691"/>
      <c r="Z250" s="2691"/>
      <c r="AA250" s="2691"/>
      <c r="AB250" s="2300"/>
      <c r="AC250" s="2691"/>
      <c r="AD250" s="2691"/>
      <c r="AE250" s="2691"/>
      <c r="AF250" s="1377"/>
      <c r="AG250" s="2691"/>
      <c r="AH250" s="2691"/>
      <c r="AI250" s="2788"/>
      <c r="AJ250" s="2543">
        <f t="shared" ref="AJ250:AJ272" si="67">ROUNDDOWN(SUM(Q250:AI250),-1)</f>
        <v>0</v>
      </c>
      <c r="AK250" s="2544"/>
      <c r="AL250" s="2545"/>
      <c r="AM250" s="2505">
        <v>1</v>
      </c>
      <c r="AN250" s="2506"/>
      <c r="AO250" s="2507"/>
      <c r="AP250" s="2543">
        <f t="shared" ref="AP250:AP272" si="68">INT(AJ250*AM250)</f>
        <v>0</v>
      </c>
      <c r="AQ250" s="2544"/>
      <c r="AR250" s="2545"/>
      <c r="AS250" s="2659"/>
      <c r="AT250" s="2660"/>
      <c r="AU250" s="2660"/>
      <c r="AV250" s="2661"/>
      <c r="AW250" s="2520">
        <f t="shared" ref="AW250:AW272" si="69">INT(AP250*AS250)</f>
        <v>0</v>
      </c>
      <c r="AX250" s="2521"/>
      <c r="AY250" s="2521"/>
      <c r="AZ250" s="2522"/>
      <c r="BA250" s="25" t="b">
        <f ca="1">AW273=0</f>
        <v>1</v>
      </c>
      <c r="BB250"/>
    </row>
    <row r="251" spans="1:54" ht="13.5" customHeight="1">
      <c r="B251" s="2681"/>
      <c r="C251" s="2673"/>
      <c r="D251" s="2682"/>
      <c r="E251" s="1336" t="s">
        <v>893</v>
      </c>
      <c r="F251" s="2500" t="s">
        <v>1176</v>
      </c>
      <c r="G251" s="2500"/>
      <c r="H251" s="2500"/>
      <c r="I251" s="2500"/>
      <c r="J251" s="2500"/>
      <c r="K251" s="2500"/>
      <c r="L251" s="2500"/>
      <c r="M251" s="2500"/>
      <c r="N251" s="2500"/>
      <c r="O251" s="2500"/>
      <c r="P251" s="2501"/>
      <c r="Q251" s="2542">
        <v>1020</v>
      </c>
      <c r="R251" s="2518"/>
      <c r="S251" s="2518"/>
      <c r="T251" s="2299" t="s">
        <v>1664</v>
      </c>
      <c r="U251" s="2518">
        <v>2277</v>
      </c>
      <c r="V251" s="2518"/>
      <c r="W251" s="2518"/>
      <c r="X251" s="2299" t="s">
        <v>895</v>
      </c>
      <c r="Y251" s="2518">
        <v>44</v>
      </c>
      <c r="Z251" s="2518"/>
      <c r="AA251" s="2518"/>
      <c r="AB251" s="2299" t="s">
        <v>64</v>
      </c>
      <c r="AC251" s="2518"/>
      <c r="AD251" s="2518"/>
      <c r="AE251" s="2518"/>
      <c r="AF251" s="1380" t="s">
        <v>64</v>
      </c>
      <c r="AG251" s="2518"/>
      <c r="AH251" s="2518"/>
      <c r="AI251" s="2519"/>
      <c r="AJ251" s="2520">
        <f t="shared" si="67"/>
        <v>3340</v>
      </c>
      <c r="AK251" s="2521"/>
      <c r="AL251" s="2522"/>
      <c r="AM251" s="2505">
        <v>1</v>
      </c>
      <c r="AN251" s="2506"/>
      <c r="AO251" s="2507"/>
      <c r="AP251" s="2499">
        <f t="shared" si="68"/>
        <v>3340</v>
      </c>
      <c r="AQ251" s="2500"/>
      <c r="AR251" s="2501"/>
      <c r="AS251" s="2555">
        <f ca="1">SUMIF(基礎・屋根・外壁!B$137:AE$137,F251,基礎・屋根・外壁!B$140:AE$140)+SUMIF(基礎・屋根・外壁!B$160:AE$160,F251,基礎・屋根・外壁!B$163:AE$163)+SUMIF(見積拾!C$55:D$59,F251,見積拾!T$55:T$59)</f>
        <v>0</v>
      </c>
      <c r="AT251" s="2556"/>
      <c r="AU251" s="2556"/>
      <c r="AV251" s="2557"/>
      <c r="AW251" s="2520">
        <f t="shared" ca="1" si="69"/>
        <v>0</v>
      </c>
      <c r="AX251" s="2521"/>
      <c r="AY251" s="2521"/>
      <c r="AZ251" s="2522"/>
      <c r="BA251" s="25" t="b">
        <f t="shared" ref="BA251:BA272" ca="1" si="70">AW251&lt;&gt;0</f>
        <v>0</v>
      </c>
      <c r="BB251"/>
    </row>
    <row r="252" spans="1:54" ht="13.5" customHeight="1">
      <c r="B252" s="2681"/>
      <c r="C252" s="2673"/>
      <c r="D252" s="2682"/>
      <c r="E252" s="1336" t="s">
        <v>893</v>
      </c>
      <c r="F252" s="2500" t="s">
        <v>1682</v>
      </c>
      <c r="G252" s="2500"/>
      <c r="H252" s="2500"/>
      <c r="I252" s="2500"/>
      <c r="J252" s="2500"/>
      <c r="K252" s="2500"/>
      <c r="L252" s="2500"/>
      <c r="M252" s="2500"/>
      <c r="N252" s="2500"/>
      <c r="O252" s="2500"/>
      <c r="P252" s="2501"/>
      <c r="Q252" s="2542">
        <v>2062</v>
      </c>
      <c r="R252" s="2518"/>
      <c r="S252" s="2518"/>
      <c r="T252" s="2299" t="s">
        <v>1664</v>
      </c>
      <c r="U252" s="2518">
        <v>4095</v>
      </c>
      <c r="V252" s="2518"/>
      <c r="W252" s="2518"/>
      <c r="X252" s="2299" t="s">
        <v>895</v>
      </c>
      <c r="Y252" s="2518">
        <v>923</v>
      </c>
      <c r="Z252" s="2518"/>
      <c r="AA252" s="2518"/>
      <c r="AB252" s="2299" t="s">
        <v>64</v>
      </c>
      <c r="AC252" s="2518"/>
      <c r="AD252" s="2518"/>
      <c r="AE252" s="2518"/>
      <c r="AF252" s="1380" t="s">
        <v>64</v>
      </c>
      <c r="AG252" s="2518"/>
      <c r="AH252" s="2518"/>
      <c r="AI252" s="2519"/>
      <c r="AJ252" s="2520">
        <f t="shared" si="67"/>
        <v>7080</v>
      </c>
      <c r="AK252" s="2521"/>
      <c r="AL252" s="2522"/>
      <c r="AM252" s="2505">
        <v>1</v>
      </c>
      <c r="AN252" s="2506"/>
      <c r="AO252" s="2507"/>
      <c r="AP252" s="2499">
        <f t="shared" si="68"/>
        <v>7080</v>
      </c>
      <c r="AQ252" s="2500"/>
      <c r="AR252" s="2501"/>
      <c r="AS252" s="2555">
        <f ca="1">SUMIF(基礎・屋根・外壁!B$137:AE$137,F252,基礎・屋根・外壁!B$140:AE$140)+SUMIF(基礎・屋根・外壁!B$160:AE$160,F252,基礎・屋根・外壁!B$163:AE$163)+SUMIF(見積拾!C$55:D$59,F252,見積拾!T$55:T$59)</f>
        <v>0</v>
      </c>
      <c r="AT252" s="2556"/>
      <c r="AU252" s="2556"/>
      <c r="AV252" s="2557"/>
      <c r="AW252" s="2520">
        <f t="shared" ca="1" si="69"/>
        <v>0</v>
      </c>
      <c r="AX252" s="2521"/>
      <c r="AY252" s="2521"/>
      <c r="AZ252" s="2522"/>
      <c r="BA252" s="25" t="b">
        <f t="shared" ca="1" si="70"/>
        <v>0</v>
      </c>
      <c r="BB252"/>
    </row>
    <row r="253" spans="1:54" ht="13.5" customHeight="1">
      <c r="B253" s="2681"/>
      <c r="C253" s="2673"/>
      <c r="D253" s="2682"/>
      <c r="E253" s="1336" t="s">
        <v>893</v>
      </c>
      <c r="F253" s="2500" t="s">
        <v>1683</v>
      </c>
      <c r="G253" s="2500"/>
      <c r="H253" s="2500"/>
      <c r="I253" s="2500"/>
      <c r="J253" s="2500"/>
      <c r="K253" s="2500"/>
      <c r="L253" s="2500"/>
      <c r="M253" s="2500"/>
      <c r="N253" s="2500"/>
      <c r="O253" s="2500"/>
      <c r="P253" s="2501"/>
      <c r="Q253" s="2542">
        <v>1437</v>
      </c>
      <c r="R253" s="2518"/>
      <c r="S253" s="2518"/>
      <c r="T253" s="2299" t="s">
        <v>1664</v>
      </c>
      <c r="U253" s="2518">
        <v>3003</v>
      </c>
      <c r="V253" s="2518"/>
      <c r="W253" s="2518"/>
      <c r="X253" s="2299" t="s">
        <v>895</v>
      </c>
      <c r="Y253" s="2518">
        <v>658</v>
      </c>
      <c r="Z253" s="2518"/>
      <c r="AA253" s="2518"/>
      <c r="AB253" s="2299" t="s">
        <v>64</v>
      </c>
      <c r="AC253" s="2518"/>
      <c r="AD253" s="2518"/>
      <c r="AE253" s="2518"/>
      <c r="AF253" s="1380" t="s">
        <v>64</v>
      </c>
      <c r="AG253" s="2518"/>
      <c r="AH253" s="2518"/>
      <c r="AI253" s="2519"/>
      <c r="AJ253" s="2520">
        <f t="shared" si="67"/>
        <v>5090</v>
      </c>
      <c r="AK253" s="2521"/>
      <c r="AL253" s="2522"/>
      <c r="AM253" s="2505">
        <v>1</v>
      </c>
      <c r="AN253" s="2506"/>
      <c r="AO253" s="2507"/>
      <c r="AP253" s="2499">
        <f t="shared" si="68"/>
        <v>5090</v>
      </c>
      <c r="AQ253" s="2500"/>
      <c r="AR253" s="2501"/>
      <c r="AS253" s="2555">
        <f ca="1">SUMIF(基礎・屋根・外壁!B$137:AE$137,F253,基礎・屋根・外壁!B$140:AE$140)+SUMIF(基礎・屋根・外壁!B$160:AE$160,F253,基礎・屋根・外壁!B$163:AE$163)+SUMIF(見積拾!C$55:D$59,F253,見積拾!T$55:T$59)</f>
        <v>0</v>
      </c>
      <c r="AT253" s="2556"/>
      <c r="AU253" s="2556"/>
      <c r="AV253" s="2557"/>
      <c r="AW253" s="2520">
        <f t="shared" ca="1" si="69"/>
        <v>0</v>
      </c>
      <c r="AX253" s="2521"/>
      <c r="AY253" s="2521"/>
      <c r="AZ253" s="2522"/>
      <c r="BA253" s="25" t="b">
        <f t="shared" ca="1" si="70"/>
        <v>0</v>
      </c>
      <c r="BB253"/>
    </row>
    <row r="254" spans="1:54" ht="13.5" customHeight="1">
      <c r="B254" s="2681"/>
      <c r="C254" s="2673"/>
      <c r="D254" s="2682"/>
      <c r="E254" s="1336" t="s">
        <v>893</v>
      </c>
      <c r="F254" s="2500" t="s">
        <v>1177</v>
      </c>
      <c r="G254" s="2500"/>
      <c r="H254" s="2500"/>
      <c r="I254" s="2500"/>
      <c r="J254" s="2500"/>
      <c r="K254" s="2500"/>
      <c r="L254" s="2500"/>
      <c r="M254" s="2500"/>
      <c r="N254" s="2500"/>
      <c r="O254" s="2500"/>
      <c r="P254" s="2501"/>
      <c r="Q254" s="2542">
        <v>2871</v>
      </c>
      <c r="R254" s="2518"/>
      <c r="S254" s="2518"/>
      <c r="T254" s="2299" t="s">
        <v>1664</v>
      </c>
      <c r="U254" s="2518" t="s">
        <v>1173</v>
      </c>
      <c r="V254" s="2518"/>
      <c r="W254" s="2518"/>
      <c r="X254" s="2299" t="s">
        <v>895</v>
      </c>
      <c r="Y254" s="2518" t="s">
        <v>1174</v>
      </c>
      <c r="Z254" s="2518"/>
      <c r="AA254" s="2518"/>
      <c r="AB254" s="2299" t="s">
        <v>64</v>
      </c>
      <c r="AC254" s="2518"/>
      <c r="AD254" s="2518"/>
      <c r="AE254" s="2518"/>
      <c r="AF254" s="1380" t="s">
        <v>64</v>
      </c>
      <c r="AG254" s="2518"/>
      <c r="AH254" s="2518"/>
      <c r="AI254" s="2519"/>
      <c r="AJ254" s="2520">
        <f t="shared" si="67"/>
        <v>2870</v>
      </c>
      <c r="AK254" s="2521"/>
      <c r="AL254" s="2522"/>
      <c r="AM254" s="2505">
        <v>1</v>
      </c>
      <c r="AN254" s="2506"/>
      <c r="AO254" s="2507"/>
      <c r="AP254" s="2499">
        <f t="shared" si="68"/>
        <v>2870</v>
      </c>
      <c r="AQ254" s="2500"/>
      <c r="AR254" s="2501"/>
      <c r="AS254" s="2555">
        <f ca="1">SUMIF(基礎・屋根・外壁!B$137:AE$137,F254,基礎・屋根・外壁!B$140:AE$140)+SUMIF(基礎・屋根・外壁!B$160:AE$160,F254,基礎・屋根・外壁!B$163:AE$163)+SUMIF(見積拾!C$55:D$59,F254,見積拾!T$55:T$59)</f>
        <v>0</v>
      </c>
      <c r="AT254" s="2556"/>
      <c r="AU254" s="2556"/>
      <c r="AV254" s="2557"/>
      <c r="AW254" s="2520">
        <f t="shared" ca="1" si="69"/>
        <v>0</v>
      </c>
      <c r="AX254" s="2521"/>
      <c r="AY254" s="2521"/>
      <c r="AZ254" s="2522"/>
      <c r="BA254" s="25" t="b">
        <f t="shared" ca="1" si="70"/>
        <v>0</v>
      </c>
      <c r="BB254"/>
    </row>
    <row r="255" spans="1:54" ht="13.5" customHeight="1">
      <c r="B255" s="2681"/>
      <c r="C255" s="2673"/>
      <c r="D255" s="2682"/>
      <c r="E255" s="1336" t="s">
        <v>893</v>
      </c>
      <c r="F255" s="2500" t="s">
        <v>1684</v>
      </c>
      <c r="G255" s="2500"/>
      <c r="H255" s="2500"/>
      <c r="I255" s="2500"/>
      <c r="J255" s="2500"/>
      <c r="K255" s="2500"/>
      <c r="L255" s="2500"/>
      <c r="M255" s="2500"/>
      <c r="N255" s="2500"/>
      <c r="O255" s="2500"/>
      <c r="P255" s="2501"/>
      <c r="Q255" s="2542">
        <v>2700</v>
      </c>
      <c r="R255" s="2518"/>
      <c r="S255" s="2518"/>
      <c r="T255" s="2299" t="s">
        <v>1664</v>
      </c>
      <c r="U255" s="2518" t="s">
        <v>1173</v>
      </c>
      <c r="V255" s="2518"/>
      <c r="W255" s="2518"/>
      <c r="X255" s="2299" t="s">
        <v>895</v>
      </c>
      <c r="Y255" s="2518" t="s">
        <v>1174</v>
      </c>
      <c r="Z255" s="2518"/>
      <c r="AA255" s="2518"/>
      <c r="AB255" s="2299" t="s">
        <v>64</v>
      </c>
      <c r="AC255" s="2518"/>
      <c r="AD255" s="2518"/>
      <c r="AE255" s="2518"/>
      <c r="AF255" s="1380" t="s">
        <v>64</v>
      </c>
      <c r="AG255" s="2518"/>
      <c r="AH255" s="2518"/>
      <c r="AI255" s="2519"/>
      <c r="AJ255" s="2520">
        <f t="shared" si="67"/>
        <v>2700</v>
      </c>
      <c r="AK255" s="2521"/>
      <c r="AL255" s="2522"/>
      <c r="AM255" s="2505">
        <v>1</v>
      </c>
      <c r="AN255" s="2506"/>
      <c r="AO255" s="2507"/>
      <c r="AP255" s="2499">
        <f t="shared" si="68"/>
        <v>2700</v>
      </c>
      <c r="AQ255" s="2500"/>
      <c r="AR255" s="2501"/>
      <c r="AS255" s="2555">
        <f ca="1">SUMIF(基礎・屋根・外壁!B$137:AE$137,F255,基礎・屋根・外壁!B$140:AE$140)+SUMIF(基礎・屋根・外壁!B$160:AE$160,F255,基礎・屋根・外壁!B$163:AE$163)+SUMIF(見積拾!C$55:D$59,F255,見積拾!T$55:T$59)</f>
        <v>0</v>
      </c>
      <c r="AT255" s="2556"/>
      <c r="AU255" s="2556"/>
      <c r="AV255" s="2557"/>
      <c r="AW255" s="2520">
        <f t="shared" ca="1" si="69"/>
        <v>0</v>
      </c>
      <c r="AX255" s="2521"/>
      <c r="AY255" s="2521"/>
      <c r="AZ255" s="2522"/>
      <c r="BA255" s="25" t="b">
        <f t="shared" ca="1" si="70"/>
        <v>0</v>
      </c>
      <c r="BB255"/>
    </row>
    <row r="256" spans="1:54" ht="13.5" customHeight="1">
      <c r="B256" s="2681"/>
      <c r="C256" s="2673"/>
      <c r="D256" s="2682"/>
      <c r="E256" s="1336" t="s">
        <v>893</v>
      </c>
      <c r="F256" s="2500" t="s">
        <v>1685</v>
      </c>
      <c r="G256" s="2500"/>
      <c r="H256" s="2500"/>
      <c r="I256" s="2500"/>
      <c r="J256" s="2500"/>
      <c r="K256" s="2500"/>
      <c r="L256" s="2500"/>
      <c r="M256" s="2500"/>
      <c r="N256" s="2500"/>
      <c r="O256" s="2500"/>
      <c r="P256" s="2501"/>
      <c r="Q256" s="2542">
        <v>1610</v>
      </c>
      <c r="R256" s="2518"/>
      <c r="S256" s="2518"/>
      <c r="T256" s="2299" t="s">
        <v>1664</v>
      </c>
      <c r="U256" s="2518" t="s">
        <v>1173</v>
      </c>
      <c r="V256" s="2518"/>
      <c r="W256" s="2518"/>
      <c r="X256" s="2299" t="s">
        <v>895</v>
      </c>
      <c r="Y256" s="2518" t="s">
        <v>1174</v>
      </c>
      <c r="Z256" s="2518"/>
      <c r="AA256" s="2518"/>
      <c r="AB256" s="2299" t="s">
        <v>64</v>
      </c>
      <c r="AC256" s="2518"/>
      <c r="AD256" s="2518"/>
      <c r="AE256" s="2518"/>
      <c r="AF256" s="1380" t="s">
        <v>64</v>
      </c>
      <c r="AG256" s="2518"/>
      <c r="AH256" s="2518"/>
      <c r="AI256" s="2519"/>
      <c r="AJ256" s="2520">
        <f t="shared" si="67"/>
        <v>1610</v>
      </c>
      <c r="AK256" s="2521"/>
      <c r="AL256" s="2522"/>
      <c r="AM256" s="2505">
        <v>1</v>
      </c>
      <c r="AN256" s="2506"/>
      <c r="AO256" s="2507"/>
      <c r="AP256" s="2499">
        <f t="shared" si="68"/>
        <v>1610</v>
      </c>
      <c r="AQ256" s="2500"/>
      <c r="AR256" s="2501"/>
      <c r="AS256" s="2555">
        <f ca="1">SUMIF(基礎・屋根・外壁!B$137:AE$137,F256,基礎・屋根・外壁!B$140:AE$140)+SUMIF(基礎・屋根・外壁!B$160:AE$160,F256,基礎・屋根・外壁!B$163:AE$163)+SUMIF(見積拾!C$55:D$59,F256,見積拾!T$55:T$59)</f>
        <v>0</v>
      </c>
      <c r="AT256" s="2556"/>
      <c r="AU256" s="2556"/>
      <c r="AV256" s="2557"/>
      <c r="AW256" s="2520">
        <f t="shared" ca="1" si="69"/>
        <v>0</v>
      </c>
      <c r="AX256" s="2521"/>
      <c r="AY256" s="2521"/>
      <c r="AZ256" s="2522"/>
      <c r="BA256" s="25" t="b">
        <f t="shared" ca="1" si="70"/>
        <v>0</v>
      </c>
      <c r="BB256"/>
    </row>
    <row r="257" spans="2:54" ht="13.5" customHeight="1">
      <c r="B257" s="2681"/>
      <c r="C257" s="2673"/>
      <c r="D257" s="2682"/>
      <c r="E257" s="1336" t="s">
        <v>893</v>
      </c>
      <c r="F257" s="2500" t="s">
        <v>1686</v>
      </c>
      <c r="G257" s="2500"/>
      <c r="H257" s="2500"/>
      <c r="I257" s="2500"/>
      <c r="J257" s="2500"/>
      <c r="K257" s="2500"/>
      <c r="L257" s="2500"/>
      <c r="M257" s="2500"/>
      <c r="N257" s="2500"/>
      <c r="O257" s="2500"/>
      <c r="P257" s="2501"/>
      <c r="Q257" s="2542">
        <v>4200</v>
      </c>
      <c r="R257" s="2518"/>
      <c r="S257" s="2518"/>
      <c r="T257" s="2299" t="s">
        <v>1664</v>
      </c>
      <c r="U257" s="2518" t="s">
        <v>1173</v>
      </c>
      <c r="V257" s="2518"/>
      <c r="W257" s="2518"/>
      <c r="X257" s="2299" t="s">
        <v>895</v>
      </c>
      <c r="Y257" s="2518">
        <v>10122</v>
      </c>
      <c r="Z257" s="2518"/>
      <c r="AA257" s="2518"/>
      <c r="AB257" s="2299" t="s">
        <v>905</v>
      </c>
      <c r="AC257" s="2518"/>
      <c r="AD257" s="2518"/>
      <c r="AE257" s="2518"/>
      <c r="AF257" s="1380" t="s">
        <v>905</v>
      </c>
      <c r="AG257" s="2518"/>
      <c r="AH257" s="2518"/>
      <c r="AI257" s="2519"/>
      <c r="AJ257" s="2520">
        <f t="shared" si="67"/>
        <v>14320</v>
      </c>
      <c r="AK257" s="2521"/>
      <c r="AL257" s="2522"/>
      <c r="AM257" s="2505">
        <v>1</v>
      </c>
      <c r="AN257" s="2506"/>
      <c r="AO257" s="2507"/>
      <c r="AP257" s="2499">
        <f t="shared" si="68"/>
        <v>14320</v>
      </c>
      <c r="AQ257" s="2500"/>
      <c r="AR257" s="2501"/>
      <c r="AS257" s="2555">
        <f ca="1">SUMIF(基礎・屋根・外壁!B$137:AE$137,F257,基礎・屋根・外壁!B$140:AE$140)+SUMIF(基礎・屋根・外壁!B$160:AE$160,F257,基礎・屋根・外壁!B$163:AE$163)+SUMIF(見積拾!C$55:D$59,F257,見積拾!T$55:T$59)</f>
        <v>0</v>
      </c>
      <c r="AT257" s="2556"/>
      <c r="AU257" s="2556"/>
      <c r="AV257" s="2557"/>
      <c r="AW257" s="2520">
        <f t="shared" ca="1" si="69"/>
        <v>0</v>
      </c>
      <c r="AX257" s="2521"/>
      <c r="AY257" s="2521"/>
      <c r="AZ257" s="2522"/>
      <c r="BA257" s="25" t="b">
        <f t="shared" ca="1" si="70"/>
        <v>0</v>
      </c>
      <c r="BB257"/>
    </row>
    <row r="258" spans="2:54" ht="13.5" customHeight="1">
      <c r="B258" s="2681"/>
      <c r="C258" s="2673"/>
      <c r="D258" s="2682"/>
      <c r="E258" s="1336" t="s">
        <v>893</v>
      </c>
      <c r="F258" s="2500" t="s">
        <v>1667</v>
      </c>
      <c r="G258" s="2500"/>
      <c r="H258" s="2500"/>
      <c r="I258" s="2500"/>
      <c r="J258" s="2500"/>
      <c r="K258" s="2500"/>
      <c r="L258" s="2500"/>
      <c r="M258" s="2500"/>
      <c r="N258" s="2500"/>
      <c r="O258" s="2500"/>
      <c r="P258" s="2501"/>
      <c r="Q258" s="2542">
        <v>9350</v>
      </c>
      <c r="R258" s="2518"/>
      <c r="S258" s="2518"/>
      <c r="T258" s="2299" t="s">
        <v>1664</v>
      </c>
      <c r="U258" s="2518" t="s">
        <v>1173</v>
      </c>
      <c r="V258" s="2518"/>
      <c r="W258" s="2518"/>
      <c r="X258" s="2299" t="s">
        <v>895</v>
      </c>
      <c r="Y258" s="2518">
        <v>1056</v>
      </c>
      <c r="Z258" s="2518"/>
      <c r="AA258" s="2518"/>
      <c r="AB258" s="2299" t="s">
        <v>905</v>
      </c>
      <c r="AC258" s="2518"/>
      <c r="AD258" s="2518"/>
      <c r="AE258" s="2518"/>
      <c r="AF258" s="1380" t="s">
        <v>905</v>
      </c>
      <c r="AG258" s="2518"/>
      <c r="AH258" s="2518"/>
      <c r="AI258" s="2519"/>
      <c r="AJ258" s="2520">
        <f t="shared" si="67"/>
        <v>10400</v>
      </c>
      <c r="AK258" s="2521"/>
      <c r="AL258" s="2522"/>
      <c r="AM258" s="2505">
        <v>1</v>
      </c>
      <c r="AN258" s="2506"/>
      <c r="AO258" s="2507"/>
      <c r="AP258" s="2499">
        <f t="shared" si="68"/>
        <v>10400</v>
      </c>
      <c r="AQ258" s="2500"/>
      <c r="AR258" s="2501"/>
      <c r="AS258" s="2555">
        <f ca="1">SUMIF(基礎・屋根・外壁!B$137:AE$137,F258,基礎・屋根・外壁!B$140:AE$140)+SUMIF(基礎・屋根・外壁!B$160:AE$160,F258,基礎・屋根・外壁!B$163:AE$163)+SUMIF(見積拾!C$55:D$59,F258,見積拾!T$55:T$59)</f>
        <v>0</v>
      </c>
      <c r="AT258" s="2556"/>
      <c r="AU258" s="2556"/>
      <c r="AV258" s="2557"/>
      <c r="AW258" s="2520">
        <f t="shared" ca="1" si="69"/>
        <v>0</v>
      </c>
      <c r="AX258" s="2521"/>
      <c r="AY258" s="2521"/>
      <c r="AZ258" s="2522"/>
      <c r="BA258" s="25" t="b">
        <f t="shared" ca="1" si="70"/>
        <v>0</v>
      </c>
      <c r="BB258"/>
    </row>
    <row r="259" spans="2:54" ht="13.5" customHeight="1">
      <c r="B259" s="2681"/>
      <c r="C259" s="2673"/>
      <c r="D259" s="2682"/>
      <c r="E259" s="1336" t="s">
        <v>893</v>
      </c>
      <c r="F259" s="2500" t="s">
        <v>1668</v>
      </c>
      <c r="G259" s="2500"/>
      <c r="H259" s="2500"/>
      <c r="I259" s="2500"/>
      <c r="J259" s="2500"/>
      <c r="K259" s="2500"/>
      <c r="L259" s="2500"/>
      <c r="M259" s="2500"/>
      <c r="N259" s="2500"/>
      <c r="O259" s="2500"/>
      <c r="P259" s="2501"/>
      <c r="Q259" s="2542">
        <v>8070</v>
      </c>
      <c r="R259" s="2518"/>
      <c r="S259" s="2518"/>
      <c r="T259" s="2299" t="s">
        <v>1664</v>
      </c>
      <c r="U259" s="2518" t="s">
        <v>1173</v>
      </c>
      <c r="V259" s="2518"/>
      <c r="W259" s="2518"/>
      <c r="X259" s="2299" t="s">
        <v>895</v>
      </c>
      <c r="Y259" s="2518">
        <v>866</v>
      </c>
      <c r="Z259" s="2518"/>
      <c r="AA259" s="2518"/>
      <c r="AB259" s="2299" t="s">
        <v>905</v>
      </c>
      <c r="AC259" s="2518"/>
      <c r="AD259" s="2518"/>
      <c r="AE259" s="2518"/>
      <c r="AF259" s="1380" t="s">
        <v>905</v>
      </c>
      <c r="AG259" s="2518"/>
      <c r="AH259" s="2518"/>
      <c r="AI259" s="2519"/>
      <c r="AJ259" s="2520">
        <f t="shared" si="67"/>
        <v>8930</v>
      </c>
      <c r="AK259" s="2521"/>
      <c r="AL259" s="2522"/>
      <c r="AM259" s="2505">
        <v>1</v>
      </c>
      <c r="AN259" s="2506"/>
      <c r="AO259" s="2507"/>
      <c r="AP259" s="2499">
        <f t="shared" si="68"/>
        <v>8930</v>
      </c>
      <c r="AQ259" s="2500"/>
      <c r="AR259" s="2501"/>
      <c r="AS259" s="2555">
        <f ca="1">SUMIF(基礎・屋根・外壁!B$137:AE$137,F259,基礎・屋根・外壁!B$140:AE$140)+SUMIF(基礎・屋根・外壁!B$160:AE$160,F259,基礎・屋根・外壁!B$163:AE$163)+SUMIF(見積拾!C$55:D$59,F259,見積拾!T$55:T$59)</f>
        <v>0</v>
      </c>
      <c r="AT259" s="2556"/>
      <c r="AU259" s="2556"/>
      <c r="AV259" s="2557"/>
      <c r="AW259" s="2520">
        <f t="shared" ca="1" si="69"/>
        <v>0</v>
      </c>
      <c r="AX259" s="2521"/>
      <c r="AY259" s="2521"/>
      <c r="AZ259" s="2522"/>
      <c r="BA259" s="25" t="b">
        <f t="shared" ca="1" si="70"/>
        <v>0</v>
      </c>
      <c r="BB259"/>
    </row>
    <row r="260" spans="2:54" ht="13.5" customHeight="1">
      <c r="B260" s="2681"/>
      <c r="C260" s="2673"/>
      <c r="D260" s="2682"/>
      <c r="E260" s="1336" t="s">
        <v>893</v>
      </c>
      <c r="F260" s="2500" t="s">
        <v>1669</v>
      </c>
      <c r="G260" s="2500"/>
      <c r="H260" s="2500"/>
      <c r="I260" s="2500"/>
      <c r="J260" s="2500"/>
      <c r="K260" s="2500"/>
      <c r="L260" s="2500"/>
      <c r="M260" s="2500"/>
      <c r="N260" s="2500"/>
      <c r="O260" s="2500"/>
      <c r="P260" s="2501"/>
      <c r="Q260" s="2542">
        <v>6870</v>
      </c>
      <c r="R260" s="2518"/>
      <c r="S260" s="2518"/>
      <c r="T260" s="2299" t="s">
        <v>1664</v>
      </c>
      <c r="U260" s="2518" t="s">
        <v>1173</v>
      </c>
      <c r="V260" s="2518"/>
      <c r="W260" s="2518"/>
      <c r="X260" s="2299" t="s">
        <v>895</v>
      </c>
      <c r="Y260" s="2518">
        <v>853</v>
      </c>
      <c r="Z260" s="2518"/>
      <c r="AA260" s="2518"/>
      <c r="AB260" s="2299" t="s">
        <v>905</v>
      </c>
      <c r="AC260" s="2518"/>
      <c r="AD260" s="2518"/>
      <c r="AE260" s="2518"/>
      <c r="AF260" s="1380" t="s">
        <v>905</v>
      </c>
      <c r="AG260" s="2518"/>
      <c r="AH260" s="2518"/>
      <c r="AI260" s="2519"/>
      <c r="AJ260" s="2520">
        <f t="shared" si="67"/>
        <v>7720</v>
      </c>
      <c r="AK260" s="2521"/>
      <c r="AL260" s="2522"/>
      <c r="AM260" s="2505">
        <v>1</v>
      </c>
      <c r="AN260" s="2506"/>
      <c r="AO260" s="2507"/>
      <c r="AP260" s="2499">
        <f t="shared" si="68"/>
        <v>7720</v>
      </c>
      <c r="AQ260" s="2500"/>
      <c r="AR260" s="2501"/>
      <c r="AS260" s="2555">
        <f ca="1">SUMIF(基礎・屋根・外壁!B$137:AE$137,F260,基礎・屋根・外壁!B$140:AE$140)+SUMIF(基礎・屋根・外壁!B$160:AE$160,F260,基礎・屋根・外壁!B$163:AE$163)+SUMIF(見積拾!C$55:D$59,F260,見積拾!T$55:T$59)</f>
        <v>0</v>
      </c>
      <c r="AT260" s="2556"/>
      <c r="AU260" s="2556"/>
      <c r="AV260" s="2557"/>
      <c r="AW260" s="2520">
        <f t="shared" ca="1" si="69"/>
        <v>0</v>
      </c>
      <c r="AX260" s="2521"/>
      <c r="AY260" s="2521"/>
      <c r="AZ260" s="2522"/>
      <c r="BA260" s="25" t="b">
        <f t="shared" ca="1" si="70"/>
        <v>0</v>
      </c>
      <c r="BB260"/>
    </row>
    <row r="261" spans="2:54" ht="13.5" customHeight="1">
      <c r="B261" s="2681"/>
      <c r="C261" s="2673"/>
      <c r="D261" s="2682"/>
      <c r="E261" s="1336" t="s">
        <v>893</v>
      </c>
      <c r="F261" s="2500" t="s">
        <v>1670</v>
      </c>
      <c r="G261" s="2500"/>
      <c r="H261" s="2500"/>
      <c r="I261" s="2500"/>
      <c r="J261" s="2500"/>
      <c r="K261" s="2500"/>
      <c r="L261" s="2500"/>
      <c r="M261" s="2500"/>
      <c r="N261" s="2500"/>
      <c r="O261" s="2500"/>
      <c r="P261" s="2501"/>
      <c r="Q261" s="2542">
        <v>6140</v>
      </c>
      <c r="R261" s="2518"/>
      <c r="S261" s="2518"/>
      <c r="T261" s="2299" t="s">
        <v>1664</v>
      </c>
      <c r="U261" s="2518" t="s">
        <v>1173</v>
      </c>
      <c r="V261" s="2518"/>
      <c r="W261" s="2518"/>
      <c r="X261" s="2299" t="s">
        <v>895</v>
      </c>
      <c r="Y261" s="2518">
        <v>649</v>
      </c>
      <c r="Z261" s="2518"/>
      <c r="AA261" s="2518"/>
      <c r="AB261" s="2299" t="s">
        <v>905</v>
      </c>
      <c r="AC261" s="2518"/>
      <c r="AD261" s="2518"/>
      <c r="AE261" s="2518"/>
      <c r="AF261" s="1380" t="s">
        <v>905</v>
      </c>
      <c r="AG261" s="2518"/>
      <c r="AH261" s="2518"/>
      <c r="AI261" s="2519"/>
      <c r="AJ261" s="2520">
        <f t="shared" si="67"/>
        <v>6780</v>
      </c>
      <c r="AK261" s="2521"/>
      <c r="AL261" s="2522"/>
      <c r="AM261" s="2505">
        <v>1</v>
      </c>
      <c r="AN261" s="2506"/>
      <c r="AO261" s="2507"/>
      <c r="AP261" s="2499">
        <f t="shared" si="68"/>
        <v>6780</v>
      </c>
      <c r="AQ261" s="2500"/>
      <c r="AR261" s="2501"/>
      <c r="AS261" s="2555">
        <f ca="1">SUMIF(基礎・屋根・外壁!B$137:AE$137,F261,基礎・屋根・外壁!B$140:AE$140)+SUMIF(基礎・屋根・外壁!B$160:AE$160,F261,基礎・屋根・外壁!B$163:AE$163)+SUMIF(見積拾!C$55:D$59,F261,見積拾!T$55:T$59)</f>
        <v>0</v>
      </c>
      <c r="AT261" s="2556"/>
      <c r="AU261" s="2556"/>
      <c r="AV261" s="2557"/>
      <c r="AW261" s="2520">
        <f t="shared" ca="1" si="69"/>
        <v>0</v>
      </c>
      <c r="AX261" s="2521"/>
      <c r="AY261" s="2521"/>
      <c r="AZ261" s="2522"/>
      <c r="BA261" s="25" t="b">
        <f t="shared" ca="1" si="70"/>
        <v>0</v>
      </c>
      <c r="BB261"/>
    </row>
    <row r="262" spans="2:54" ht="13.5" customHeight="1">
      <c r="B262" s="2681"/>
      <c r="C262" s="2673"/>
      <c r="D262" s="2682"/>
      <c r="E262" s="1336" t="s">
        <v>893</v>
      </c>
      <c r="F262" s="2500" t="s">
        <v>1687</v>
      </c>
      <c r="G262" s="2500"/>
      <c r="H262" s="2500"/>
      <c r="I262" s="2500"/>
      <c r="J262" s="2500"/>
      <c r="K262" s="2500"/>
      <c r="L262" s="2500"/>
      <c r="M262" s="2500"/>
      <c r="N262" s="2500"/>
      <c r="O262" s="2500"/>
      <c r="P262" s="2501"/>
      <c r="Q262" s="2542">
        <v>4820</v>
      </c>
      <c r="R262" s="2518"/>
      <c r="S262" s="2518"/>
      <c r="T262" s="2299" t="s">
        <v>1664</v>
      </c>
      <c r="U262" s="2518" t="s">
        <v>1173</v>
      </c>
      <c r="V262" s="2518"/>
      <c r="W262" s="2518"/>
      <c r="X262" s="2299" t="s">
        <v>895</v>
      </c>
      <c r="Y262" s="2518">
        <v>446</v>
      </c>
      <c r="Z262" s="2518"/>
      <c r="AA262" s="2518"/>
      <c r="AB262" s="2299" t="s">
        <v>903</v>
      </c>
      <c r="AC262" s="2518"/>
      <c r="AD262" s="2518"/>
      <c r="AE262" s="2518"/>
      <c r="AF262" s="1380" t="s">
        <v>903</v>
      </c>
      <c r="AG262" s="2518"/>
      <c r="AH262" s="2518"/>
      <c r="AI262" s="2519"/>
      <c r="AJ262" s="2520">
        <f t="shared" si="67"/>
        <v>5260</v>
      </c>
      <c r="AK262" s="2521"/>
      <c r="AL262" s="2522"/>
      <c r="AM262" s="2505">
        <v>1</v>
      </c>
      <c r="AN262" s="2506"/>
      <c r="AO262" s="2507"/>
      <c r="AP262" s="2499">
        <f t="shared" si="68"/>
        <v>5260</v>
      </c>
      <c r="AQ262" s="2500"/>
      <c r="AR262" s="2501"/>
      <c r="AS262" s="2555">
        <f ca="1">SUMIF(基礎・屋根・外壁!B$137:AE$137,F262,基礎・屋根・外壁!B$140:AE$140)+SUMIF(基礎・屋根・外壁!B$160:AE$160,F262,基礎・屋根・外壁!B$163:AE$163)+SUMIF(見積拾!C$55:D$59,F262,見積拾!T$55:T$59)</f>
        <v>0</v>
      </c>
      <c r="AT262" s="2556"/>
      <c r="AU262" s="2556"/>
      <c r="AV262" s="2557"/>
      <c r="AW262" s="2520">
        <f t="shared" ca="1" si="69"/>
        <v>0</v>
      </c>
      <c r="AX262" s="2521"/>
      <c r="AY262" s="2521"/>
      <c r="AZ262" s="2522"/>
      <c r="BA262" s="25" t="b">
        <f t="shared" ca="1" si="70"/>
        <v>0</v>
      </c>
      <c r="BB262"/>
    </row>
    <row r="263" spans="2:54" ht="13.5" customHeight="1">
      <c r="B263" s="2681"/>
      <c r="C263" s="2673"/>
      <c r="D263" s="2682"/>
      <c r="E263" s="1336" t="s">
        <v>893</v>
      </c>
      <c r="F263" s="2500" t="s">
        <v>1671</v>
      </c>
      <c r="G263" s="2500"/>
      <c r="H263" s="2500"/>
      <c r="I263" s="2500"/>
      <c r="J263" s="2500"/>
      <c r="K263" s="2500"/>
      <c r="L263" s="2500"/>
      <c r="M263" s="2500"/>
      <c r="N263" s="2500"/>
      <c r="O263" s="2500"/>
      <c r="P263" s="2501"/>
      <c r="Q263" s="2542">
        <v>13403</v>
      </c>
      <c r="R263" s="2518"/>
      <c r="S263" s="2518"/>
      <c r="T263" s="2299" t="s">
        <v>1664</v>
      </c>
      <c r="U263" s="2518" t="s">
        <v>1173</v>
      </c>
      <c r="V263" s="2518"/>
      <c r="W263" s="2518"/>
      <c r="X263" s="2299" t="s">
        <v>895</v>
      </c>
      <c r="Y263" s="2518">
        <v>676</v>
      </c>
      <c r="Z263" s="2518"/>
      <c r="AA263" s="2518"/>
      <c r="AB263" s="2299" t="s">
        <v>903</v>
      </c>
      <c r="AC263" s="2518"/>
      <c r="AD263" s="2518"/>
      <c r="AE263" s="2518"/>
      <c r="AF263" s="1380" t="s">
        <v>903</v>
      </c>
      <c r="AG263" s="2518"/>
      <c r="AH263" s="2518"/>
      <c r="AI263" s="2519"/>
      <c r="AJ263" s="2520">
        <f t="shared" si="67"/>
        <v>14070</v>
      </c>
      <c r="AK263" s="2521"/>
      <c r="AL263" s="2522"/>
      <c r="AM263" s="2505">
        <v>1</v>
      </c>
      <c r="AN263" s="2506"/>
      <c r="AO263" s="2507"/>
      <c r="AP263" s="2499">
        <f t="shared" si="68"/>
        <v>14070</v>
      </c>
      <c r="AQ263" s="2500"/>
      <c r="AR263" s="2501"/>
      <c r="AS263" s="2555">
        <f ca="1">SUMIF(基礎・屋根・外壁!B$137:AE$137,F263,基礎・屋根・外壁!B$140:AE$140)+SUMIF(基礎・屋根・外壁!B$160:AE$160,F263,基礎・屋根・外壁!B$163:AE$163)+SUMIF(見積拾!C$55:D$59,F263,見積拾!T$55:T$59)</f>
        <v>0</v>
      </c>
      <c r="AT263" s="2556"/>
      <c r="AU263" s="2556"/>
      <c r="AV263" s="2557"/>
      <c r="AW263" s="2520">
        <f t="shared" ca="1" si="69"/>
        <v>0</v>
      </c>
      <c r="AX263" s="2521"/>
      <c r="AY263" s="2521"/>
      <c r="AZ263" s="2522"/>
      <c r="BA263" s="25" t="b">
        <f t="shared" ca="1" si="70"/>
        <v>0</v>
      </c>
      <c r="BB263"/>
    </row>
    <row r="264" spans="2:54" ht="13.5" customHeight="1">
      <c r="B264" s="2681"/>
      <c r="C264" s="2673"/>
      <c r="D264" s="2682"/>
      <c r="E264" s="1336" t="s">
        <v>893</v>
      </c>
      <c r="F264" s="2500" t="s">
        <v>1688</v>
      </c>
      <c r="G264" s="2500"/>
      <c r="H264" s="2500"/>
      <c r="I264" s="2500"/>
      <c r="J264" s="2500"/>
      <c r="K264" s="2500"/>
      <c r="L264" s="2500"/>
      <c r="M264" s="2500"/>
      <c r="N264" s="2500"/>
      <c r="O264" s="2500"/>
      <c r="P264" s="2501"/>
      <c r="Q264" s="2542">
        <v>8783</v>
      </c>
      <c r="R264" s="2518"/>
      <c r="S264" s="2518"/>
      <c r="T264" s="2299" t="s">
        <v>1664</v>
      </c>
      <c r="U264" s="2518" t="s">
        <v>1173</v>
      </c>
      <c r="V264" s="2518"/>
      <c r="W264" s="2518"/>
      <c r="X264" s="2299" t="s">
        <v>895</v>
      </c>
      <c r="Y264" s="2518">
        <v>676</v>
      </c>
      <c r="Z264" s="2518"/>
      <c r="AA264" s="2518"/>
      <c r="AB264" s="2299" t="s">
        <v>903</v>
      </c>
      <c r="AC264" s="2518"/>
      <c r="AD264" s="2518"/>
      <c r="AE264" s="2518"/>
      <c r="AF264" s="1380" t="s">
        <v>903</v>
      </c>
      <c r="AG264" s="2518"/>
      <c r="AH264" s="2518"/>
      <c r="AI264" s="2519"/>
      <c r="AJ264" s="2520">
        <f t="shared" si="67"/>
        <v>9450</v>
      </c>
      <c r="AK264" s="2521"/>
      <c r="AL264" s="2522"/>
      <c r="AM264" s="2505">
        <v>1</v>
      </c>
      <c r="AN264" s="2506"/>
      <c r="AO264" s="2507"/>
      <c r="AP264" s="2499">
        <f t="shared" si="68"/>
        <v>9450</v>
      </c>
      <c r="AQ264" s="2500"/>
      <c r="AR264" s="2501"/>
      <c r="AS264" s="2555">
        <f ca="1">SUMIF(基礎・屋根・外壁!B$137:AE$137,F264,基礎・屋根・外壁!B$140:AE$140)+SUMIF(基礎・屋根・外壁!B$160:AE$160,F264,基礎・屋根・外壁!B$163:AE$163)+SUMIF(見積拾!C$55:D$59,F264,見積拾!T$55:T$59)</f>
        <v>0</v>
      </c>
      <c r="AT264" s="2556"/>
      <c r="AU264" s="2556"/>
      <c r="AV264" s="2557"/>
      <c r="AW264" s="2520">
        <f t="shared" ca="1" si="69"/>
        <v>0</v>
      </c>
      <c r="AX264" s="2521"/>
      <c r="AY264" s="2521"/>
      <c r="AZ264" s="2522"/>
      <c r="BA264" s="25" t="b">
        <f t="shared" ca="1" si="70"/>
        <v>0</v>
      </c>
      <c r="BB264"/>
    </row>
    <row r="265" spans="2:54" ht="13.5" customHeight="1">
      <c r="B265" s="2681"/>
      <c r="C265" s="2673"/>
      <c r="D265" s="2682"/>
      <c r="E265" s="1336" t="s">
        <v>893</v>
      </c>
      <c r="F265" s="2500" t="s">
        <v>1689</v>
      </c>
      <c r="G265" s="2500"/>
      <c r="H265" s="2500"/>
      <c r="I265" s="2500"/>
      <c r="J265" s="2500"/>
      <c r="K265" s="2500"/>
      <c r="L265" s="2500"/>
      <c r="M265" s="2500"/>
      <c r="N265" s="2500"/>
      <c r="O265" s="2500"/>
      <c r="P265" s="2501"/>
      <c r="Q265" s="2542">
        <v>9700</v>
      </c>
      <c r="R265" s="2518"/>
      <c r="S265" s="2518"/>
      <c r="T265" s="2299" t="s">
        <v>1664</v>
      </c>
      <c r="U265" s="2518" t="s">
        <v>1173</v>
      </c>
      <c r="V265" s="2518"/>
      <c r="W265" s="2518"/>
      <c r="X265" s="2299" t="s">
        <v>895</v>
      </c>
      <c r="Y265" s="2518">
        <v>884</v>
      </c>
      <c r="Z265" s="2518"/>
      <c r="AA265" s="2518"/>
      <c r="AB265" s="2299" t="s">
        <v>903</v>
      </c>
      <c r="AC265" s="2518"/>
      <c r="AD265" s="2518"/>
      <c r="AE265" s="2518"/>
      <c r="AF265" s="1380" t="s">
        <v>903</v>
      </c>
      <c r="AG265" s="2518"/>
      <c r="AH265" s="2518"/>
      <c r="AI265" s="2519"/>
      <c r="AJ265" s="2520">
        <f t="shared" si="67"/>
        <v>10580</v>
      </c>
      <c r="AK265" s="2521"/>
      <c r="AL265" s="2522"/>
      <c r="AM265" s="2505">
        <v>1</v>
      </c>
      <c r="AN265" s="2506"/>
      <c r="AO265" s="2507"/>
      <c r="AP265" s="2499">
        <f t="shared" si="68"/>
        <v>10580</v>
      </c>
      <c r="AQ265" s="2500"/>
      <c r="AR265" s="2501"/>
      <c r="AS265" s="2555">
        <f ca="1">SUMIF(基礎・屋根・外壁!B$137:AE$137,F265,基礎・屋根・外壁!B$140:AE$140)+SUMIF(基礎・屋根・外壁!B$160:AE$160,F265,基礎・屋根・外壁!B$163:AE$163)+SUMIF(見積拾!C$55:D$59,F265,見積拾!T$55:T$59)</f>
        <v>0</v>
      </c>
      <c r="AT265" s="2556"/>
      <c r="AU265" s="2556"/>
      <c r="AV265" s="2557"/>
      <c r="AW265" s="2520">
        <f t="shared" ca="1" si="69"/>
        <v>0</v>
      </c>
      <c r="AX265" s="2521"/>
      <c r="AY265" s="2521"/>
      <c r="AZ265" s="2522"/>
      <c r="BA265" s="25" t="b">
        <f t="shared" ca="1" si="70"/>
        <v>0</v>
      </c>
      <c r="BB265"/>
    </row>
    <row r="266" spans="2:54" ht="13.5" customHeight="1">
      <c r="B266" s="2681"/>
      <c r="C266" s="2673"/>
      <c r="D266" s="2682"/>
      <c r="E266" s="1336" t="s">
        <v>893</v>
      </c>
      <c r="F266" s="2500" t="s">
        <v>1690</v>
      </c>
      <c r="G266" s="2500"/>
      <c r="H266" s="2500"/>
      <c r="I266" s="2500"/>
      <c r="J266" s="2500"/>
      <c r="K266" s="2500"/>
      <c r="L266" s="2500"/>
      <c r="M266" s="2500"/>
      <c r="N266" s="2500"/>
      <c r="O266" s="2500"/>
      <c r="P266" s="2501"/>
      <c r="Q266" s="2542">
        <v>9000</v>
      </c>
      <c r="R266" s="2518"/>
      <c r="S266" s="2518"/>
      <c r="T266" s="2299" t="s">
        <v>1664</v>
      </c>
      <c r="U266" s="2518" t="s">
        <v>1173</v>
      </c>
      <c r="V266" s="2518"/>
      <c r="W266" s="2518"/>
      <c r="X266" s="2299" t="s">
        <v>895</v>
      </c>
      <c r="Y266" s="2518">
        <v>884</v>
      </c>
      <c r="Z266" s="2518"/>
      <c r="AA266" s="2518"/>
      <c r="AB266" s="2299" t="s">
        <v>903</v>
      </c>
      <c r="AC266" s="2518"/>
      <c r="AD266" s="2518"/>
      <c r="AE266" s="2518"/>
      <c r="AF266" s="1380" t="s">
        <v>903</v>
      </c>
      <c r="AG266" s="2518"/>
      <c r="AH266" s="2518"/>
      <c r="AI266" s="2519"/>
      <c r="AJ266" s="2520">
        <f t="shared" si="67"/>
        <v>9880</v>
      </c>
      <c r="AK266" s="2521"/>
      <c r="AL266" s="2522"/>
      <c r="AM266" s="2505">
        <v>1</v>
      </c>
      <c r="AN266" s="2506"/>
      <c r="AO266" s="2507"/>
      <c r="AP266" s="2499">
        <f t="shared" si="68"/>
        <v>9880</v>
      </c>
      <c r="AQ266" s="2500"/>
      <c r="AR266" s="2501"/>
      <c r="AS266" s="2555">
        <f ca="1">SUMIF(基礎・屋根・外壁!B$137:AE$137,F266,基礎・屋根・外壁!B$140:AE$140)+SUMIF(基礎・屋根・外壁!B$160:AE$160,F266,基礎・屋根・外壁!B$163:AE$163)+SUMIF(見積拾!C$55:D$59,F266,見積拾!T$55:T$59)</f>
        <v>0</v>
      </c>
      <c r="AT266" s="2556"/>
      <c r="AU266" s="2556"/>
      <c r="AV266" s="2557"/>
      <c r="AW266" s="2520">
        <f t="shared" ca="1" si="69"/>
        <v>0</v>
      </c>
      <c r="AX266" s="2521"/>
      <c r="AY266" s="2521"/>
      <c r="AZ266" s="2522"/>
      <c r="BA266" s="25" t="b">
        <f t="shared" ca="1" si="70"/>
        <v>0</v>
      </c>
      <c r="BB266"/>
    </row>
    <row r="267" spans="2:54" ht="13.5" customHeight="1">
      <c r="B267" s="2681"/>
      <c r="C267" s="2673"/>
      <c r="D267" s="2682"/>
      <c r="E267" s="1336" t="s">
        <v>893</v>
      </c>
      <c r="F267" s="2500" t="s">
        <v>1691</v>
      </c>
      <c r="G267" s="2500"/>
      <c r="H267" s="2500"/>
      <c r="I267" s="2500"/>
      <c r="J267" s="2500"/>
      <c r="K267" s="2500"/>
      <c r="L267" s="2500"/>
      <c r="M267" s="2500"/>
      <c r="N267" s="2500"/>
      <c r="O267" s="2500"/>
      <c r="P267" s="2501"/>
      <c r="Q267" s="2542">
        <v>13710</v>
      </c>
      <c r="R267" s="2518"/>
      <c r="S267" s="2518"/>
      <c r="T267" s="2299" t="s">
        <v>1664</v>
      </c>
      <c r="U267" s="2518" t="s">
        <v>1173</v>
      </c>
      <c r="V267" s="2518"/>
      <c r="W267" s="2518"/>
      <c r="X267" s="2299" t="s">
        <v>895</v>
      </c>
      <c r="Y267" s="2518">
        <v>1118</v>
      </c>
      <c r="Z267" s="2518"/>
      <c r="AA267" s="2518"/>
      <c r="AB267" s="2299" t="s">
        <v>903</v>
      </c>
      <c r="AC267" s="2518"/>
      <c r="AD267" s="2518"/>
      <c r="AE267" s="2518"/>
      <c r="AF267" s="1380" t="s">
        <v>903</v>
      </c>
      <c r="AG267" s="2518"/>
      <c r="AH267" s="2518"/>
      <c r="AI267" s="2519"/>
      <c r="AJ267" s="2520">
        <f t="shared" si="67"/>
        <v>14820</v>
      </c>
      <c r="AK267" s="2521"/>
      <c r="AL267" s="2522"/>
      <c r="AM267" s="2505">
        <v>1</v>
      </c>
      <c r="AN267" s="2506"/>
      <c r="AO267" s="2507"/>
      <c r="AP267" s="2499">
        <f t="shared" si="68"/>
        <v>14820</v>
      </c>
      <c r="AQ267" s="2500"/>
      <c r="AR267" s="2501"/>
      <c r="AS267" s="2555">
        <f ca="1">SUMIF(基礎・屋根・外壁!B$137:AE$137,F267,基礎・屋根・外壁!B$140:AE$140)+SUMIF(基礎・屋根・外壁!B$160:AE$160,F267,基礎・屋根・外壁!B$163:AE$163)+SUMIF(見積拾!C$55:D$59,F267,見積拾!T$55:T$59)</f>
        <v>0</v>
      </c>
      <c r="AT267" s="2556"/>
      <c r="AU267" s="2556"/>
      <c r="AV267" s="2557"/>
      <c r="AW267" s="2520">
        <f t="shared" ca="1" si="69"/>
        <v>0</v>
      </c>
      <c r="AX267" s="2521"/>
      <c r="AY267" s="2521"/>
      <c r="AZ267" s="2522"/>
      <c r="BA267" s="25" t="b">
        <f t="shared" ca="1" si="70"/>
        <v>0</v>
      </c>
      <c r="BB267"/>
    </row>
    <row r="268" spans="2:54" ht="13.5" customHeight="1">
      <c r="B268" s="2681"/>
      <c r="C268" s="2673"/>
      <c r="D268" s="2682"/>
      <c r="E268" s="1336" t="s">
        <v>893</v>
      </c>
      <c r="F268" s="2500" t="s">
        <v>1692</v>
      </c>
      <c r="G268" s="2500"/>
      <c r="H268" s="2500"/>
      <c r="I268" s="2500"/>
      <c r="J268" s="2500"/>
      <c r="K268" s="2500"/>
      <c r="L268" s="2500"/>
      <c r="M268" s="2500"/>
      <c r="N268" s="2500"/>
      <c r="O268" s="2500"/>
      <c r="P268" s="2501"/>
      <c r="Q268" s="2542">
        <v>9510</v>
      </c>
      <c r="R268" s="2518"/>
      <c r="S268" s="2518"/>
      <c r="T268" s="2299" t="s">
        <v>1664</v>
      </c>
      <c r="U268" s="2518" t="s">
        <v>1173</v>
      </c>
      <c r="V268" s="2518"/>
      <c r="W268" s="2518"/>
      <c r="X268" s="2299" t="s">
        <v>895</v>
      </c>
      <c r="Y268" s="2518">
        <v>799</v>
      </c>
      <c r="Z268" s="2518"/>
      <c r="AA268" s="2518"/>
      <c r="AB268" s="2299" t="s">
        <v>903</v>
      </c>
      <c r="AC268" s="2518"/>
      <c r="AD268" s="2518"/>
      <c r="AE268" s="2518"/>
      <c r="AF268" s="1380" t="s">
        <v>903</v>
      </c>
      <c r="AG268" s="2518"/>
      <c r="AH268" s="2518"/>
      <c r="AI268" s="2519"/>
      <c r="AJ268" s="2520">
        <f t="shared" si="67"/>
        <v>10300</v>
      </c>
      <c r="AK268" s="2521"/>
      <c r="AL268" s="2522"/>
      <c r="AM268" s="2505">
        <v>1</v>
      </c>
      <c r="AN268" s="2506"/>
      <c r="AO268" s="2507"/>
      <c r="AP268" s="2499">
        <f t="shared" si="68"/>
        <v>10300</v>
      </c>
      <c r="AQ268" s="2500"/>
      <c r="AR268" s="2501"/>
      <c r="AS268" s="2555">
        <f ca="1">SUMIF(基礎・屋根・外壁!B$137:AE$137,F268,基礎・屋根・外壁!B$140:AE$140)+SUMIF(基礎・屋根・外壁!B$160:AE$160,F268,基礎・屋根・外壁!B$163:AE$163)+SUMIF(見積拾!C$55:D$59,F268,見積拾!T$55:T$59)</f>
        <v>0</v>
      </c>
      <c r="AT268" s="2556"/>
      <c r="AU268" s="2556"/>
      <c r="AV268" s="2557"/>
      <c r="AW268" s="2520">
        <f t="shared" ca="1" si="69"/>
        <v>0</v>
      </c>
      <c r="AX268" s="2521"/>
      <c r="AY268" s="2521"/>
      <c r="AZ268" s="2522"/>
      <c r="BA268" s="25" t="b">
        <f t="shared" ca="1" si="70"/>
        <v>0</v>
      </c>
      <c r="BB268"/>
    </row>
    <row r="269" spans="2:54" ht="13.5" customHeight="1">
      <c r="B269" s="2681"/>
      <c r="C269" s="2673"/>
      <c r="D269" s="2682"/>
      <c r="E269" s="1336" t="s">
        <v>893</v>
      </c>
      <c r="F269" s="2500" t="s">
        <v>1693</v>
      </c>
      <c r="G269" s="2500"/>
      <c r="H269" s="2500"/>
      <c r="I269" s="2500"/>
      <c r="J269" s="2500"/>
      <c r="K269" s="2500"/>
      <c r="L269" s="2500"/>
      <c r="M269" s="2500"/>
      <c r="N269" s="2500"/>
      <c r="O269" s="2500"/>
      <c r="P269" s="2501"/>
      <c r="Q269" s="2542">
        <v>4382</v>
      </c>
      <c r="R269" s="2518"/>
      <c r="S269" s="2518"/>
      <c r="T269" s="2299" t="s">
        <v>1664</v>
      </c>
      <c r="U269" s="2518" t="s">
        <v>1173</v>
      </c>
      <c r="V269" s="2518"/>
      <c r="W269" s="2518"/>
      <c r="X269" s="2299" t="s">
        <v>895</v>
      </c>
      <c r="Y269" s="2518" t="s">
        <v>1174</v>
      </c>
      <c r="Z269" s="2518"/>
      <c r="AA269" s="2518"/>
      <c r="AB269" s="2299" t="s">
        <v>915</v>
      </c>
      <c r="AC269" s="2518"/>
      <c r="AD269" s="2518"/>
      <c r="AE269" s="2518"/>
      <c r="AF269" s="1380" t="s">
        <v>915</v>
      </c>
      <c r="AG269" s="2518"/>
      <c r="AH269" s="2518"/>
      <c r="AI269" s="2519"/>
      <c r="AJ269" s="2520">
        <f t="shared" si="67"/>
        <v>4380</v>
      </c>
      <c r="AK269" s="2521"/>
      <c r="AL269" s="2522"/>
      <c r="AM269" s="2505">
        <v>1</v>
      </c>
      <c r="AN269" s="2506"/>
      <c r="AO269" s="2507"/>
      <c r="AP269" s="2499">
        <f t="shared" si="68"/>
        <v>4380</v>
      </c>
      <c r="AQ269" s="2500"/>
      <c r="AR269" s="2501"/>
      <c r="AS269" s="2555">
        <f ca="1">SUMIF(基礎・屋根・外壁!B$137:AE$137,F269,基礎・屋根・外壁!B$140:AE$140)+SUMIF(基礎・屋根・外壁!B$160:AE$160,F269,基礎・屋根・外壁!B$163:AE$163)+SUMIF(見積拾!C$55:D$59,F269,見積拾!T$55:T$59)</f>
        <v>0</v>
      </c>
      <c r="AT269" s="2556"/>
      <c r="AU269" s="2556"/>
      <c r="AV269" s="2557"/>
      <c r="AW269" s="2520">
        <f t="shared" ca="1" si="69"/>
        <v>0</v>
      </c>
      <c r="AX269" s="2521"/>
      <c r="AY269" s="2521"/>
      <c r="AZ269" s="2522"/>
      <c r="BA269" s="25" t="b">
        <f t="shared" ca="1" si="70"/>
        <v>0</v>
      </c>
      <c r="BB269"/>
    </row>
    <row r="270" spans="2:54" ht="13.5" customHeight="1">
      <c r="B270" s="2681"/>
      <c r="C270" s="2673"/>
      <c r="D270" s="2682"/>
      <c r="E270" s="1336" t="s">
        <v>893</v>
      </c>
      <c r="F270" s="2500" t="s">
        <v>1694</v>
      </c>
      <c r="G270" s="2500"/>
      <c r="H270" s="2500"/>
      <c r="I270" s="2500"/>
      <c r="J270" s="2500"/>
      <c r="K270" s="2500"/>
      <c r="L270" s="2500"/>
      <c r="M270" s="2500"/>
      <c r="N270" s="2500"/>
      <c r="O270" s="2500"/>
      <c r="P270" s="2501"/>
      <c r="Q270" s="2542">
        <v>3022</v>
      </c>
      <c r="R270" s="2518"/>
      <c r="S270" s="2518"/>
      <c r="T270" s="2299" t="s">
        <v>1664</v>
      </c>
      <c r="U270" s="2518" t="s">
        <v>1173</v>
      </c>
      <c r="V270" s="2518"/>
      <c r="W270" s="2518"/>
      <c r="X270" s="2299" t="s">
        <v>895</v>
      </c>
      <c r="Y270" s="2518" t="s">
        <v>1174</v>
      </c>
      <c r="Z270" s="2518"/>
      <c r="AA270" s="2518"/>
      <c r="AB270" s="2299" t="s">
        <v>916</v>
      </c>
      <c r="AC270" s="2518"/>
      <c r="AD270" s="2518"/>
      <c r="AE270" s="2518"/>
      <c r="AF270" s="1380" t="s">
        <v>916</v>
      </c>
      <c r="AG270" s="2518"/>
      <c r="AH270" s="2518"/>
      <c r="AI270" s="2519"/>
      <c r="AJ270" s="2520">
        <f t="shared" si="67"/>
        <v>3020</v>
      </c>
      <c r="AK270" s="2521"/>
      <c r="AL270" s="2522"/>
      <c r="AM270" s="2505">
        <v>1</v>
      </c>
      <c r="AN270" s="2506"/>
      <c r="AO270" s="2507"/>
      <c r="AP270" s="2499">
        <f t="shared" si="68"/>
        <v>3020</v>
      </c>
      <c r="AQ270" s="2500"/>
      <c r="AR270" s="2501"/>
      <c r="AS270" s="2555">
        <f ca="1">SUMIF(基礎・屋根・外壁!B$137:AE$137,F270,基礎・屋根・外壁!B$140:AE$140)+SUMIF(基礎・屋根・外壁!B$160:AE$160,F270,基礎・屋根・外壁!B$163:AE$163)+SUMIF(見積拾!C$55:D$59,F270,見積拾!T$55:T$59)</f>
        <v>0</v>
      </c>
      <c r="AT270" s="2556"/>
      <c r="AU270" s="2556"/>
      <c r="AV270" s="2557"/>
      <c r="AW270" s="2520">
        <f t="shared" ca="1" si="69"/>
        <v>0</v>
      </c>
      <c r="AX270" s="2521"/>
      <c r="AY270" s="2521"/>
      <c r="AZ270" s="2522"/>
      <c r="BA270" s="25" t="b">
        <f t="shared" ca="1" si="70"/>
        <v>0</v>
      </c>
      <c r="BB270"/>
    </row>
    <row r="271" spans="2:54" ht="13.5" customHeight="1">
      <c r="B271" s="2681"/>
      <c r="C271" s="2673"/>
      <c r="D271" s="2682"/>
      <c r="E271" s="1339" t="s">
        <v>917</v>
      </c>
      <c r="F271" s="2527" t="s">
        <v>898</v>
      </c>
      <c r="G271" s="2527"/>
      <c r="H271" s="2527"/>
      <c r="I271" s="2527"/>
      <c r="J271" s="2527"/>
      <c r="K271" s="2527"/>
      <c r="L271" s="2527"/>
      <c r="M271" s="2527"/>
      <c r="N271" s="2527"/>
      <c r="O271" s="2527"/>
      <c r="P271" s="2786"/>
      <c r="Q271" s="2724"/>
      <c r="R271" s="2527"/>
      <c r="S271" s="2527"/>
      <c r="T271" s="1380" t="s">
        <v>907</v>
      </c>
      <c r="U271" s="2527"/>
      <c r="V271" s="2527"/>
      <c r="W271" s="2527"/>
      <c r="X271" s="1380" t="s">
        <v>907</v>
      </c>
      <c r="Y271" s="2527"/>
      <c r="Z271" s="2527"/>
      <c r="AA271" s="2527"/>
      <c r="AB271" s="1380" t="s">
        <v>907</v>
      </c>
      <c r="AC271" s="2527"/>
      <c r="AD271" s="2527"/>
      <c r="AE271" s="2527"/>
      <c r="AF271" s="1380" t="s">
        <v>907</v>
      </c>
      <c r="AG271" s="2527"/>
      <c r="AH271" s="2527"/>
      <c r="AI271" s="2786"/>
      <c r="AJ271" s="2543">
        <f t="shared" si="67"/>
        <v>0</v>
      </c>
      <c r="AK271" s="2544"/>
      <c r="AL271" s="2545"/>
      <c r="AM271" s="2505">
        <v>1</v>
      </c>
      <c r="AN271" s="2506"/>
      <c r="AO271" s="2507"/>
      <c r="AP271" s="2499">
        <f t="shared" si="68"/>
        <v>0</v>
      </c>
      <c r="AQ271" s="2500"/>
      <c r="AR271" s="2501"/>
      <c r="AS271" s="2555">
        <f ca="1">SUMIF(基礎・屋根・外壁!B$137:AE$137,F271,基礎・屋根・外壁!B$140:AE$140)+SUMIF(基礎・屋根・外壁!B$160:AE$160,F271,基礎・屋根・外壁!B$163:AE$163)+SUMIF(見積拾!C$55:D$59,F271,見積拾!T$55:T$59)</f>
        <v>0</v>
      </c>
      <c r="AT271" s="2556"/>
      <c r="AU271" s="2556"/>
      <c r="AV271" s="2557"/>
      <c r="AW271" s="2520">
        <f t="shared" ca="1" si="69"/>
        <v>0</v>
      </c>
      <c r="AX271" s="2521"/>
      <c r="AY271" s="2521"/>
      <c r="AZ271" s="2522"/>
      <c r="BA271" s="25" t="b">
        <f t="shared" ca="1" si="70"/>
        <v>0</v>
      </c>
      <c r="BB271"/>
    </row>
    <row r="272" spans="2:54" ht="13.5" customHeight="1" thickBot="1">
      <c r="B272" s="2681"/>
      <c r="C272" s="2673"/>
      <c r="D272" s="2682"/>
      <c r="E272" s="1386" t="s">
        <v>918</v>
      </c>
      <c r="F272" s="2656" t="s">
        <v>898</v>
      </c>
      <c r="G272" s="2656"/>
      <c r="H272" s="2656"/>
      <c r="I272" s="2656"/>
      <c r="J272" s="2656"/>
      <c r="K272" s="2656"/>
      <c r="L272" s="2656"/>
      <c r="M272" s="2656"/>
      <c r="N272" s="2656"/>
      <c r="O272" s="2656"/>
      <c r="P272" s="2672"/>
      <c r="Q272" s="2657"/>
      <c r="R272" s="2656"/>
      <c r="S272" s="2656"/>
      <c r="T272" s="1387" t="s">
        <v>907</v>
      </c>
      <c r="U272" s="2656"/>
      <c r="V272" s="2656"/>
      <c r="W272" s="2656"/>
      <c r="X272" s="1387" t="s">
        <v>907</v>
      </c>
      <c r="Y272" s="2656"/>
      <c r="Z272" s="2656"/>
      <c r="AA272" s="2656"/>
      <c r="AB272" s="1387" t="s">
        <v>907</v>
      </c>
      <c r="AC272" s="2656"/>
      <c r="AD272" s="2656"/>
      <c r="AE272" s="2656"/>
      <c r="AF272" s="1387" t="s">
        <v>907</v>
      </c>
      <c r="AG272" s="2656"/>
      <c r="AH272" s="2656"/>
      <c r="AI272" s="2672"/>
      <c r="AJ272" s="2543">
        <f t="shared" si="67"/>
        <v>0</v>
      </c>
      <c r="AK272" s="2544"/>
      <c r="AL272" s="2545"/>
      <c r="AM272" s="2505">
        <v>1</v>
      </c>
      <c r="AN272" s="2506"/>
      <c r="AO272" s="2507"/>
      <c r="AP272" s="3062">
        <f t="shared" si="68"/>
        <v>0</v>
      </c>
      <c r="AQ272" s="3063"/>
      <c r="AR272" s="3064"/>
      <c r="AS272" s="2555">
        <f ca="1">SUMIF(基礎・屋根・外壁!B$137:AE$137,F272,基礎・屋根・外壁!B$140:AE$140)+SUMIF(基礎・屋根・外壁!B$160:AE$160,F272,基礎・屋根・外壁!B$163:AE$163)+SUMIF(見積拾!C$55:D$59,F272,見積拾!T$55:T$59)</f>
        <v>0</v>
      </c>
      <c r="AT272" s="2556"/>
      <c r="AU272" s="2556"/>
      <c r="AV272" s="2557"/>
      <c r="AW272" s="2520">
        <f t="shared" ca="1" si="69"/>
        <v>0</v>
      </c>
      <c r="AX272" s="2521"/>
      <c r="AY272" s="2521"/>
      <c r="AZ272" s="2522"/>
      <c r="BA272" s="25" t="b">
        <f t="shared" ca="1" si="70"/>
        <v>0</v>
      </c>
      <c r="BB272"/>
    </row>
    <row r="273" spans="1:54" ht="13.5" customHeight="1" thickBot="1">
      <c r="B273" s="2684"/>
      <c r="C273" s="2685"/>
      <c r="D273" s="2686"/>
      <c r="E273" s="329"/>
      <c r="F273" s="330"/>
      <c r="G273" s="330"/>
      <c r="H273" s="330"/>
      <c r="I273" s="330"/>
      <c r="J273" s="330"/>
      <c r="K273" s="330"/>
      <c r="L273" s="330"/>
      <c r="M273" s="330"/>
      <c r="N273" s="330"/>
      <c r="O273" s="330"/>
      <c r="P273" s="330"/>
      <c r="Q273" s="329"/>
      <c r="R273" s="330"/>
      <c r="S273" s="330"/>
      <c r="T273" s="330"/>
      <c r="U273" s="330"/>
      <c r="V273" s="330"/>
      <c r="W273" s="330"/>
      <c r="X273" s="330"/>
      <c r="Y273" s="330"/>
      <c r="Z273" s="330"/>
      <c r="AA273" s="330"/>
      <c r="AB273" s="330"/>
      <c r="AC273" s="330"/>
      <c r="AD273" s="330"/>
      <c r="AE273" s="330"/>
      <c r="AF273" s="330"/>
      <c r="AG273" s="330"/>
      <c r="AH273" s="330"/>
      <c r="AI273" s="331"/>
      <c r="AJ273" s="3076" t="str">
        <f ca="1">IF(AS273=基礎・屋根・外壁!AF140+見積拾!T60,"面積合計及び部分別評点数","補助票と面積が違います！")</f>
        <v>面積合計及び部分別評点数</v>
      </c>
      <c r="AK273" s="3077"/>
      <c r="AL273" s="3077"/>
      <c r="AM273" s="3077"/>
      <c r="AN273" s="3077"/>
      <c r="AO273" s="3077"/>
      <c r="AP273" s="3077"/>
      <c r="AQ273" s="3077"/>
      <c r="AR273" s="3078"/>
      <c r="AS273" s="3065">
        <f ca="1">SUM(AS251:AV272)</f>
        <v>0</v>
      </c>
      <c r="AT273" s="3066"/>
      <c r="AU273" s="3066"/>
      <c r="AV273" s="3067"/>
      <c r="AW273" s="2668">
        <f ca="1">SUM(AW250:AZ272)</f>
        <v>0</v>
      </c>
      <c r="AX273" s="2668"/>
      <c r="AY273" s="2668"/>
      <c r="AZ273" s="2669"/>
      <c r="BA273" s="25" t="b">
        <v>1</v>
      </c>
      <c r="BB273"/>
    </row>
    <row r="274" spans="1:54" ht="13.5" customHeight="1">
      <c r="BA274" s="25" t="b">
        <v>0</v>
      </c>
    </row>
    <row r="275" spans="1:54" ht="13.5" customHeight="1">
      <c r="BA275" s="25" t="b">
        <v>0</v>
      </c>
    </row>
    <row r="276" spans="1:54" ht="13.5" customHeight="1">
      <c r="C276" s="26" t="s">
        <v>919</v>
      </c>
      <c r="D276" s="27"/>
      <c r="E276" s="27"/>
      <c r="F276" s="27"/>
      <c r="G276" s="27"/>
      <c r="H276" s="27"/>
      <c r="I276" s="27"/>
      <c r="J276" s="27"/>
      <c r="BA276" s="25" t="b">
        <v>0</v>
      </c>
      <c r="BB276" s="6" t="s">
        <v>1566</v>
      </c>
    </row>
    <row r="277" spans="1:54" ht="13.5" customHeight="1">
      <c r="BA277" s="25" t="b">
        <v>0</v>
      </c>
      <c r="BB277" t="s">
        <v>1614</v>
      </c>
    </row>
    <row r="278" spans="1:54" ht="13.5" customHeight="1">
      <c r="B278" s="137"/>
      <c r="C278" s="138"/>
      <c r="D278" s="139"/>
      <c r="E278" s="291" t="s">
        <v>759</v>
      </c>
      <c r="F278" s="292"/>
      <c r="G278" s="292"/>
      <c r="H278" s="292"/>
      <c r="I278" s="292"/>
      <c r="J278" s="292"/>
      <c r="K278" s="292"/>
      <c r="L278" s="292"/>
      <c r="M278" s="292"/>
      <c r="N278" s="292"/>
      <c r="O278" s="292"/>
      <c r="P278" s="293"/>
      <c r="Q278" s="292" t="s">
        <v>885</v>
      </c>
      <c r="R278" s="292"/>
      <c r="S278" s="292"/>
      <c r="T278" s="320"/>
      <c r="U278" s="292" t="s">
        <v>886</v>
      </c>
      <c r="V278" s="292"/>
      <c r="W278" s="292"/>
      <c r="X278" s="320"/>
      <c r="Y278" s="292" t="s">
        <v>887</v>
      </c>
      <c r="Z278" s="292"/>
      <c r="AA278" s="292"/>
      <c r="AB278" s="320"/>
      <c r="AC278" s="292" t="s">
        <v>888</v>
      </c>
      <c r="AD278" s="292"/>
      <c r="AE278" s="292"/>
      <c r="AF278" s="292" t="s">
        <v>888</v>
      </c>
      <c r="AG278" s="292"/>
      <c r="AH278" s="293"/>
      <c r="AI278" s="293"/>
      <c r="AJ278" s="291" t="s">
        <v>889</v>
      </c>
      <c r="AK278" s="292"/>
      <c r="AL278" s="293"/>
      <c r="AM278" s="291" t="s">
        <v>765</v>
      </c>
      <c r="AN278" s="292"/>
      <c r="AO278" s="293"/>
      <c r="AP278" s="291" t="s">
        <v>890</v>
      </c>
      <c r="AQ278" s="292"/>
      <c r="AR278" s="293"/>
      <c r="AS278" s="294" t="s">
        <v>891</v>
      </c>
      <c r="AT278" s="291"/>
      <c r="AU278" s="291"/>
      <c r="AV278" s="291"/>
      <c r="AW278" s="2658" t="s">
        <v>762</v>
      </c>
      <c r="AX278" s="2658"/>
      <c r="AY278" s="2658"/>
      <c r="AZ278" s="2658"/>
      <c r="BA278" s="25" t="b">
        <v>0</v>
      </c>
      <c r="BB278" t="s">
        <v>1615</v>
      </c>
    </row>
    <row r="279" spans="1:54" ht="13.5" customHeight="1">
      <c r="A279">
        <f>ROW()</f>
        <v>279</v>
      </c>
      <c r="B279" s="2681" t="s">
        <v>920</v>
      </c>
      <c r="C279" s="2673"/>
      <c r="D279" s="2682"/>
      <c r="E279" s="322" t="s">
        <v>893</v>
      </c>
      <c r="F279" s="3079" t="s">
        <v>914</v>
      </c>
      <c r="G279" s="3079"/>
      <c r="H279" s="3079"/>
      <c r="I279" s="3079"/>
      <c r="J279" s="3079"/>
      <c r="K279" s="3079"/>
      <c r="L279" s="3079"/>
      <c r="M279" s="3079"/>
      <c r="N279" s="3079"/>
      <c r="O279" s="3079"/>
      <c r="P279" s="3080"/>
      <c r="Q279" s="2733"/>
      <c r="R279" s="2691"/>
      <c r="S279" s="2691"/>
      <c r="T279" s="2300"/>
      <c r="U279" s="2691"/>
      <c r="V279" s="2691"/>
      <c r="W279" s="2691"/>
      <c r="X279" s="2300"/>
      <c r="Y279" s="2691"/>
      <c r="Z279" s="2691"/>
      <c r="AA279" s="2691"/>
      <c r="AB279" s="2300"/>
      <c r="AC279" s="2691"/>
      <c r="AD279" s="2691"/>
      <c r="AE279" s="2691"/>
      <c r="AF279" s="1377"/>
      <c r="AG279" s="2691"/>
      <c r="AH279" s="2691"/>
      <c r="AI279" s="2788"/>
      <c r="AJ279" s="2543">
        <f t="shared" ref="AJ279:AJ303" si="71">ROUNDDOWN(SUM(Q279:AI279),-1)</f>
        <v>0</v>
      </c>
      <c r="AK279" s="2544"/>
      <c r="AL279" s="2545"/>
      <c r="AM279" s="2505">
        <v>1</v>
      </c>
      <c r="AN279" s="2506"/>
      <c r="AO279" s="2507"/>
      <c r="AP279" s="2543">
        <f t="shared" ref="AP279:AP303" si="72">INT(AJ279*AM279)</f>
        <v>0</v>
      </c>
      <c r="AQ279" s="2544"/>
      <c r="AR279" s="2545"/>
      <c r="AS279" s="2659"/>
      <c r="AT279" s="2660"/>
      <c r="AU279" s="2660"/>
      <c r="AV279" s="2661"/>
      <c r="AW279" s="2520">
        <f t="shared" ref="AW279:AW303" si="73">INT(AP279*AS279)</f>
        <v>0</v>
      </c>
      <c r="AX279" s="2521"/>
      <c r="AY279" s="2521"/>
      <c r="AZ279" s="2522"/>
      <c r="BA279" s="25" t="b">
        <f ca="1">AW304=0</f>
        <v>1</v>
      </c>
      <c r="BB279"/>
    </row>
    <row r="280" spans="1:54" ht="13.5" customHeight="1">
      <c r="B280" s="2681"/>
      <c r="C280" s="2673"/>
      <c r="D280" s="2682"/>
      <c r="E280" s="322" t="s">
        <v>893</v>
      </c>
      <c r="F280" s="2500" t="s">
        <v>1176</v>
      </c>
      <c r="G280" s="2500"/>
      <c r="H280" s="2500"/>
      <c r="I280" s="2500"/>
      <c r="J280" s="2500"/>
      <c r="K280" s="2500"/>
      <c r="L280" s="2500"/>
      <c r="M280" s="2500"/>
      <c r="N280" s="2500"/>
      <c r="O280" s="2500"/>
      <c r="P280" s="2501"/>
      <c r="Q280" s="2542">
        <v>1020</v>
      </c>
      <c r="R280" s="2518"/>
      <c r="S280" s="2518"/>
      <c r="T280" s="2299" t="s">
        <v>1664</v>
      </c>
      <c r="U280" s="2518">
        <v>2277</v>
      </c>
      <c r="V280" s="2518"/>
      <c r="W280" s="2518"/>
      <c r="X280" s="2299" t="s">
        <v>895</v>
      </c>
      <c r="Y280" s="2518">
        <v>44</v>
      </c>
      <c r="Z280" s="2518"/>
      <c r="AA280" s="2518"/>
      <c r="AB280" s="2299" t="s">
        <v>64</v>
      </c>
      <c r="AC280" s="2518"/>
      <c r="AD280" s="2518"/>
      <c r="AE280" s="2518"/>
      <c r="AF280" s="1380" t="s">
        <v>64</v>
      </c>
      <c r="AG280" s="2518"/>
      <c r="AH280" s="2518"/>
      <c r="AI280" s="2519"/>
      <c r="AJ280" s="2520">
        <f t="shared" si="71"/>
        <v>3340</v>
      </c>
      <c r="AK280" s="2521"/>
      <c r="AL280" s="2522"/>
      <c r="AM280" s="2505">
        <v>1</v>
      </c>
      <c r="AN280" s="2506"/>
      <c r="AO280" s="2507"/>
      <c r="AP280" s="2499">
        <f t="shared" si="72"/>
        <v>3340</v>
      </c>
      <c r="AQ280" s="2500"/>
      <c r="AR280" s="2501"/>
      <c r="AS280" s="2555">
        <f ca="1">SUMIF(内壁・間仕切!A$26:AA$26,F280,内壁・間仕切!A$31:AA$31)+SUMIF(内壁・間仕切!A$54:AA$54,F280,内壁・間仕切!A$59:AA$59)+SUMIF(見積拾!C$63:D$67,F280,見積拾!T$63:T$67)</f>
        <v>0</v>
      </c>
      <c r="AT280" s="2556"/>
      <c r="AU280" s="2556"/>
      <c r="AV280" s="2557"/>
      <c r="AW280" s="2520">
        <f t="shared" ca="1" si="73"/>
        <v>0</v>
      </c>
      <c r="AX280" s="2521"/>
      <c r="AY280" s="2521"/>
      <c r="AZ280" s="2522"/>
      <c r="BA280" s="25" t="b">
        <f t="shared" ref="BA280:BA303" ca="1" si="74">AW280&lt;&gt;0</f>
        <v>0</v>
      </c>
      <c r="BB280"/>
    </row>
    <row r="281" spans="1:54" ht="13.5" customHeight="1">
      <c r="B281" s="2681"/>
      <c r="C281" s="2673"/>
      <c r="D281" s="2682"/>
      <c r="E281" s="322" t="s">
        <v>893</v>
      </c>
      <c r="F281" s="2500" t="s">
        <v>1682</v>
      </c>
      <c r="G281" s="2500"/>
      <c r="H281" s="2500"/>
      <c r="I281" s="2500"/>
      <c r="J281" s="2500"/>
      <c r="K281" s="2500"/>
      <c r="L281" s="2500"/>
      <c r="M281" s="2500"/>
      <c r="N281" s="2500"/>
      <c r="O281" s="2500"/>
      <c r="P281" s="2501"/>
      <c r="Q281" s="2542">
        <v>2062</v>
      </c>
      <c r="R281" s="2518"/>
      <c r="S281" s="2518"/>
      <c r="T281" s="2299" t="s">
        <v>1664</v>
      </c>
      <c r="U281" s="2518">
        <v>4095</v>
      </c>
      <c r="V281" s="2518"/>
      <c r="W281" s="2518"/>
      <c r="X281" s="2299" t="s">
        <v>895</v>
      </c>
      <c r="Y281" s="2518">
        <v>923</v>
      </c>
      <c r="Z281" s="2518"/>
      <c r="AA281" s="2518"/>
      <c r="AB281" s="2299" t="s">
        <v>64</v>
      </c>
      <c r="AC281" s="2518"/>
      <c r="AD281" s="2518"/>
      <c r="AE281" s="2518"/>
      <c r="AF281" s="1380" t="s">
        <v>64</v>
      </c>
      <c r="AG281" s="2518"/>
      <c r="AH281" s="2518"/>
      <c r="AI281" s="2519"/>
      <c r="AJ281" s="2520">
        <f t="shared" si="71"/>
        <v>7080</v>
      </c>
      <c r="AK281" s="2521"/>
      <c r="AL281" s="2522"/>
      <c r="AM281" s="2505">
        <v>1</v>
      </c>
      <c r="AN281" s="2506"/>
      <c r="AO281" s="2507"/>
      <c r="AP281" s="2499">
        <f t="shared" si="72"/>
        <v>7080</v>
      </c>
      <c r="AQ281" s="2500"/>
      <c r="AR281" s="2501"/>
      <c r="AS281" s="2555">
        <f ca="1">SUMIF(内壁・間仕切!A$26:AA$26,F281,内壁・間仕切!A$31:AA$31)+SUMIF(内壁・間仕切!A$54:AA$54,F281,内壁・間仕切!A$59:AA$59)+SUMIF(見積拾!C$63:D$67,F281,見積拾!T$63:T$67)</f>
        <v>0</v>
      </c>
      <c r="AT281" s="2556"/>
      <c r="AU281" s="2556"/>
      <c r="AV281" s="2557"/>
      <c r="AW281" s="2520">
        <f t="shared" ca="1" si="73"/>
        <v>0</v>
      </c>
      <c r="AX281" s="2521"/>
      <c r="AY281" s="2521"/>
      <c r="AZ281" s="2522"/>
      <c r="BA281" s="25" t="b">
        <f t="shared" ca="1" si="74"/>
        <v>0</v>
      </c>
      <c r="BB281"/>
    </row>
    <row r="282" spans="1:54" ht="13.5" customHeight="1">
      <c r="B282" s="2681"/>
      <c r="C282" s="2673"/>
      <c r="D282" s="2682"/>
      <c r="E282" s="322" t="s">
        <v>893</v>
      </c>
      <c r="F282" s="2500" t="s">
        <v>1683</v>
      </c>
      <c r="G282" s="2500"/>
      <c r="H282" s="2500"/>
      <c r="I282" s="2500"/>
      <c r="J282" s="2500"/>
      <c r="K282" s="2500"/>
      <c r="L282" s="2500"/>
      <c r="M282" s="2500"/>
      <c r="N282" s="2500"/>
      <c r="O282" s="2500"/>
      <c r="P282" s="2501"/>
      <c r="Q282" s="2542">
        <v>1437</v>
      </c>
      <c r="R282" s="2518"/>
      <c r="S282" s="2518"/>
      <c r="T282" s="2299" t="s">
        <v>1664</v>
      </c>
      <c r="U282" s="2518">
        <v>3003</v>
      </c>
      <c r="V282" s="2518"/>
      <c r="W282" s="2518"/>
      <c r="X282" s="2299" t="s">
        <v>895</v>
      </c>
      <c r="Y282" s="2518">
        <v>658</v>
      </c>
      <c r="Z282" s="2518"/>
      <c r="AA282" s="2518"/>
      <c r="AB282" s="2299" t="s">
        <v>64</v>
      </c>
      <c r="AC282" s="2518"/>
      <c r="AD282" s="2518"/>
      <c r="AE282" s="2518"/>
      <c r="AF282" s="1380" t="s">
        <v>64</v>
      </c>
      <c r="AG282" s="2518"/>
      <c r="AH282" s="2518"/>
      <c r="AI282" s="2519"/>
      <c r="AJ282" s="2520">
        <f t="shared" si="71"/>
        <v>5090</v>
      </c>
      <c r="AK282" s="2521"/>
      <c r="AL282" s="2522"/>
      <c r="AM282" s="2505">
        <v>1</v>
      </c>
      <c r="AN282" s="2506"/>
      <c r="AO282" s="2507"/>
      <c r="AP282" s="2499">
        <f t="shared" si="72"/>
        <v>5090</v>
      </c>
      <c r="AQ282" s="2500"/>
      <c r="AR282" s="2501"/>
      <c r="AS282" s="2555">
        <f ca="1">SUMIF(内壁・間仕切!A$26:AA$26,F282,内壁・間仕切!A$31:AA$31)+SUMIF(内壁・間仕切!A$54:AA$54,F282,内壁・間仕切!A$59:AA$59)+SUMIF(見積拾!C$63:D$67,F282,見積拾!T$63:T$67)</f>
        <v>0</v>
      </c>
      <c r="AT282" s="2556"/>
      <c r="AU282" s="2556"/>
      <c r="AV282" s="2557"/>
      <c r="AW282" s="2520">
        <f t="shared" ca="1" si="73"/>
        <v>0</v>
      </c>
      <c r="AX282" s="2521"/>
      <c r="AY282" s="2521"/>
      <c r="AZ282" s="2522"/>
      <c r="BA282" s="25" t="b">
        <f t="shared" ca="1" si="74"/>
        <v>0</v>
      </c>
      <c r="BB282"/>
    </row>
    <row r="283" spans="1:54" ht="13.5" customHeight="1">
      <c r="B283" s="2681"/>
      <c r="C283" s="2673"/>
      <c r="D283" s="2682"/>
      <c r="E283" s="322" t="s">
        <v>893</v>
      </c>
      <c r="F283" s="2500" t="s">
        <v>1177</v>
      </c>
      <c r="G283" s="2500"/>
      <c r="H283" s="2500"/>
      <c r="I283" s="2500"/>
      <c r="J283" s="2500"/>
      <c r="K283" s="2500"/>
      <c r="L283" s="2500"/>
      <c r="M283" s="2500"/>
      <c r="N283" s="2500"/>
      <c r="O283" s="2500"/>
      <c r="P283" s="2501"/>
      <c r="Q283" s="2542">
        <v>2871</v>
      </c>
      <c r="R283" s="2518"/>
      <c r="S283" s="2518"/>
      <c r="T283" s="2299" t="s">
        <v>1664</v>
      </c>
      <c r="U283" s="2518" t="s">
        <v>1173</v>
      </c>
      <c r="V283" s="2518"/>
      <c r="W283" s="2518"/>
      <c r="X283" s="2299" t="s">
        <v>895</v>
      </c>
      <c r="Y283" s="2518" t="s">
        <v>1174</v>
      </c>
      <c r="Z283" s="2518"/>
      <c r="AA283" s="2518"/>
      <c r="AB283" s="2299" t="s">
        <v>64</v>
      </c>
      <c r="AC283" s="2518"/>
      <c r="AD283" s="2518"/>
      <c r="AE283" s="2518"/>
      <c r="AF283" s="1380" t="s">
        <v>64</v>
      </c>
      <c r="AG283" s="2518"/>
      <c r="AH283" s="2518"/>
      <c r="AI283" s="2519"/>
      <c r="AJ283" s="2520">
        <f t="shared" si="71"/>
        <v>2870</v>
      </c>
      <c r="AK283" s="2521"/>
      <c r="AL283" s="2522"/>
      <c r="AM283" s="2505">
        <v>1</v>
      </c>
      <c r="AN283" s="2506"/>
      <c r="AO283" s="2507"/>
      <c r="AP283" s="2499">
        <f t="shared" si="72"/>
        <v>2870</v>
      </c>
      <c r="AQ283" s="2500"/>
      <c r="AR283" s="2501"/>
      <c r="AS283" s="2555">
        <f ca="1">SUMIF(内壁・間仕切!A$26:AA$26,F283,内壁・間仕切!A$31:AA$31)+SUMIF(内壁・間仕切!A$54:AA$54,F283,内壁・間仕切!A$59:AA$59)+SUMIF(見積拾!C$63:D$67,F283,見積拾!T$63:T$67)</f>
        <v>0</v>
      </c>
      <c r="AT283" s="2556"/>
      <c r="AU283" s="2556"/>
      <c r="AV283" s="2557"/>
      <c r="AW283" s="2520">
        <f t="shared" ca="1" si="73"/>
        <v>0</v>
      </c>
      <c r="AX283" s="2521"/>
      <c r="AY283" s="2521"/>
      <c r="AZ283" s="2522"/>
      <c r="BA283" s="25" t="b">
        <f t="shared" ca="1" si="74"/>
        <v>0</v>
      </c>
      <c r="BB283"/>
    </row>
    <row r="284" spans="1:54" ht="13.5" customHeight="1">
      <c r="B284" s="2681"/>
      <c r="C284" s="2673"/>
      <c r="D284" s="2682"/>
      <c r="E284" s="322" t="s">
        <v>893</v>
      </c>
      <c r="F284" s="2500" t="s">
        <v>1684</v>
      </c>
      <c r="G284" s="2500"/>
      <c r="H284" s="2500"/>
      <c r="I284" s="2500"/>
      <c r="J284" s="2500"/>
      <c r="K284" s="2500"/>
      <c r="L284" s="2500"/>
      <c r="M284" s="2500"/>
      <c r="N284" s="2500"/>
      <c r="O284" s="2500"/>
      <c r="P284" s="2501"/>
      <c r="Q284" s="2542">
        <v>2700</v>
      </c>
      <c r="R284" s="2518"/>
      <c r="S284" s="2518"/>
      <c r="T284" s="2299" t="s">
        <v>1664</v>
      </c>
      <c r="U284" s="2518" t="s">
        <v>1173</v>
      </c>
      <c r="V284" s="2518"/>
      <c r="W284" s="2518"/>
      <c r="X284" s="2299" t="s">
        <v>895</v>
      </c>
      <c r="Y284" s="2518" t="s">
        <v>1174</v>
      </c>
      <c r="Z284" s="2518"/>
      <c r="AA284" s="2518"/>
      <c r="AB284" s="2299" t="s">
        <v>921</v>
      </c>
      <c r="AC284" s="2518"/>
      <c r="AD284" s="2518"/>
      <c r="AE284" s="2518"/>
      <c r="AF284" s="1380" t="s">
        <v>921</v>
      </c>
      <c r="AG284" s="2518"/>
      <c r="AH284" s="2518"/>
      <c r="AI284" s="2519"/>
      <c r="AJ284" s="2520">
        <f t="shared" si="71"/>
        <v>2700</v>
      </c>
      <c r="AK284" s="2521"/>
      <c r="AL284" s="2522"/>
      <c r="AM284" s="2505">
        <v>1</v>
      </c>
      <c r="AN284" s="2506"/>
      <c r="AO284" s="2507"/>
      <c r="AP284" s="2499">
        <f t="shared" si="72"/>
        <v>2700</v>
      </c>
      <c r="AQ284" s="2500"/>
      <c r="AR284" s="2501"/>
      <c r="AS284" s="2555">
        <f ca="1">SUMIF(内壁・間仕切!A$26:AA$26,F284,内壁・間仕切!A$31:AA$31)+SUMIF(内壁・間仕切!A$54:AA$54,F284,内壁・間仕切!A$59:AA$59)+SUMIF(見積拾!C$63:D$67,F284,見積拾!T$63:T$67)</f>
        <v>0</v>
      </c>
      <c r="AT284" s="2556"/>
      <c r="AU284" s="2556"/>
      <c r="AV284" s="2557"/>
      <c r="AW284" s="2520">
        <f t="shared" ca="1" si="73"/>
        <v>0</v>
      </c>
      <c r="AX284" s="2521"/>
      <c r="AY284" s="2521"/>
      <c r="AZ284" s="2522"/>
      <c r="BA284" s="25" t="b">
        <f t="shared" ca="1" si="74"/>
        <v>0</v>
      </c>
      <c r="BB284"/>
    </row>
    <row r="285" spans="1:54" ht="13.5" customHeight="1">
      <c r="B285" s="2681"/>
      <c r="C285" s="2673"/>
      <c r="D285" s="2682"/>
      <c r="E285" s="322" t="s">
        <v>893</v>
      </c>
      <c r="F285" s="2500" t="s">
        <v>1685</v>
      </c>
      <c r="G285" s="2500"/>
      <c r="H285" s="2500"/>
      <c r="I285" s="2500"/>
      <c r="J285" s="2500"/>
      <c r="K285" s="2500"/>
      <c r="L285" s="2500"/>
      <c r="M285" s="2500"/>
      <c r="N285" s="2500"/>
      <c r="O285" s="2500"/>
      <c r="P285" s="2501"/>
      <c r="Q285" s="2542">
        <v>1610</v>
      </c>
      <c r="R285" s="2518"/>
      <c r="S285" s="2518"/>
      <c r="T285" s="2299" t="s">
        <v>1664</v>
      </c>
      <c r="U285" s="2518" t="s">
        <v>1173</v>
      </c>
      <c r="V285" s="2518"/>
      <c r="W285" s="2518"/>
      <c r="X285" s="2299" t="s">
        <v>895</v>
      </c>
      <c r="Y285" s="2518" t="s">
        <v>1174</v>
      </c>
      <c r="Z285" s="2518"/>
      <c r="AA285" s="2518"/>
      <c r="AB285" s="2299" t="s">
        <v>903</v>
      </c>
      <c r="AC285" s="2518"/>
      <c r="AD285" s="2518"/>
      <c r="AE285" s="2518"/>
      <c r="AF285" s="1380" t="s">
        <v>903</v>
      </c>
      <c r="AG285" s="2518"/>
      <c r="AH285" s="2518"/>
      <c r="AI285" s="2519"/>
      <c r="AJ285" s="2520">
        <f t="shared" si="71"/>
        <v>1610</v>
      </c>
      <c r="AK285" s="2521"/>
      <c r="AL285" s="2522"/>
      <c r="AM285" s="2505">
        <v>1</v>
      </c>
      <c r="AN285" s="2506"/>
      <c r="AO285" s="2507"/>
      <c r="AP285" s="2499">
        <f t="shared" si="72"/>
        <v>1610</v>
      </c>
      <c r="AQ285" s="2500"/>
      <c r="AR285" s="2501"/>
      <c r="AS285" s="2555">
        <f ca="1">SUMIF(内壁・間仕切!A$26:AA$26,F285,内壁・間仕切!A$31:AA$31)+SUMIF(内壁・間仕切!A$54:AA$54,F285,内壁・間仕切!A$59:AA$59)+SUMIF(見積拾!C$63:D$67,F285,見積拾!T$63:T$67)</f>
        <v>0</v>
      </c>
      <c r="AT285" s="2556"/>
      <c r="AU285" s="2556"/>
      <c r="AV285" s="2557"/>
      <c r="AW285" s="2520">
        <f t="shared" ca="1" si="73"/>
        <v>0</v>
      </c>
      <c r="AX285" s="2521"/>
      <c r="AY285" s="2521"/>
      <c r="AZ285" s="2522"/>
      <c r="BA285" s="25" t="b">
        <f t="shared" ca="1" si="74"/>
        <v>0</v>
      </c>
      <c r="BB285"/>
    </row>
    <row r="286" spans="1:54" ht="13.5" customHeight="1">
      <c r="B286" s="2681"/>
      <c r="C286" s="2673"/>
      <c r="D286" s="2682"/>
      <c r="E286" s="322" t="s">
        <v>893</v>
      </c>
      <c r="F286" s="2500" t="s">
        <v>1686</v>
      </c>
      <c r="G286" s="2500"/>
      <c r="H286" s="2500"/>
      <c r="I286" s="2500"/>
      <c r="J286" s="2500"/>
      <c r="K286" s="2500"/>
      <c r="L286" s="2500"/>
      <c r="M286" s="2500"/>
      <c r="N286" s="2500"/>
      <c r="O286" s="2500"/>
      <c r="P286" s="2501"/>
      <c r="Q286" s="2542">
        <v>4200</v>
      </c>
      <c r="R286" s="2518"/>
      <c r="S286" s="2518"/>
      <c r="T286" s="2299" t="s">
        <v>1664</v>
      </c>
      <c r="U286" s="2518" t="s">
        <v>1173</v>
      </c>
      <c r="V286" s="2518"/>
      <c r="W286" s="2518"/>
      <c r="X286" s="2299" t="s">
        <v>895</v>
      </c>
      <c r="Y286" s="2518">
        <v>10122</v>
      </c>
      <c r="Z286" s="2518"/>
      <c r="AA286" s="2518"/>
      <c r="AB286" s="2299" t="s">
        <v>903</v>
      </c>
      <c r="AC286" s="2518"/>
      <c r="AD286" s="2518"/>
      <c r="AE286" s="2518"/>
      <c r="AF286" s="1380" t="s">
        <v>903</v>
      </c>
      <c r="AG286" s="2518"/>
      <c r="AH286" s="2518"/>
      <c r="AI286" s="2519"/>
      <c r="AJ286" s="2520">
        <f t="shared" si="71"/>
        <v>14320</v>
      </c>
      <c r="AK286" s="2521"/>
      <c r="AL286" s="2522"/>
      <c r="AM286" s="2505">
        <v>1</v>
      </c>
      <c r="AN286" s="2506"/>
      <c r="AO286" s="2507"/>
      <c r="AP286" s="2499">
        <f t="shared" si="72"/>
        <v>14320</v>
      </c>
      <c r="AQ286" s="2500"/>
      <c r="AR286" s="2501"/>
      <c r="AS286" s="2555">
        <f ca="1">SUMIF(内壁・間仕切!A$26:AA$26,F286,内壁・間仕切!A$31:AA$31)+SUMIF(内壁・間仕切!A$54:AA$54,F286,内壁・間仕切!A$59:AA$59)+SUMIF(見積拾!C$63:D$67,F286,見積拾!T$63:T$67)</f>
        <v>0</v>
      </c>
      <c r="AT286" s="2556"/>
      <c r="AU286" s="2556"/>
      <c r="AV286" s="2557"/>
      <c r="AW286" s="2520">
        <f t="shared" ca="1" si="73"/>
        <v>0</v>
      </c>
      <c r="AX286" s="2521"/>
      <c r="AY286" s="2521"/>
      <c r="AZ286" s="2522"/>
      <c r="BA286" s="25" t="b">
        <f t="shared" ca="1" si="74"/>
        <v>0</v>
      </c>
      <c r="BB286"/>
    </row>
    <row r="287" spans="1:54" ht="13.5" customHeight="1">
      <c r="B287" s="2681"/>
      <c r="C287" s="2673"/>
      <c r="D287" s="2682"/>
      <c r="E287" s="322" t="s">
        <v>893</v>
      </c>
      <c r="F287" s="2500" t="s">
        <v>1667</v>
      </c>
      <c r="G287" s="2500"/>
      <c r="H287" s="2500"/>
      <c r="I287" s="2500"/>
      <c r="J287" s="2500"/>
      <c r="K287" s="2500"/>
      <c r="L287" s="2500"/>
      <c r="M287" s="2500"/>
      <c r="N287" s="2500"/>
      <c r="O287" s="2500"/>
      <c r="P287" s="2501"/>
      <c r="Q287" s="2542">
        <v>9350</v>
      </c>
      <c r="R287" s="2518"/>
      <c r="S287" s="2518"/>
      <c r="T287" s="2299" t="s">
        <v>1664</v>
      </c>
      <c r="U287" s="2518" t="s">
        <v>1173</v>
      </c>
      <c r="V287" s="2518"/>
      <c r="W287" s="2518"/>
      <c r="X287" s="2299" t="s">
        <v>895</v>
      </c>
      <c r="Y287" s="2518">
        <v>1056</v>
      </c>
      <c r="Z287" s="2518"/>
      <c r="AA287" s="2518"/>
      <c r="AB287" s="2299" t="s">
        <v>903</v>
      </c>
      <c r="AC287" s="2518"/>
      <c r="AD287" s="2518"/>
      <c r="AE287" s="2518"/>
      <c r="AF287" s="1380" t="s">
        <v>903</v>
      </c>
      <c r="AG287" s="2518"/>
      <c r="AH287" s="2518"/>
      <c r="AI287" s="2519"/>
      <c r="AJ287" s="2520">
        <f t="shared" si="71"/>
        <v>10400</v>
      </c>
      <c r="AK287" s="2521"/>
      <c r="AL287" s="2522"/>
      <c r="AM287" s="2505">
        <v>1</v>
      </c>
      <c r="AN287" s="2506"/>
      <c r="AO287" s="2507"/>
      <c r="AP287" s="2499">
        <f t="shared" si="72"/>
        <v>10400</v>
      </c>
      <c r="AQ287" s="2500"/>
      <c r="AR287" s="2501"/>
      <c r="AS287" s="2555">
        <f ca="1">SUMIF(内壁・間仕切!A$26:AA$26,F287,内壁・間仕切!A$31:AA$31)+SUMIF(内壁・間仕切!A$54:AA$54,F287,内壁・間仕切!A$59:AA$59)+SUMIF(見積拾!C$63:D$67,F287,見積拾!T$63:T$67)</f>
        <v>0</v>
      </c>
      <c r="AT287" s="2556"/>
      <c r="AU287" s="2556"/>
      <c r="AV287" s="2557"/>
      <c r="AW287" s="2520">
        <f t="shared" ca="1" si="73"/>
        <v>0</v>
      </c>
      <c r="AX287" s="2521"/>
      <c r="AY287" s="2521"/>
      <c r="AZ287" s="2522"/>
      <c r="BA287" s="25" t="b">
        <f t="shared" ca="1" si="74"/>
        <v>0</v>
      </c>
      <c r="BB287"/>
    </row>
    <row r="288" spans="1:54" ht="13.5" customHeight="1">
      <c r="B288" s="2681"/>
      <c r="C288" s="2673"/>
      <c r="D288" s="2682"/>
      <c r="E288" s="322" t="s">
        <v>893</v>
      </c>
      <c r="F288" s="2500" t="s">
        <v>1668</v>
      </c>
      <c r="G288" s="2500"/>
      <c r="H288" s="2500"/>
      <c r="I288" s="2500"/>
      <c r="J288" s="2500"/>
      <c r="K288" s="2500"/>
      <c r="L288" s="2500"/>
      <c r="M288" s="2500"/>
      <c r="N288" s="2500"/>
      <c r="O288" s="2500"/>
      <c r="P288" s="2501"/>
      <c r="Q288" s="2542">
        <v>8070</v>
      </c>
      <c r="R288" s="2518"/>
      <c r="S288" s="2518"/>
      <c r="T288" s="2299" t="s">
        <v>1664</v>
      </c>
      <c r="U288" s="2518" t="s">
        <v>1173</v>
      </c>
      <c r="V288" s="2518"/>
      <c r="W288" s="2518"/>
      <c r="X288" s="2299" t="s">
        <v>895</v>
      </c>
      <c r="Y288" s="2518">
        <v>866</v>
      </c>
      <c r="Z288" s="2518"/>
      <c r="AA288" s="2518"/>
      <c r="AB288" s="2299" t="s">
        <v>903</v>
      </c>
      <c r="AC288" s="2518"/>
      <c r="AD288" s="2518"/>
      <c r="AE288" s="2518"/>
      <c r="AF288" s="1380" t="s">
        <v>903</v>
      </c>
      <c r="AG288" s="2518"/>
      <c r="AH288" s="2518"/>
      <c r="AI288" s="2519"/>
      <c r="AJ288" s="2520">
        <f t="shared" si="71"/>
        <v>8930</v>
      </c>
      <c r="AK288" s="2521"/>
      <c r="AL288" s="2522"/>
      <c r="AM288" s="2505">
        <v>1</v>
      </c>
      <c r="AN288" s="2506"/>
      <c r="AO288" s="2507"/>
      <c r="AP288" s="2499">
        <f t="shared" si="72"/>
        <v>8930</v>
      </c>
      <c r="AQ288" s="2500"/>
      <c r="AR288" s="2501"/>
      <c r="AS288" s="2555">
        <f ca="1">SUMIF(内壁・間仕切!A$26:AA$26,F288,内壁・間仕切!A$31:AA$31)+SUMIF(内壁・間仕切!A$54:AA$54,F288,内壁・間仕切!A$59:AA$59)+SUMIF(見積拾!C$63:D$67,F288,見積拾!T$63:T$67)</f>
        <v>0</v>
      </c>
      <c r="AT288" s="2556"/>
      <c r="AU288" s="2556"/>
      <c r="AV288" s="2557"/>
      <c r="AW288" s="2520">
        <f t="shared" ca="1" si="73"/>
        <v>0</v>
      </c>
      <c r="AX288" s="2521"/>
      <c r="AY288" s="2521"/>
      <c r="AZ288" s="2522"/>
      <c r="BA288" s="25" t="b">
        <f t="shared" ca="1" si="74"/>
        <v>0</v>
      </c>
      <c r="BB288"/>
    </row>
    <row r="289" spans="2:54" ht="13.5" customHeight="1">
      <c r="B289" s="2681"/>
      <c r="C289" s="2673"/>
      <c r="D289" s="2682"/>
      <c r="E289" s="322" t="s">
        <v>893</v>
      </c>
      <c r="F289" s="2500" t="s">
        <v>1669</v>
      </c>
      <c r="G289" s="2500"/>
      <c r="H289" s="2500"/>
      <c r="I289" s="2500"/>
      <c r="J289" s="2500"/>
      <c r="K289" s="2500"/>
      <c r="L289" s="2500"/>
      <c r="M289" s="2500"/>
      <c r="N289" s="2500"/>
      <c r="O289" s="2500"/>
      <c r="P289" s="2501"/>
      <c r="Q289" s="2542">
        <v>6870</v>
      </c>
      <c r="R289" s="2518"/>
      <c r="S289" s="2518"/>
      <c r="T289" s="2299" t="s">
        <v>1664</v>
      </c>
      <c r="U289" s="2518" t="s">
        <v>1173</v>
      </c>
      <c r="V289" s="2518"/>
      <c r="W289" s="2518"/>
      <c r="X289" s="2299" t="s">
        <v>895</v>
      </c>
      <c r="Y289" s="2518">
        <v>853</v>
      </c>
      <c r="Z289" s="2518"/>
      <c r="AA289" s="2518"/>
      <c r="AB289" s="2299" t="s">
        <v>903</v>
      </c>
      <c r="AC289" s="2518"/>
      <c r="AD289" s="2518"/>
      <c r="AE289" s="2518"/>
      <c r="AF289" s="1380" t="s">
        <v>903</v>
      </c>
      <c r="AG289" s="2518"/>
      <c r="AH289" s="2518"/>
      <c r="AI289" s="2519"/>
      <c r="AJ289" s="2520">
        <f t="shared" si="71"/>
        <v>7720</v>
      </c>
      <c r="AK289" s="2521"/>
      <c r="AL289" s="2522"/>
      <c r="AM289" s="2505">
        <v>1</v>
      </c>
      <c r="AN289" s="2506"/>
      <c r="AO289" s="2507"/>
      <c r="AP289" s="2499">
        <f t="shared" si="72"/>
        <v>7720</v>
      </c>
      <c r="AQ289" s="2500"/>
      <c r="AR289" s="2501"/>
      <c r="AS289" s="2555">
        <f ca="1">SUMIF(内壁・間仕切!A$26:AA$26,F289,内壁・間仕切!A$31:AA$31)+SUMIF(内壁・間仕切!A$54:AA$54,F289,内壁・間仕切!A$59:AA$59)+SUMIF(見積拾!C$63:D$67,F289,見積拾!T$63:T$67)</f>
        <v>0</v>
      </c>
      <c r="AT289" s="2556"/>
      <c r="AU289" s="2556"/>
      <c r="AV289" s="2557"/>
      <c r="AW289" s="2520">
        <f t="shared" ca="1" si="73"/>
        <v>0</v>
      </c>
      <c r="AX289" s="2521"/>
      <c r="AY289" s="2521"/>
      <c r="AZ289" s="2522"/>
      <c r="BA289" s="25" t="b">
        <f t="shared" ca="1" si="74"/>
        <v>0</v>
      </c>
      <c r="BB289"/>
    </row>
    <row r="290" spans="2:54" ht="13.5" customHeight="1">
      <c r="B290" s="2681"/>
      <c r="C290" s="2673"/>
      <c r="D290" s="2682"/>
      <c r="E290" s="322" t="s">
        <v>893</v>
      </c>
      <c r="F290" s="2500" t="s">
        <v>1670</v>
      </c>
      <c r="G290" s="2500"/>
      <c r="H290" s="2500"/>
      <c r="I290" s="2500"/>
      <c r="J290" s="2500"/>
      <c r="K290" s="2500"/>
      <c r="L290" s="2500"/>
      <c r="M290" s="2500"/>
      <c r="N290" s="2500"/>
      <c r="O290" s="2500"/>
      <c r="P290" s="2501"/>
      <c r="Q290" s="2542">
        <v>6140</v>
      </c>
      <c r="R290" s="2518"/>
      <c r="S290" s="2518"/>
      <c r="T290" s="2299" t="s">
        <v>1664</v>
      </c>
      <c r="U290" s="2518" t="s">
        <v>1173</v>
      </c>
      <c r="V290" s="2518"/>
      <c r="W290" s="2518"/>
      <c r="X290" s="2299" t="s">
        <v>895</v>
      </c>
      <c r="Y290" s="2518">
        <v>649</v>
      </c>
      <c r="Z290" s="2518"/>
      <c r="AA290" s="2518"/>
      <c r="AB290" s="2299" t="s">
        <v>903</v>
      </c>
      <c r="AC290" s="2518"/>
      <c r="AD290" s="2518"/>
      <c r="AE290" s="2518"/>
      <c r="AF290" s="1380" t="s">
        <v>903</v>
      </c>
      <c r="AG290" s="2518"/>
      <c r="AH290" s="2518"/>
      <c r="AI290" s="2519"/>
      <c r="AJ290" s="2520">
        <f t="shared" si="71"/>
        <v>6780</v>
      </c>
      <c r="AK290" s="2521"/>
      <c r="AL290" s="2522"/>
      <c r="AM290" s="2505">
        <v>1</v>
      </c>
      <c r="AN290" s="2506"/>
      <c r="AO290" s="2507"/>
      <c r="AP290" s="2499">
        <f t="shared" si="72"/>
        <v>6780</v>
      </c>
      <c r="AQ290" s="2500"/>
      <c r="AR290" s="2501"/>
      <c r="AS290" s="2555">
        <f ca="1">SUMIF(内壁・間仕切!A$26:AA$26,F290,内壁・間仕切!A$31:AA$31)+SUMIF(内壁・間仕切!A$54:AA$54,F290,内壁・間仕切!A$59:AA$59)+SUMIF(見積拾!C$63:D$67,F290,見積拾!T$63:T$67)</f>
        <v>0</v>
      </c>
      <c r="AT290" s="2556"/>
      <c r="AU290" s="2556"/>
      <c r="AV290" s="2557"/>
      <c r="AW290" s="2520">
        <f t="shared" ca="1" si="73"/>
        <v>0</v>
      </c>
      <c r="AX290" s="2521"/>
      <c r="AY290" s="2521"/>
      <c r="AZ290" s="2522"/>
      <c r="BA290" s="25" t="b">
        <f t="shared" ca="1" si="74"/>
        <v>0</v>
      </c>
      <c r="BB290"/>
    </row>
    <row r="291" spans="2:54" ht="13.5" customHeight="1">
      <c r="B291" s="2681"/>
      <c r="C291" s="2673"/>
      <c r="D291" s="2682"/>
      <c r="E291" s="322" t="s">
        <v>893</v>
      </c>
      <c r="F291" s="2500" t="s">
        <v>1687</v>
      </c>
      <c r="G291" s="2500"/>
      <c r="H291" s="2500"/>
      <c r="I291" s="2500"/>
      <c r="J291" s="2500"/>
      <c r="K291" s="2500"/>
      <c r="L291" s="2500"/>
      <c r="M291" s="2500"/>
      <c r="N291" s="2500"/>
      <c r="O291" s="2500"/>
      <c r="P291" s="2501"/>
      <c r="Q291" s="2542">
        <v>4820</v>
      </c>
      <c r="R291" s="2518"/>
      <c r="S291" s="2518"/>
      <c r="T291" s="2299" t="s">
        <v>1664</v>
      </c>
      <c r="U291" s="2518" t="s">
        <v>1173</v>
      </c>
      <c r="V291" s="2518"/>
      <c r="W291" s="2518"/>
      <c r="X291" s="2299" t="s">
        <v>895</v>
      </c>
      <c r="Y291" s="2518">
        <v>446</v>
      </c>
      <c r="Z291" s="2518"/>
      <c r="AA291" s="2518"/>
      <c r="AB291" s="2299" t="s">
        <v>922</v>
      </c>
      <c r="AC291" s="2518"/>
      <c r="AD291" s="2518"/>
      <c r="AE291" s="2518"/>
      <c r="AF291" s="1380" t="s">
        <v>922</v>
      </c>
      <c r="AG291" s="2518"/>
      <c r="AH291" s="2518"/>
      <c r="AI291" s="2519"/>
      <c r="AJ291" s="2520">
        <f t="shared" si="71"/>
        <v>5260</v>
      </c>
      <c r="AK291" s="2521"/>
      <c r="AL291" s="2522"/>
      <c r="AM291" s="2505">
        <v>1</v>
      </c>
      <c r="AN291" s="2506"/>
      <c r="AO291" s="2507"/>
      <c r="AP291" s="2499">
        <f t="shared" si="72"/>
        <v>5260</v>
      </c>
      <c r="AQ291" s="2500"/>
      <c r="AR291" s="2501"/>
      <c r="AS291" s="2555">
        <f ca="1">SUMIF(内壁・間仕切!A$26:AA$26,F291,内壁・間仕切!A$31:AA$31)+SUMIF(内壁・間仕切!A$54:AA$54,F291,内壁・間仕切!A$59:AA$59)+SUMIF(見積拾!C$63:D$67,F291,見積拾!T$63:T$67)</f>
        <v>0</v>
      </c>
      <c r="AT291" s="2556"/>
      <c r="AU291" s="2556"/>
      <c r="AV291" s="2557"/>
      <c r="AW291" s="2520">
        <f t="shared" ca="1" si="73"/>
        <v>0</v>
      </c>
      <c r="AX291" s="2521"/>
      <c r="AY291" s="2521"/>
      <c r="AZ291" s="2522"/>
      <c r="BA291" s="25" t="b">
        <f t="shared" ca="1" si="74"/>
        <v>0</v>
      </c>
      <c r="BB291"/>
    </row>
    <row r="292" spans="2:54" ht="13.5" customHeight="1">
      <c r="B292" s="2681"/>
      <c r="C292" s="2673"/>
      <c r="D292" s="2682"/>
      <c r="E292" s="322" t="s">
        <v>893</v>
      </c>
      <c r="F292" s="2500" t="s">
        <v>1671</v>
      </c>
      <c r="G292" s="2500"/>
      <c r="H292" s="2500"/>
      <c r="I292" s="2500"/>
      <c r="J292" s="2500"/>
      <c r="K292" s="2500"/>
      <c r="L292" s="2500"/>
      <c r="M292" s="2500"/>
      <c r="N292" s="2500"/>
      <c r="O292" s="2500"/>
      <c r="P292" s="2501"/>
      <c r="Q292" s="2542">
        <v>13403</v>
      </c>
      <c r="R292" s="2518"/>
      <c r="S292" s="2518"/>
      <c r="T292" s="2299" t="s">
        <v>1664</v>
      </c>
      <c r="U292" s="2518" t="s">
        <v>1173</v>
      </c>
      <c r="V292" s="2518"/>
      <c r="W292" s="2518"/>
      <c r="X292" s="2299" t="s">
        <v>895</v>
      </c>
      <c r="Y292" s="2518">
        <v>676</v>
      </c>
      <c r="Z292" s="2518"/>
      <c r="AA292" s="2518"/>
      <c r="AB292" s="2299" t="s">
        <v>922</v>
      </c>
      <c r="AC292" s="2518"/>
      <c r="AD292" s="2518"/>
      <c r="AE292" s="2518"/>
      <c r="AF292" s="1380" t="s">
        <v>922</v>
      </c>
      <c r="AG292" s="2518"/>
      <c r="AH292" s="2518"/>
      <c r="AI292" s="2519"/>
      <c r="AJ292" s="2520">
        <f t="shared" si="71"/>
        <v>14070</v>
      </c>
      <c r="AK292" s="2521"/>
      <c r="AL292" s="2522"/>
      <c r="AM292" s="2505">
        <v>1</v>
      </c>
      <c r="AN292" s="2506"/>
      <c r="AO292" s="2507"/>
      <c r="AP292" s="2499">
        <f t="shared" si="72"/>
        <v>14070</v>
      </c>
      <c r="AQ292" s="2500"/>
      <c r="AR292" s="2501"/>
      <c r="AS292" s="2555">
        <f ca="1">SUMIF(内壁・間仕切!A$26:AA$26,F292,内壁・間仕切!A$31:AA$31)+SUMIF(内壁・間仕切!A$54:AA$54,F292,内壁・間仕切!A$59:AA$59)+SUMIF(見積拾!C$63:D$67,F292,見積拾!T$63:T$67)</f>
        <v>0</v>
      </c>
      <c r="AT292" s="2556"/>
      <c r="AU292" s="2556"/>
      <c r="AV292" s="2557"/>
      <c r="AW292" s="2520">
        <f t="shared" ca="1" si="73"/>
        <v>0</v>
      </c>
      <c r="AX292" s="2521"/>
      <c r="AY292" s="2521"/>
      <c r="AZ292" s="2522"/>
      <c r="BA292" s="25" t="b">
        <f t="shared" ca="1" si="74"/>
        <v>0</v>
      </c>
      <c r="BB292"/>
    </row>
    <row r="293" spans="2:54" ht="13.5" customHeight="1">
      <c r="B293" s="2681"/>
      <c r="C293" s="2673"/>
      <c r="D293" s="2682"/>
      <c r="E293" s="322" t="s">
        <v>893</v>
      </c>
      <c r="F293" s="2500" t="s">
        <v>1672</v>
      </c>
      <c r="G293" s="2500"/>
      <c r="H293" s="2500"/>
      <c r="I293" s="2500"/>
      <c r="J293" s="2500"/>
      <c r="K293" s="2500"/>
      <c r="L293" s="2500"/>
      <c r="M293" s="2500"/>
      <c r="N293" s="2500"/>
      <c r="O293" s="2500"/>
      <c r="P293" s="2501"/>
      <c r="Q293" s="2542">
        <v>8783</v>
      </c>
      <c r="R293" s="2518"/>
      <c r="S293" s="2518"/>
      <c r="T293" s="2299" t="s">
        <v>1664</v>
      </c>
      <c r="U293" s="2518" t="s">
        <v>1173</v>
      </c>
      <c r="V293" s="2518"/>
      <c r="W293" s="2518"/>
      <c r="X293" s="2299" t="s">
        <v>895</v>
      </c>
      <c r="Y293" s="2518">
        <v>676</v>
      </c>
      <c r="Z293" s="2518"/>
      <c r="AA293" s="2518"/>
      <c r="AB293" s="2299" t="s">
        <v>922</v>
      </c>
      <c r="AC293" s="2518"/>
      <c r="AD293" s="2518"/>
      <c r="AE293" s="2518"/>
      <c r="AF293" s="1380" t="s">
        <v>922</v>
      </c>
      <c r="AG293" s="2518"/>
      <c r="AH293" s="2518"/>
      <c r="AI293" s="2519"/>
      <c r="AJ293" s="2520">
        <f t="shared" si="71"/>
        <v>9450</v>
      </c>
      <c r="AK293" s="2521"/>
      <c r="AL293" s="2522"/>
      <c r="AM293" s="2505">
        <v>1</v>
      </c>
      <c r="AN293" s="2506"/>
      <c r="AO293" s="2507"/>
      <c r="AP293" s="2499">
        <f t="shared" si="72"/>
        <v>9450</v>
      </c>
      <c r="AQ293" s="2500"/>
      <c r="AR293" s="2501"/>
      <c r="AS293" s="2555">
        <f ca="1">SUMIF(内壁・間仕切!A$26:AA$26,F293,内壁・間仕切!A$31:AA$31)+SUMIF(内壁・間仕切!A$54:AA$54,F293,内壁・間仕切!A$59:AA$59)+SUMIF(見積拾!C$63:D$67,F293,見積拾!T$63:T$67)</f>
        <v>0</v>
      </c>
      <c r="AT293" s="2556"/>
      <c r="AU293" s="2556"/>
      <c r="AV293" s="2557"/>
      <c r="AW293" s="2520">
        <f t="shared" ca="1" si="73"/>
        <v>0</v>
      </c>
      <c r="AX293" s="2521"/>
      <c r="AY293" s="2521"/>
      <c r="AZ293" s="2522"/>
      <c r="BA293" s="25" t="b">
        <f t="shared" ca="1" si="74"/>
        <v>0</v>
      </c>
      <c r="BB293"/>
    </row>
    <row r="294" spans="2:54" ht="13.5" customHeight="1">
      <c r="B294" s="2681"/>
      <c r="C294" s="2673"/>
      <c r="D294" s="2682"/>
      <c r="E294" s="322" t="s">
        <v>893</v>
      </c>
      <c r="F294" s="2500" t="s">
        <v>1689</v>
      </c>
      <c r="G294" s="2500"/>
      <c r="H294" s="2500"/>
      <c r="I294" s="2500"/>
      <c r="J294" s="2500"/>
      <c r="K294" s="2500"/>
      <c r="L294" s="2500"/>
      <c r="M294" s="2500"/>
      <c r="N294" s="2500"/>
      <c r="O294" s="2500"/>
      <c r="P294" s="2501"/>
      <c r="Q294" s="2542">
        <v>9700</v>
      </c>
      <c r="R294" s="2518"/>
      <c r="S294" s="2518"/>
      <c r="T294" s="2299" t="s">
        <v>1664</v>
      </c>
      <c r="U294" s="2518" t="s">
        <v>1173</v>
      </c>
      <c r="V294" s="2518"/>
      <c r="W294" s="2518"/>
      <c r="X294" s="2299" t="s">
        <v>895</v>
      </c>
      <c r="Y294" s="2518">
        <v>884</v>
      </c>
      <c r="Z294" s="2518"/>
      <c r="AA294" s="2518"/>
      <c r="AB294" s="2299" t="s">
        <v>922</v>
      </c>
      <c r="AC294" s="2518"/>
      <c r="AD294" s="2518"/>
      <c r="AE294" s="2518"/>
      <c r="AF294" s="1380" t="s">
        <v>922</v>
      </c>
      <c r="AG294" s="2518"/>
      <c r="AH294" s="2518"/>
      <c r="AI294" s="2519"/>
      <c r="AJ294" s="2520">
        <f t="shared" si="71"/>
        <v>10580</v>
      </c>
      <c r="AK294" s="2521"/>
      <c r="AL294" s="2522"/>
      <c r="AM294" s="2505">
        <v>1</v>
      </c>
      <c r="AN294" s="2506"/>
      <c r="AO294" s="2507"/>
      <c r="AP294" s="2499">
        <f t="shared" si="72"/>
        <v>10580</v>
      </c>
      <c r="AQ294" s="2500"/>
      <c r="AR294" s="2501"/>
      <c r="AS294" s="2555">
        <f ca="1">SUMIF(内壁・間仕切!A$26:AA$26,F294,内壁・間仕切!A$31:AA$31)+SUMIF(内壁・間仕切!A$54:AA$54,F294,内壁・間仕切!A$59:AA$59)+SUMIF(見積拾!C$63:D$67,F294,見積拾!T$63:T$67)</f>
        <v>0</v>
      </c>
      <c r="AT294" s="2556"/>
      <c r="AU294" s="2556"/>
      <c r="AV294" s="2557"/>
      <c r="AW294" s="2520">
        <f t="shared" ca="1" si="73"/>
        <v>0</v>
      </c>
      <c r="AX294" s="2521"/>
      <c r="AY294" s="2521"/>
      <c r="AZ294" s="2522"/>
      <c r="BA294" s="25" t="b">
        <f t="shared" ca="1" si="74"/>
        <v>0</v>
      </c>
      <c r="BB294"/>
    </row>
    <row r="295" spans="2:54" ht="13.5" customHeight="1">
      <c r="B295" s="2681"/>
      <c r="C295" s="2673"/>
      <c r="D295" s="2682"/>
      <c r="E295" s="322" t="s">
        <v>893</v>
      </c>
      <c r="F295" s="2500" t="s">
        <v>1690</v>
      </c>
      <c r="G295" s="2500"/>
      <c r="H295" s="2500"/>
      <c r="I295" s="2500"/>
      <c r="J295" s="2500"/>
      <c r="K295" s="2500"/>
      <c r="L295" s="2500"/>
      <c r="M295" s="2500"/>
      <c r="N295" s="2500"/>
      <c r="O295" s="2500"/>
      <c r="P295" s="2501"/>
      <c r="Q295" s="2542">
        <v>9000</v>
      </c>
      <c r="R295" s="2518"/>
      <c r="S295" s="2518"/>
      <c r="T295" s="2299" t="s">
        <v>1664</v>
      </c>
      <c r="U295" s="2518" t="s">
        <v>1173</v>
      </c>
      <c r="V295" s="2518"/>
      <c r="W295" s="2518"/>
      <c r="X295" s="2299" t="s">
        <v>895</v>
      </c>
      <c r="Y295" s="2518">
        <v>884</v>
      </c>
      <c r="Z295" s="2518"/>
      <c r="AA295" s="2518"/>
      <c r="AB295" s="2299" t="s">
        <v>922</v>
      </c>
      <c r="AC295" s="2518"/>
      <c r="AD295" s="2518"/>
      <c r="AE295" s="2518"/>
      <c r="AF295" s="1380" t="s">
        <v>922</v>
      </c>
      <c r="AG295" s="2518"/>
      <c r="AH295" s="2518"/>
      <c r="AI295" s="2519"/>
      <c r="AJ295" s="2520">
        <f t="shared" si="71"/>
        <v>9880</v>
      </c>
      <c r="AK295" s="2521"/>
      <c r="AL295" s="2522"/>
      <c r="AM295" s="2505">
        <v>1</v>
      </c>
      <c r="AN295" s="2506"/>
      <c r="AO295" s="2507"/>
      <c r="AP295" s="2499">
        <f t="shared" si="72"/>
        <v>9880</v>
      </c>
      <c r="AQ295" s="2500"/>
      <c r="AR295" s="2501"/>
      <c r="AS295" s="2555">
        <f ca="1">SUMIF(内壁・間仕切!A$26:AA$26,F295,内壁・間仕切!A$31:AA$31)+SUMIF(内壁・間仕切!A$54:AA$54,F295,内壁・間仕切!A$59:AA$59)+SUMIF(見積拾!C$63:D$67,F295,見積拾!T$63:T$67)</f>
        <v>0</v>
      </c>
      <c r="AT295" s="2556"/>
      <c r="AU295" s="2556"/>
      <c r="AV295" s="2557"/>
      <c r="AW295" s="2520">
        <f t="shared" ca="1" si="73"/>
        <v>0</v>
      </c>
      <c r="AX295" s="2521"/>
      <c r="AY295" s="2521"/>
      <c r="AZ295" s="2522"/>
      <c r="BA295" s="25" t="b">
        <f t="shared" ca="1" si="74"/>
        <v>0</v>
      </c>
      <c r="BB295"/>
    </row>
    <row r="296" spans="2:54" ht="13.5" customHeight="1">
      <c r="B296" s="2681"/>
      <c r="C296" s="2673"/>
      <c r="D296" s="2682"/>
      <c r="E296" s="322" t="s">
        <v>893</v>
      </c>
      <c r="F296" s="2500" t="s">
        <v>1695</v>
      </c>
      <c r="G296" s="2500"/>
      <c r="H296" s="2500"/>
      <c r="I296" s="2500"/>
      <c r="J296" s="2500"/>
      <c r="K296" s="2500"/>
      <c r="L296" s="2500"/>
      <c r="M296" s="2500"/>
      <c r="N296" s="2500"/>
      <c r="O296" s="2500"/>
      <c r="P296" s="2501"/>
      <c r="Q296" s="2542">
        <v>12100</v>
      </c>
      <c r="R296" s="2518"/>
      <c r="S296" s="2518"/>
      <c r="T296" s="2299" t="s">
        <v>1664</v>
      </c>
      <c r="U296" s="2518" t="s">
        <v>1173</v>
      </c>
      <c r="V296" s="2518"/>
      <c r="W296" s="2518"/>
      <c r="X296" s="2299" t="s">
        <v>895</v>
      </c>
      <c r="Y296" s="2518" t="s">
        <v>1174</v>
      </c>
      <c r="Z296" s="2518"/>
      <c r="AA296" s="2518"/>
      <c r="AB296" s="2299" t="s">
        <v>923</v>
      </c>
      <c r="AC296" s="2518"/>
      <c r="AD296" s="2518"/>
      <c r="AE296" s="2518"/>
      <c r="AF296" s="1380" t="s">
        <v>923</v>
      </c>
      <c r="AG296" s="2518"/>
      <c r="AH296" s="2518"/>
      <c r="AI296" s="2519"/>
      <c r="AJ296" s="2520">
        <f t="shared" si="71"/>
        <v>12100</v>
      </c>
      <c r="AK296" s="2521"/>
      <c r="AL296" s="2522"/>
      <c r="AM296" s="2505">
        <v>1</v>
      </c>
      <c r="AN296" s="2506"/>
      <c r="AO296" s="2507"/>
      <c r="AP296" s="2499">
        <f t="shared" si="72"/>
        <v>12100</v>
      </c>
      <c r="AQ296" s="2500"/>
      <c r="AR296" s="2501"/>
      <c r="AS296" s="2555">
        <f ca="1">SUMIF(内壁・間仕切!A$26:AA$26,F296,内壁・間仕切!A$31:AA$31)+SUMIF(内壁・間仕切!A$54:AA$54,F296,内壁・間仕切!A$59:AA$59)+SUMIF(見積拾!C$63:D$67,F296,見積拾!T$63:T$67)</f>
        <v>0</v>
      </c>
      <c r="AT296" s="2556"/>
      <c r="AU296" s="2556"/>
      <c r="AV296" s="2557"/>
      <c r="AW296" s="2520">
        <f t="shared" ca="1" si="73"/>
        <v>0</v>
      </c>
      <c r="AX296" s="2521"/>
      <c r="AY296" s="2521"/>
      <c r="AZ296" s="2522"/>
      <c r="BA296" s="25" t="b">
        <f t="shared" ca="1" si="74"/>
        <v>0</v>
      </c>
      <c r="BB296" t="s">
        <v>1433</v>
      </c>
    </row>
    <row r="297" spans="2:54" ht="13.5" customHeight="1">
      <c r="B297" s="2681"/>
      <c r="C297" s="2673"/>
      <c r="D297" s="2682"/>
      <c r="E297" s="322" t="s">
        <v>893</v>
      </c>
      <c r="F297" s="2500" t="s">
        <v>1696</v>
      </c>
      <c r="G297" s="2500"/>
      <c r="H297" s="2500"/>
      <c r="I297" s="2500"/>
      <c r="J297" s="2500"/>
      <c r="K297" s="2500"/>
      <c r="L297" s="2500"/>
      <c r="M297" s="2500"/>
      <c r="N297" s="2500"/>
      <c r="O297" s="2500"/>
      <c r="P297" s="2501"/>
      <c r="Q297" s="2542">
        <v>9360</v>
      </c>
      <c r="R297" s="2518"/>
      <c r="S297" s="2518"/>
      <c r="T297" s="2299" t="s">
        <v>1664</v>
      </c>
      <c r="U297" s="2518" t="s">
        <v>1173</v>
      </c>
      <c r="V297" s="2518"/>
      <c r="W297" s="2518"/>
      <c r="X297" s="2299" t="s">
        <v>895</v>
      </c>
      <c r="Y297" s="2518" t="s">
        <v>1174</v>
      </c>
      <c r="Z297" s="2518"/>
      <c r="AA297" s="2518"/>
      <c r="AB297" s="2299" t="s">
        <v>923</v>
      </c>
      <c r="AC297" s="2518"/>
      <c r="AD297" s="2518"/>
      <c r="AE297" s="2518"/>
      <c r="AF297" s="1380" t="s">
        <v>923</v>
      </c>
      <c r="AG297" s="2518"/>
      <c r="AH297" s="2518"/>
      <c r="AI297" s="2519"/>
      <c r="AJ297" s="2520">
        <f t="shared" si="71"/>
        <v>9360</v>
      </c>
      <c r="AK297" s="2521"/>
      <c r="AL297" s="2522"/>
      <c r="AM297" s="2505">
        <v>1</v>
      </c>
      <c r="AN297" s="2506"/>
      <c r="AO297" s="2507"/>
      <c r="AP297" s="2499">
        <f t="shared" si="72"/>
        <v>9360</v>
      </c>
      <c r="AQ297" s="2500"/>
      <c r="AR297" s="2501"/>
      <c r="AS297" s="2555">
        <f ca="1">SUMIF(内壁・間仕切!A$26:AA$26,F297,内壁・間仕切!A$31:AA$31)+SUMIF(内壁・間仕切!A$54:AA$54,F297,内壁・間仕切!A$59:AA$59)+SUMIF(見積拾!C$63:D$67,F297,見積拾!T$63:T$67)</f>
        <v>0</v>
      </c>
      <c r="AT297" s="2556"/>
      <c r="AU297" s="2556"/>
      <c r="AV297" s="2557"/>
      <c r="AW297" s="2520">
        <f t="shared" ca="1" si="73"/>
        <v>0</v>
      </c>
      <c r="AX297" s="2521"/>
      <c r="AY297" s="2521"/>
      <c r="AZ297" s="2522"/>
      <c r="BA297" s="25" t="b">
        <f t="shared" ca="1" si="74"/>
        <v>0</v>
      </c>
      <c r="BB297" t="s">
        <v>1434</v>
      </c>
    </row>
    <row r="298" spans="2:54" ht="13.5" customHeight="1">
      <c r="B298" s="2681"/>
      <c r="C298" s="2673"/>
      <c r="D298" s="2682"/>
      <c r="E298" s="322" t="s">
        <v>893</v>
      </c>
      <c r="F298" s="2500" t="s">
        <v>1691</v>
      </c>
      <c r="G298" s="2500"/>
      <c r="H298" s="2500"/>
      <c r="I298" s="2500"/>
      <c r="J298" s="2500"/>
      <c r="K298" s="2500"/>
      <c r="L298" s="2500"/>
      <c r="M298" s="2500"/>
      <c r="N298" s="2500"/>
      <c r="O298" s="2500"/>
      <c r="P298" s="2501"/>
      <c r="Q298" s="2542">
        <v>13710</v>
      </c>
      <c r="R298" s="2518"/>
      <c r="S298" s="2518"/>
      <c r="T298" s="2299" t="s">
        <v>1664</v>
      </c>
      <c r="U298" s="2518" t="s">
        <v>1173</v>
      </c>
      <c r="V298" s="2518"/>
      <c r="W298" s="2518"/>
      <c r="X298" s="2299" t="s">
        <v>895</v>
      </c>
      <c r="Y298" s="2518">
        <v>1118</v>
      </c>
      <c r="Z298" s="2518"/>
      <c r="AA298" s="2518"/>
      <c r="AB298" s="2299" t="s">
        <v>923</v>
      </c>
      <c r="AC298" s="2518"/>
      <c r="AD298" s="2518"/>
      <c r="AE298" s="2518"/>
      <c r="AF298" s="1380" t="s">
        <v>923</v>
      </c>
      <c r="AG298" s="2518"/>
      <c r="AH298" s="2518"/>
      <c r="AI298" s="2519"/>
      <c r="AJ298" s="2520">
        <f t="shared" si="71"/>
        <v>14820</v>
      </c>
      <c r="AK298" s="2521"/>
      <c r="AL298" s="2522"/>
      <c r="AM298" s="2505">
        <v>1</v>
      </c>
      <c r="AN298" s="2506"/>
      <c r="AO298" s="2507"/>
      <c r="AP298" s="2499">
        <f t="shared" si="72"/>
        <v>14820</v>
      </c>
      <c r="AQ298" s="2500"/>
      <c r="AR298" s="2501"/>
      <c r="AS298" s="2555">
        <f ca="1">SUMIF(内壁・間仕切!A$26:AA$26,F298,内壁・間仕切!A$31:AA$31)+SUMIF(内壁・間仕切!A$54:AA$54,F298,内壁・間仕切!A$59:AA$59)+SUMIF(見積拾!C$63:D$67,F298,見積拾!T$63:T$67)</f>
        <v>0</v>
      </c>
      <c r="AT298" s="2556"/>
      <c r="AU298" s="2556"/>
      <c r="AV298" s="2557"/>
      <c r="AW298" s="2520">
        <f t="shared" ca="1" si="73"/>
        <v>0</v>
      </c>
      <c r="AX298" s="2521"/>
      <c r="AY298" s="2521"/>
      <c r="AZ298" s="2522"/>
      <c r="BA298" s="25" t="b">
        <f t="shared" ca="1" si="74"/>
        <v>0</v>
      </c>
      <c r="BB298"/>
    </row>
    <row r="299" spans="2:54" ht="13.5" customHeight="1">
      <c r="B299" s="2681"/>
      <c r="C299" s="2673"/>
      <c r="D299" s="2682"/>
      <c r="E299" s="322" t="s">
        <v>893</v>
      </c>
      <c r="F299" s="2500" t="s">
        <v>1692</v>
      </c>
      <c r="G299" s="2500"/>
      <c r="H299" s="2500"/>
      <c r="I299" s="2500"/>
      <c r="J299" s="2500"/>
      <c r="K299" s="2500"/>
      <c r="L299" s="2500"/>
      <c r="M299" s="2500"/>
      <c r="N299" s="2500"/>
      <c r="O299" s="2500"/>
      <c r="P299" s="2501"/>
      <c r="Q299" s="2542">
        <v>9510</v>
      </c>
      <c r="R299" s="2518"/>
      <c r="S299" s="2518"/>
      <c r="T299" s="2299" t="s">
        <v>1664</v>
      </c>
      <c r="U299" s="2518" t="s">
        <v>1173</v>
      </c>
      <c r="V299" s="2518"/>
      <c r="W299" s="2518"/>
      <c r="X299" s="2299" t="s">
        <v>895</v>
      </c>
      <c r="Y299" s="2518">
        <v>799</v>
      </c>
      <c r="Z299" s="2518"/>
      <c r="AA299" s="2518"/>
      <c r="AB299" s="2299" t="s">
        <v>923</v>
      </c>
      <c r="AC299" s="2518"/>
      <c r="AD299" s="2518"/>
      <c r="AE299" s="2518"/>
      <c r="AF299" s="1380" t="s">
        <v>923</v>
      </c>
      <c r="AG299" s="2518"/>
      <c r="AH299" s="2518"/>
      <c r="AI299" s="2519"/>
      <c r="AJ299" s="2520">
        <f t="shared" si="71"/>
        <v>10300</v>
      </c>
      <c r="AK299" s="2521"/>
      <c r="AL299" s="2522"/>
      <c r="AM299" s="2505">
        <v>1</v>
      </c>
      <c r="AN299" s="2506"/>
      <c r="AO299" s="2507"/>
      <c r="AP299" s="2499">
        <f t="shared" si="72"/>
        <v>10300</v>
      </c>
      <c r="AQ299" s="2500"/>
      <c r="AR299" s="2501"/>
      <c r="AS299" s="2555">
        <f ca="1">SUMIF(内壁・間仕切!A$26:AA$26,F299,内壁・間仕切!A$31:AA$31)+SUMIF(内壁・間仕切!A$54:AA$54,F299,内壁・間仕切!A$59:AA$59)+SUMIF(見積拾!C$63:D$67,F299,見積拾!T$63:T$67)</f>
        <v>0</v>
      </c>
      <c r="AT299" s="2556"/>
      <c r="AU299" s="2556"/>
      <c r="AV299" s="2557"/>
      <c r="AW299" s="2520">
        <f t="shared" ca="1" si="73"/>
        <v>0</v>
      </c>
      <c r="AX299" s="2521"/>
      <c r="AY299" s="2521"/>
      <c r="AZ299" s="2522"/>
      <c r="BA299" s="25" t="b">
        <f t="shared" ca="1" si="74"/>
        <v>0</v>
      </c>
      <c r="BB299"/>
    </row>
    <row r="300" spans="2:54" s="1996" customFormat="1" ht="13.5" customHeight="1">
      <c r="B300" s="2681"/>
      <c r="C300" s="2673"/>
      <c r="D300" s="2683"/>
      <c r="E300" s="1994" t="s">
        <v>893</v>
      </c>
      <c r="F300" s="2500" t="s">
        <v>1694</v>
      </c>
      <c r="G300" s="2500"/>
      <c r="H300" s="2500"/>
      <c r="I300" s="2500"/>
      <c r="J300" s="2500"/>
      <c r="K300" s="2500"/>
      <c r="L300" s="2500"/>
      <c r="M300" s="2500"/>
      <c r="N300" s="2500"/>
      <c r="O300" s="2500"/>
      <c r="P300" s="2501"/>
      <c r="Q300" s="2542">
        <v>2979</v>
      </c>
      <c r="R300" s="2518"/>
      <c r="S300" s="2518"/>
      <c r="T300" s="2299" t="s">
        <v>1664</v>
      </c>
      <c r="U300" s="2518" t="s">
        <v>1173</v>
      </c>
      <c r="V300" s="2518"/>
      <c r="W300" s="2518"/>
      <c r="X300" s="2299" t="s">
        <v>895</v>
      </c>
      <c r="Y300" s="2518" t="s">
        <v>2290</v>
      </c>
      <c r="Z300" s="2518"/>
      <c r="AA300" s="2518"/>
      <c r="AB300" s="2299" t="s">
        <v>64</v>
      </c>
      <c r="AC300" s="2518"/>
      <c r="AD300" s="2518"/>
      <c r="AE300" s="2518"/>
      <c r="AF300" s="1993" t="s">
        <v>64</v>
      </c>
      <c r="AG300" s="2518"/>
      <c r="AH300" s="2518"/>
      <c r="AI300" s="2519"/>
      <c r="AJ300" s="2520">
        <f t="shared" ref="AJ300" si="75">ROUNDDOWN(SUM(Q300:AI300),-1)</f>
        <v>2970</v>
      </c>
      <c r="AK300" s="2521"/>
      <c r="AL300" s="2522"/>
      <c r="AM300" s="2505">
        <v>1</v>
      </c>
      <c r="AN300" s="2506"/>
      <c r="AO300" s="2507"/>
      <c r="AP300" s="2499">
        <f t="shared" ref="AP300" si="76">INT(AJ300*AM300)</f>
        <v>2970</v>
      </c>
      <c r="AQ300" s="2500"/>
      <c r="AR300" s="2501"/>
      <c r="AS300" s="2555">
        <f ca="1">SUMIF(内壁・間仕切!A$26:AA$26,F300,内壁・間仕切!A$31:AA$31)+SUMIF(内壁・間仕切!A$54:AA$54,F300,内壁・間仕切!A$59:AA$59)+SUMIF(見積拾!C$63:D$67,F300,見積拾!T$63:T$67)</f>
        <v>0</v>
      </c>
      <c r="AT300" s="2556"/>
      <c r="AU300" s="2556"/>
      <c r="AV300" s="2557"/>
      <c r="AW300" s="2520">
        <f t="shared" ref="AW300" ca="1" si="77">INT(AP300*AS300)</f>
        <v>0</v>
      </c>
      <c r="AX300" s="2521"/>
      <c r="AY300" s="2521"/>
      <c r="AZ300" s="2522"/>
      <c r="BA300" s="25" t="b">
        <f t="shared" ref="BA300" ca="1" si="78">AW300&lt;&gt;0</f>
        <v>0</v>
      </c>
    </row>
    <row r="301" spans="2:54" ht="13.5" customHeight="1">
      <c r="B301" s="2681"/>
      <c r="C301" s="2673"/>
      <c r="D301" s="2682"/>
      <c r="E301" s="322" t="s">
        <v>893</v>
      </c>
      <c r="F301" s="2500" t="s">
        <v>2291</v>
      </c>
      <c r="G301" s="2500"/>
      <c r="H301" s="2500"/>
      <c r="I301" s="2500"/>
      <c r="J301" s="2500"/>
      <c r="K301" s="2500"/>
      <c r="L301" s="2500"/>
      <c r="M301" s="2500"/>
      <c r="N301" s="2500"/>
      <c r="O301" s="2500"/>
      <c r="P301" s="2501"/>
      <c r="Q301" s="2542">
        <v>16200</v>
      </c>
      <c r="R301" s="2518"/>
      <c r="S301" s="2518"/>
      <c r="T301" s="2299" t="s">
        <v>1664</v>
      </c>
      <c r="U301" s="2518">
        <v>5324</v>
      </c>
      <c r="V301" s="2518"/>
      <c r="W301" s="2518"/>
      <c r="X301" s="2299" t="s">
        <v>895</v>
      </c>
      <c r="Y301" s="2518">
        <v>1785</v>
      </c>
      <c r="Z301" s="2518"/>
      <c r="AA301" s="2518"/>
      <c r="AB301" s="2299" t="s">
        <v>924</v>
      </c>
      <c r="AC301" s="2518"/>
      <c r="AD301" s="2518"/>
      <c r="AE301" s="2518"/>
      <c r="AF301" s="1380" t="s">
        <v>924</v>
      </c>
      <c r="AG301" s="2518"/>
      <c r="AH301" s="2518"/>
      <c r="AI301" s="2519"/>
      <c r="AJ301" s="2520">
        <f t="shared" si="71"/>
        <v>23300</v>
      </c>
      <c r="AK301" s="2521"/>
      <c r="AL301" s="2522"/>
      <c r="AM301" s="2505">
        <v>1</v>
      </c>
      <c r="AN301" s="2506"/>
      <c r="AO301" s="2507"/>
      <c r="AP301" s="2499">
        <f t="shared" si="72"/>
        <v>23300</v>
      </c>
      <c r="AQ301" s="2500"/>
      <c r="AR301" s="2501"/>
      <c r="AS301" s="2555">
        <f ca="1">SUMIF(内壁・間仕切!A$26:AA$26,F301,内壁・間仕切!A$31:AA$31)+SUMIF(内壁・間仕切!A$54:AA$54,F301,内壁・間仕切!A$59:AA$59)+SUMIF(見積拾!C$63:D$67,F301,見積拾!T$63:T$67)</f>
        <v>0</v>
      </c>
      <c r="AT301" s="2556"/>
      <c r="AU301" s="2556"/>
      <c r="AV301" s="2557"/>
      <c r="AW301" s="2520">
        <f t="shared" ca="1" si="73"/>
        <v>0</v>
      </c>
      <c r="AX301" s="2521"/>
      <c r="AY301" s="2521"/>
      <c r="AZ301" s="2522"/>
      <c r="BA301" s="25" t="b">
        <f t="shared" ca="1" si="74"/>
        <v>0</v>
      </c>
      <c r="BB301"/>
    </row>
    <row r="302" spans="2:54" ht="13.5" customHeight="1">
      <c r="B302" s="2681"/>
      <c r="C302" s="2673"/>
      <c r="D302" s="2682"/>
      <c r="E302" s="327" t="s">
        <v>925</v>
      </c>
      <c r="F302" s="2527" t="s">
        <v>898</v>
      </c>
      <c r="G302" s="2527"/>
      <c r="H302" s="2527"/>
      <c r="I302" s="2527"/>
      <c r="J302" s="2527"/>
      <c r="K302" s="2527"/>
      <c r="L302" s="2527"/>
      <c r="M302" s="2527"/>
      <c r="N302" s="2527"/>
      <c r="O302" s="2527"/>
      <c r="P302" s="2786"/>
      <c r="Q302" s="2724"/>
      <c r="R302" s="2527"/>
      <c r="S302" s="2527"/>
      <c r="T302" s="1388" t="s">
        <v>907</v>
      </c>
      <c r="U302" s="2527"/>
      <c r="V302" s="2527"/>
      <c r="W302" s="2527"/>
      <c r="X302" s="1388" t="s">
        <v>907</v>
      </c>
      <c r="Y302" s="2527"/>
      <c r="Z302" s="2527"/>
      <c r="AA302" s="2527"/>
      <c r="AB302" s="1388" t="s">
        <v>907</v>
      </c>
      <c r="AC302" s="2527"/>
      <c r="AD302" s="2527"/>
      <c r="AE302" s="2527"/>
      <c r="AF302" s="1388" t="s">
        <v>907</v>
      </c>
      <c r="AG302" s="2527"/>
      <c r="AH302" s="2527"/>
      <c r="AI302" s="2786"/>
      <c r="AJ302" s="2543">
        <f t="shared" si="71"/>
        <v>0</v>
      </c>
      <c r="AK302" s="2544"/>
      <c r="AL302" s="2545"/>
      <c r="AM302" s="2505">
        <v>1</v>
      </c>
      <c r="AN302" s="2506"/>
      <c r="AO302" s="2507"/>
      <c r="AP302" s="2499">
        <f t="shared" si="72"/>
        <v>0</v>
      </c>
      <c r="AQ302" s="2500"/>
      <c r="AR302" s="2501"/>
      <c r="AS302" s="2555">
        <f ca="1">SUMIF(内壁・間仕切!A$26:AA$26,F302,内壁・間仕切!A$31:AA$31)+SUMIF(内壁・間仕切!A$54:AA$54,F302,内壁・間仕切!A$59:AA$59)+SUMIF(見積拾!C$63:D$67,F302,見積拾!T$63:T$67)</f>
        <v>0</v>
      </c>
      <c r="AT302" s="2556"/>
      <c r="AU302" s="2556"/>
      <c r="AV302" s="2557"/>
      <c r="AW302" s="2520">
        <f t="shared" ca="1" si="73"/>
        <v>0</v>
      </c>
      <c r="AX302" s="2521"/>
      <c r="AY302" s="2521"/>
      <c r="AZ302" s="2522"/>
      <c r="BA302" s="25" t="b">
        <f t="shared" ca="1" si="74"/>
        <v>0</v>
      </c>
      <c r="BB302"/>
    </row>
    <row r="303" spans="2:54" ht="13.5" customHeight="1" thickBot="1">
      <c r="B303" s="2681"/>
      <c r="C303" s="2673"/>
      <c r="D303" s="2682"/>
      <c r="E303" s="328" t="s">
        <v>918</v>
      </c>
      <c r="F303" s="2656" t="s">
        <v>898</v>
      </c>
      <c r="G303" s="2656"/>
      <c r="H303" s="2656"/>
      <c r="I303" s="2656"/>
      <c r="J303" s="2656"/>
      <c r="K303" s="2656"/>
      <c r="L303" s="2656"/>
      <c r="M303" s="2656"/>
      <c r="N303" s="2656"/>
      <c r="O303" s="2656"/>
      <c r="P303" s="2672"/>
      <c r="Q303" s="2657"/>
      <c r="R303" s="2656"/>
      <c r="S303" s="2656"/>
      <c r="T303" s="1390" t="s">
        <v>907</v>
      </c>
      <c r="U303" s="2656"/>
      <c r="V303" s="2656"/>
      <c r="W303" s="2656"/>
      <c r="X303" s="1390" t="s">
        <v>907</v>
      </c>
      <c r="Y303" s="2656"/>
      <c r="Z303" s="2656"/>
      <c r="AA303" s="2656"/>
      <c r="AB303" s="1390" t="s">
        <v>907</v>
      </c>
      <c r="AC303" s="2656"/>
      <c r="AD303" s="2656"/>
      <c r="AE303" s="2656"/>
      <c r="AF303" s="1390" t="s">
        <v>907</v>
      </c>
      <c r="AG303" s="2656"/>
      <c r="AH303" s="2656"/>
      <c r="AI303" s="2672"/>
      <c r="AJ303" s="2543">
        <f t="shared" si="71"/>
        <v>0</v>
      </c>
      <c r="AK303" s="2544"/>
      <c r="AL303" s="2545"/>
      <c r="AM303" s="2505">
        <v>1</v>
      </c>
      <c r="AN303" s="2506"/>
      <c r="AO303" s="2507"/>
      <c r="AP303" s="3062">
        <f t="shared" si="72"/>
        <v>0</v>
      </c>
      <c r="AQ303" s="3063"/>
      <c r="AR303" s="3064"/>
      <c r="AS303" s="2555">
        <f ca="1">SUMIF(内壁・間仕切!A$26:AA$26,F303,内壁・間仕切!A$31:AA$31)+SUMIF(内壁・間仕切!A$54:AA$54,F303,内壁・間仕切!A$59:AA$59)+SUMIF(見積拾!C$63:D$67,F303,見積拾!T$63:T$67)</f>
        <v>0</v>
      </c>
      <c r="AT303" s="2556"/>
      <c r="AU303" s="2556"/>
      <c r="AV303" s="2557"/>
      <c r="AW303" s="2520">
        <f t="shared" ca="1" si="73"/>
        <v>0</v>
      </c>
      <c r="AX303" s="2521"/>
      <c r="AY303" s="2521"/>
      <c r="AZ303" s="2522"/>
      <c r="BA303" s="25" t="b">
        <f t="shared" ca="1" si="74"/>
        <v>0</v>
      </c>
      <c r="BB303"/>
    </row>
    <row r="304" spans="2:54" ht="13.5" customHeight="1" thickBot="1">
      <c r="B304" s="2684"/>
      <c r="C304" s="2685"/>
      <c r="D304" s="2686"/>
      <c r="E304" s="329"/>
      <c r="F304" s="330"/>
      <c r="G304" s="330"/>
      <c r="H304" s="330"/>
      <c r="I304" s="330"/>
      <c r="J304" s="330"/>
      <c r="K304" s="330"/>
      <c r="L304" s="330"/>
      <c r="M304" s="330"/>
      <c r="N304" s="330"/>
      <c r="O304" s="330"/>
      <c r="P304" s="330"/>
      <c r="Q304" s="329"/>
      <c r="R304" s="330"/>
      <c r="S304" s="330"/>
      <c r="T304" s="330"/>
      <c r="U304" s="330"/>
      <c r="V304" s="330"/>
      <c r="W304" s="330"/>
      <c r="X304" s="330"/>
      <c r="Y304" s="330"/>
      <c r="Z304" s="330"/>
      <c r="AA304" s="330"/>
      <c r="AB304" s="330"/>
      <c r="AC304" s="330"/>
      <c r="AD304" s="330"/>
      <c r="AE304" s="330"/>
      <c r="AF304" s="330"/>
      <c r="AG304" s="330"/>
      <c r="AH304" s="330"/>
      <c r="AI304" s="331"/>
      <c r="AJ304" s="3076" t="str">
        <f ca="1">IF(AS304=内壁・間仕切!C4+見積拾!T68,"面積合計及び部分別評点数","補助票と面積が違います！")</f>
        <v>面積合計及び部分別評点数</v>
      </c>
      <c r="AK304" s="3077"/>
      <c r="AL304" s="3077"/>
      <c r="AM304" s="3077"/>
      <c r="AN304" s="3077"/>
      <c r="AO304" s="3077"/>
      <c r="AP304" s="3077"/>
      <c r="AQ304" s="3077"/>
      <c r="AR304" s="3078"/>
      <c r="AS304" s="3065">
        <f ca="1">SUM(AS280:AV303)</f>
        <v>0</v>
      </c>
      <c r="AT304" s="3066"/>
      <c r="AU304" s="3066"/>
      <c r="AV304" s="3067"/>
      <c r="AW304" s="2668">
        <f ca="1">SUM(AW279:AZ303)</f>
        <v>0</v>
      </c>
      <c r="AX304" s="2668"/>
      <c r="AY304" s="2668"/>
      <c r="AZ304" s="2669"/>
      <c r="BA304" s="25" t="b">
        <v>1</v>
      </c>
    </row>
    <row r="305" spans="1:54" ht="13.5" customHeight="1">
      <c r="BA305" s="25" t="b">
        <v>0</v>
      </c>
    </row>
    <row r="306" spans="1:54" ht="13.5" customHeight="1">
      <c r="BA306" s="25" t="b">
        <v>0</v>
      </c>
    </row>
    <row r="307" spans="1:54" ht="13.5" customHeight="1">
      <c r="C307" s="26" t="s">
        <v>2073</v>
      </c>
      <c r="D307" s="27"/>
      <c r="E307" s="27"/>
      <c r="F307" s="27"/>
      <c r="G307" s="27"/>
      <c r="H307" s="27"/>
      <c r="I307" s="27"/>
      <c r="J307" s="27"/>
      <c r="BA307" s="25" t="b">
        <v>0</v>
      </c>
    </row>
    <row r="308" spans="1:54" ht="13.5" customHeight="1">
      <c r="BA308" s="25" t="b">
        <v>0</v>
      </c>
      <c r="BB308"/>
    </row>
    <row r="309" spans="1:54" ht="13.5" customHeight="1">
      <c r="B309" s="2678" t="s">
        <v>2070</v>
      </c>
      <c r="C309" s="2679"/>
      <c r="D309" s="2680"/>
      <c r="E309" s="291" t="s">
        <v>759</v>
      </c>
      <c r="F309" s="292"/>
      <c r="G309" s="292"/>
      <c r="H309" s="292"/>
      <c r="I309" s="292"/>
      <c r="J309" s="292"/>
      <c r="K309" s="292"/>
      <c r="L309" s="292"/>
      <c r="M309" s="292"/>
      <c r="N309" s="292"/>
      <c r="O309" s="292"/>
      <c r="P309" s="293"/>
      <c r="Q309" s="292" t="s">
        <v>885</v>
      </c>
      <c r="R309" s="292"/>
      <c r="S309" s="292"/>
      <c r="T309" s="320"/>
      <c r="U309" s="292" t="s">
        <v>886</v>
      </c>
      <c r="V309" s="292"/>
      <c r="W309" s="292"/>
      <c r="X309" s="320"/>
      <c r="Y309" s="292" t="s">
        <v>887</v>
      </c>
      <c r="Z309" s="292"/>
      <c r="AA309" s="292"/>
      <c r="AB309" s="320"/>
      <c r="AC309" s="292" t="s">
        <v>888</v>
      </c>
      <c r="AD309" s="292"/>
      <c r="AE309" s="292"/>
      <c r="AF309" s="292" t="s">
        <v>888</v>
      </c>
      <c r="AG309" s="292"/>
      <c r="AH309" s="293"/>
      <c r="AI309" s="293"/>
      <c r="AJ309" s="291" t="s">
        <v>889</v>
      </c>
      <c r="AK309" s="292"/>
      <c r="AL309" s="293"/>
      <c r="AM309" s="291" t="s">
        <v>765</v>
      </c>
      <c r="AN309" s="292"/>
      <c r="AO309" s="293"/>
      <c r="AP309" s="291" t="s">
        <v>890</v>
      </c>
      <c r="AQ309" s="292"/>
      <c r="AR309" s="293"/>
      <c r="AS309" s="294" t="s">
        <v>891</v>
      </c>
      <c r="AT309" s="291"/>
      <c r="AU309" s="291"/>
      <c r="AV309" s="291"/>
      <c r="AW309" s="2658" t="s">
        <v>762</v>
      </c>
      <c r="AX309" s="2658"/>
      <c r="AY309" s="2658"/>
      <c r="AZ309" s="2658"/>
      <c r="BA309" s="25" t="b">
        <v>0</v>
      </c>
      <c r="BB309"/>
    </row>
    <row r="310" spans="1:54" ht="13.5" customHeight="1">
      <c r="A310">
        <f>ROW()</f>
        <v>310</v>
      </c>
      <c r="B310" s="2681"/>
      <c r="C310" s="2673"/>
      <c r="D310" s="2682"/>
      <c r="E310" s="1391" t="s">
        <v>893</v>
      </c>
      <c r="F310" s="3079" t="s">
        <v>914</v>
      </c>
      <c r="G310" s="3079"/>
      <c r="H310" s="3079"/>
      <c r="I310" s="3079"/>
      <c r="J310" s="3079"/>
      <c r="K310" s="3079"/>
      <c r="L310" s="3079"/>
      <c r="M310" s="3079"/>
      <c r="N310" s="3079"/>
      <c r="O310" s="3079"/>
      <c r="P310" s="3080"/>
      <c r="Q310" s="2733"/>
      <c r="R310" s="2691"/>
      <c r="S310" s="2691"/>
      <c r="T310" s="1377"/>
      <c r="U310" s="2691"/>
      <c r="V310" s="2691"/>
      <c r="W310" s="2691"/>
      <c r="X310" s="1377"/>
      <c r="Y310" s="2691"/>
      <c r="Z310" s="2691"/>
      <c r="AA310" s="2691"/>
      <c r="AB310" s="1377"/>
      <c r="AC310" s="2691"/>
      <c r="AD310" s="2691"/>
      <c r="AE310" s="2691"/>
      <c r="AF310" s="1377"/>
      <c r="AG310" s="2691"/>
      <c r="AH310" s="2691"/>
      <c r="AI310" s="2788"/>
      <c r="AJ310" s="2543">
        <f t="shared" ref="AJ310:AJ337" si="79">ROUNDDOWN(SUM(Q310:AI310),-1)</f>
        <v>0</v>
      </c>
      <c r="AK310" s="2544"/>
      <c r="AL310" s="2545"/>
      <c r="AM310" s="2505">
        <v>1</v>
      </c>
      <c r="AN310" s="2506"/>
      <c r="AO310" s="2507"/>
      <c r="AP310" s="2543">
        <f t="shared" ref="AP310:AP337" si="80">INT(AJ310*AM310)</f>
        <v>0</v>
      </c>
      <c r="AQ310" s="2544"/>
      <c r="AR310" s="2545"/>
      <c r="AS310" s="2659"/>
      <c r="AT310" s="2660"/>
      <c r="AU310" s="2660"/>
      <c r="AV310" s="2661"/>
      <c r="AW310" s="2520">
        <f t="shared" ref="AW310:AW337" si="81">INT(AP310*AS310)</f>
        <v>0</v>
      </c>
      <c r="AX310" s="2521"/>
      <c r="AY310" s="2521"/>
      <c r="AZ310" s="2522"/>
      <c r="BA310" s="25" t="b">
        <f ca="1">AW370=0</f>
        <v>1</v>
      </c>
      <c r="BB310"/>
    </row>
    <row r="311" spans="1:54" ht="13.5" customHeight="1">
      <c r="B311" s="2681"/>
      <c r="C311" s="2673"/>
      <c r="D311" s="2682"/>
      <c r="E311" s="1392" t="s">
        <v>65</v>
      </c>
      <c r="F311" s="2500" t="s">
        <v>1697</v>
      </c>
      <c r="G311" s="2500"/>
      <c r="H311" s="2500"/>
      <c r="I311" s="2500"/>
      <c r="J311" s="2500"/>
      <c r="K311" s="2500"/>
      <c r="L311" s="2500"/>
      <c r="M311" s="2500"/>
      <c r="N311" s="2500"/>
      <c r="O311" s="2500"/>
      <c r="P311" s="2501"/>
      <c r="Q311" s="2542">
        <v>36354</v>
      </c>
      <c r="R311" s="2518"/>
      <c r="S311" s="2518"/>
      <c r="T311" s="2299" t="s">
        <v>1664</v>
      </c>
      <c r="U311" s="2518">
        <v>16307</v>
      </c>
      <c r="V311" s="2518"/>
      <c r="W311" s="2518"/>
      <c r="X311" s="2299" t="s">
        <v>895</v>
      </c>
      <c r="Y311" s="2518">
        <v>972</v>
      </c>
      <c r="Z311" s="2518"/>
      <c r="AA311" s="2518"/>
      <c r="AB311" s="2299" t="s">
        <v>926</v>
      </c>
      <c r="AC311" s="2518"/>
      <c r="AD311" s="2518"/>
      <c r="AE311" s="2518"/>
      <c r="AF311" s="1380" t="s">
        <v>926</v>
      </c>
      <c r="AG311" s="2518"/>
      <c r="AH311" s="2518"/>
      <c r="AI311" s="2519"/>
      <c r="AJ311" s="2520">
        <f t="shared" si="79"/>
        <v>53630</v>
      </c>
      <c r="AK311" s="2521"/>
      <c r="AL311" s="2522"/>
      <c r="AM311" s="2505">
        <v>1</v>
      </c>
      <c r="AN311" s="2506"/>
      <c r="AO311" s="2507"/>
      <c r="AP311" s="2499">
        <f t="shared" si="80"/>
        <v>53630</v>
      </c>
      <c r="AQ311" s="2500"/>
      <c r="AR311" s="2501"/>
      <c r="AS311" s="2555">
        <f ca="1">SUMIF(基礎・屋根・外壁!B$183:AE$183,F311,基礎・屋根・外壁!B$188:AE$188)+
 SUMIF(基礎・屋根・外壁!B$208:AE$208,F311,基礎・屋根・外壁!B$213:AE$213)+
 SUMIF(見積拾!C$76:D$80,F311,見積拾!T$76:T$80)</f>
        <v>0</v>
      </c>
      <c r="AT311" s="2556"/>
      <c r="AU311" s="2556"/>
      <c r="AV311" s="2557"/>
      <c r="AW311" s="2520">
        <f t="shared" ca="1" si="81"/>
        <v>0</v>
      </c>
      <c r="AX311" s="2521"/>
      <c r="AY311" s="2521"/>
      <c r="AZ311" s="2522"/>
      <c r="BA311" s="25" t="b">
        <f t="shared" ref="BA311:BA338" ca="1" si="82">AW311&lt;&gt;0</f>
        <v>0</v>
      </c>
      <c r="BB311"/>
    </row>
    <row r="312" spans="1:54" ht="13.5" customHeight="1">
      <c r="B312" s="2681"/>
      <c r="C312" s="2673"/>
      <c r="D312" s="2682"/>
      <c r="E312" s="1392" t="s">
        <v>927</v>
      </c>
      <c r="F312" s="2500" t="s">
        <v>1698</v>
      </c>
      <c r="G312" s="2500"/>
      <c r="H312" s="2500"/>
      <c r="I312" s="2500"/>
      <c r="J312" s="2500"/>
      <c r="K312" s="2500"/>
      <c r="L312" s="2500"/>
      <c r="M312" s="2500"/>
      <c r="N312" s="2500"/>
      <c r="O312" s="2500"/>
      <c r="P312" s="2501"/>
      <c r="Q312" s="2542">
        <v>24909</v>
      </c>
      <c r="R312" s="2518"/>
      <c r="S312" s="2518"/>
      <c r="T312" s="2299" t="s">
        <v>1664</v>
      </c>
      <c r="U312" s="2518">
        <v>11678</v>
      </c>
      <c r="V312" s="2518"/>
      <c r="W312" s="2518"/>
      <c r="X312" s="2299" t="s">
        <v>895</v>
      </c>
      <c r="Y312" s="2518">
        <v>958</v>
      </c>
      <c r="Z312" s="2518"/>
      <c r="AA312" s="2518"/>
      <c r="AB312" s="2299" t="s">
        <v>926</v>
      </c>
      <c r="AC312" s="2518"/>
      <c r="AD312" s="2518"/>
      <c r="AE312" s="2518"/>
      <c r="AF312" s="1380" t="s">
        <v>926</v>
      </c>
      <c r="AG312" s="2518"/>
      <c r="AH312" s="2518"/>
      <c r="AI312" s="2519"/>
      <c r="AJ312" s="2520">
        <f t="shared" si="79"/>
        <v>37540</v>
      </c>
      <c r="AK312" s="2521"/>
      <c r="AL312" s="2522"/>
      <c r="AM312" s="2505">
        <v>1</v>
      </c>
      <c r="AN312" s="2506"/>
      <c r="AO312" s="2507"/>
      <c r="AP312" s="2499">
        <f t="shared" si="80"/>
        <v>37540</v>
      </c>
      <c r="AQ312" s="2500"/>
      <c r="AR312" s="2501"/>
      <c r="AS312" s="2555">
        <f ca="1">SUMIF(基礎・屋根・外壁!B$183:AE$183,F312,基礎・屋根・外壁!B$188:AE$188)+SUMIF(基礎・屋根・外壁!B$208:AE$208,F312,基礎・屋根・外壁!B$213:AE$213)+SUMIF(見積拾!C$76:D$80,F312,見積拾!T$76:T$80)</f>
        <v>0</v>
      </c>
      <c r="AT312" s="2556"/>
      <c r="AU312" s="2556"/>
      <c r="AV312" s="2557"/>
      <c r="AW312" s="2520">
        <f t="shared" ca="1" si="81"/>
        <v>0</v>
      </c>
      <c r="AX312" s="2521"/>
      <c r="AY312" s="2521"/>
      <c r="AZ312" s="2522"/>
      <c r="BA312" s="25" t="b">
        <f t="shared" ca="1" si="82"/>
        <v>0</v>
      </c>
      <c r="BB312"/>
    </row>
    <row r="313" spans="1:54" ht="13.5" customHeight="1">
      <c r="B313" s="2681"/>
      <c r="C313" s="2673"/>
      <c r="D313" s="2682"/>
      <c r="E313" s="1392" t="s">
        <v>927</v>
      </c>
      <c r="F313" s="2500" t="s">
        <v>1699</v>
      </c>
      <c r="G313" s="2500"/>
      <c r="H313" s="2500"/>
      <c r="I313" s="2500"/>
      <c r="J313" s="2500"/>
      <c r="K313" s="2500"/>
      <c r="L313" s="2500"/>
      <c r="M313" s="2500"/>
      <c r="N313" s="2500"/>
      <c r="O313" s="2500"/>
      <c r="P313" s="2501"/>
      <c r="Q313" s="2542">
        <v>13464</v>
      </c>
      <c r="R313" s="2518"/>
      <c r="S313" s="2518"/>
      <c r="T313" s="2299" t="s">
        <v>1664</v>
      </c>
      <c r="U313" s="2518">
        <v>11678</v>
      </c>
      <c r="V313" s="2518"/>
      <c r="W313" s="2518"/>
      <c r="X313" s="2299" t="s">
        <v>895</v>
      </c>
      <c r="Y313" s="2518">
        <v>958</v>
      </c>
      <c r="Z313" s="2518"/>
      <c r="AA313" s="2518"/>
      <c r="AB313" s="2299" t="s">
        <v>926</v>
      </c>
      <c r="AC313" s="2518"/>
      <c r="AD313" s="2518"/>
      <c r="AE313" s="2518"/>
      <c r="AF313" s="1380" t="s">
        <v>926</v>
      </c>
      <c r="AG313" s="2518"/>
      <c r="AH313" s="2518"/>
      <c r="AI313" s="2519"/>
      <c r="AJ313" s="2520">
        <f t="shared" si="79"/>
        <v>26100</v>
      </c>
      <c r="AK313" s="2521"/>
      <c r="AL313" s="2522"/>
      <c r="AM313" s="2505">
        <v>1</v>
      </c>
      <c r="AN313" s="2506"/>
      <c r="AO313" s="2507"/>
      <c r="AP313" s="2499">
        <f t="shared" si="80"/>
        <v>26100</v>
      </c>
      <c r="AQ313" s="2500"/>
      <c r="AR313" s="2501"/>
      <c r="AS313" s="2555">
        <f ca="1">SUMIF(基礎・屋根・外壁!B$183:AE$183,F313,基礎・屋根・外壁!B$188:AE$188)+SUMIF(基礎・屋根・外壁!B$208:AE$208,F313,基礎・屋根・外壁!B$213:AE$213)+SUMIF(見積拾!C$76:D$80,F313,見積拾!T$76:T$80)</f>
        <v>0</v>
      </c>
      <c r="AT313" s="2556"/>
      <c r="AU313" s="2556"/>
      <c r="AV313" s="2557"/>
      <c r="AW313" s="2520">
        <f t="shared" ca="1" si="81"/>
        <v>0</v>
      </c>
      <c r="AX313" s="2521"/>
      <c r="AY313" s="2521"/>
      <c r="AZ313" s="2522"/>
      <c r="BA313" s="25" t="b">
        <f t="shared" ca="1" si="82"/>
        <v>0</v>
      </c>
      <c r="BB313"/>
    </row>
    <row r="314" spans="1:54" ht="13.5" customHeight="1">
      <c r="B314" s="2681"/>
      <c r="C314" s="2673"/>
      <c r="D314" s="2682"/>
      <c r="E314" s="1392" t="s">
        <v>927</v>
      </c>
      <c r="F314" s="2500" t="s">
        <v>1700</v>
      </c>
      <c r="G314" s="2500"/>
      <c r="H314" s="2500"/>
      <c r="I314" s="2500"/>
      <c r="J314" s="2500"/>
      <c r="K314" s="2500"/>
      <c r="L314" s="2500"/>
      <c r="M314" s="2500"/>
      <c r="N314" s="2500"/>
      <c r="O314" s="2500"/>
      <c r="P314" s="2501"/>
      <c r="Q314" s="2542">
        <v>5385</v>
      </c>
      <c r="R314" s="2518"/>
      <c r="S314" s="2518"/>
      <c r="T314" s="2299" t="s">
        <v>1664</v>
      </c>
      <c r="U314" s="2518">
        <v>11678</v>
      </c>
      <c r="V314" s="2518"/>
      <c r="W314" s="2518"/>
      <c r="X314" s="2299" t="s">
        <v>895</v>
      </c>
      <c r="Y314" s="2518">
        <v>958</v>
      </c>
      <c r="Z314" s="2518"/>
      <c r="AA314" s="2518"/>
      <c r="AB314" s="2299" t="s">
        <v>926</v>
      </c>
      <c r="AC314" s="2518"/>
      <c r="AD314" s="2518"/>
      <c r="AE314" s="2518"/>
      <c r="AF314" s="1380" t="s">
        <v>926</v>
      </c>
      <c r="AG314" s="2518"/>
      <c r="AH314" s="2518"/>
      <c r="AI314" s="2519"/>
      <c r="AJ314" s="2520">
        <f t="shared" si="79"/>
        <v>18020</v>
      </c>
      <c r="AK314" s="2521"/>
      <c r="AL314" s="2522"/>
      <c r="AM314" s="2505">
        <v>1</v>
      </c>
      <c r="AN314" s="2506"/>
      <c r="AO314" s="2507"/>
      <c r="AP314" s="2499">
        <f t="shared" si="80"/>
        <v>18020</v>
      </c>
      <c r="AQ314" s="2500"/>
      <c r="AR314" s="2501"/>
      <c r="AS314" s="2555">
        <f ca="1">SUMIF(基礎・屋根・外壁!B$183:AE$183,F314,基礎・屋根・外壁!B$188:AE$188)+SUMIF(基礎・屋根・外壁!B$208:AE$208,F314,基礎・屋根・外壁!B$213:AE$213)+SUMIF(見積拾!C$76:D$80,F314,見積拾!T$76:T$80)</f>
        <v>0</v>
      </c>
      <c r="AT314" s="2556"/>
      <c r="AU314" s="2556"/>
      <c r="AV314" s="2557"/>
      <c r="AW314" s="2520">
        <f t="shared" ca="1" si="81"/>
        <v>0</v>
      </c>
      <c r="AX314" s="2521"/>
      <c r="AY314" s="2521"/>
      <c r="AZ314" s="2522"/>
      <c r="BA314" s="25" t="b">
        <f t="shared" ca="1" si="82"/>
        <v>0</v>
      </c>
      <c r="BB314"/>
    </row>
    <row r="315" spans="1:54" ht="13.5" customHeight="1">
      <c r="B315" s="2681"/>
      <c r="C315" s="2673"/>
      <c r="D315" s="2682"/>
      <c r="E315" s="1392" t="s">
        <v>893</v>
      </c>
      <c r="F315" s="2500" t="s">
        <v>1279</v>
      </c>
      <c r="G315" s="2500"/>
      <c r="H315" s="2500"/>
      <c r="I315" s="2500"/>
      <c r="J315" s="2500"/>
      <c r="K315" s="2500"/>
      <c r="L315" s="2500"/>
      <c r="M315" s="2500"/>
      <c r="N315" s="2500"/>
      <c r="O315" s="2500"/>
      <c r="P315" s="2501"/>
      <c r="Q315" s="2542">
        <v>3820</v>
      </c>
      <c r="R315" s="2518"/>
      <c r="S315" s="2518"/>
      <c r="T315" s="2299" t="s">
        <v>1664</v>
      </c>
      <c r="U315" s="2518" t="s">
        <v>1173</v>
      </c>
      <c r="V315" s="2518"/>
      <c r="W315" s="2518"/>
      <c r="X315" s="2299" t="s">
        <v>895</v>
      </c>
      <c r="Y315" s="2518" t="s">
        <v>1174</v>
      </c>
      <c r="Z315" s="2518"/>
      <c r="AA315" s="2518"/>
      <c r="AB315" s="2299" t="s">
        <v>64</v>
      </c>
      <c r="AC315" s="2518"/>
      <c r="AD315" s="2518"/>
      <c r="AE315" s="2518"/>
      <c r="AF315" s="1380" t="s">
        <v>64</v>
      </c>
      <c r="AG315" s="2518"/>
      <c r="AH315" s="2518"/>
      <c r="AI315" s="2519"/>
      <c r="AJ315" s="2520">
        <f t="shared" si="79"/>
        <v>3820</v>
      </c>
      <c r="AK315" s="2521"/>
      <c r="AL315" s="2522"/>
      <c r="AM315" s="2505">
        <v>1</v>
      </c>
      <c r="AN315" s="2506"/>
      <c r="AO315" s="2507"/>
      <c r="AP315" s="2499">
        <f t="shared" si="80"/>
        <v>3820</v>
      </c>
      <c r="AQ315" s="2500"/>
      <c r="AR315" s="2501"/>
      <c r="AS315" s="2555">
        <f ca="1">SUMIF(基礎・屋根・外壁!B$183:AE$183,F315,基礎・屋根・外壁!B$188:AE$188)+SUMIF(基礎・屋根・外壁!B$208:AE$208,F315,基礎・屋根・外壁!B$213:AE$213)+SUMIF(見積拾!C$76:D$80,F315,見積拾!T$76:T$80)</f>
        <v>0</v>
      </c>
      <c r="AT315" s="2556"/>
      <c r="AU315" s="2556"/>
      <c r="AV315" s="2557"/>
      <c r="AW315" s="2520">
        <f t="shared" ca="1" si="81"/>
        <v>0</v>
      </c>
      <c r="AX315" s="2521"/>
      <c r="AY315" s="2521"/>
      <c r="AZ315" s="2522"/>
      <c r="BA315" s="25" t="b">
        <f t="shared" ca="1" si="82"/>
        <v>0</v>
      </c>
      <c r="BB315"/>
    </row>
    <row r="316" spans="1:54" ht="13.5" customHeight="1">
      <c r="B316" s="2681"/>
      <c r="C316" s="2673"/>
      <c r="D316" s="2682"/>
      <c r="E316" s="1392" t="s">
        <v>893</v>
      </c>
      <c r="F316" s="2500" t="s">
        <v>1701</v>
      </c>
      <c r="G316" s="2500"/>
      <c r="H316" s="2500"/>
      <c r="I316" s="2500"/>
      <c r="J316" s="2500"/>
      <c r="K316" s="2500"/>
      <c r="L316" s="2500"/>
      <c r="M316" s="2500"/>
      <c r="N316" s="2500"/>
      <c r="O316" s="2500"/>
      <c r="P316" s="2501"/>
      <c r="Q316" s="2542" t="s">
        <v>1174</v>
      </c>
      <c r="R316" s="2518"/>
      <c r="S316" s="2518"/>
      <c r="T316" s="2299" t="s">
        <v>1664</v>
      </c>
      <c r="U316" s="2518">
        <v>4730</v>
      </c>
      <c r="V316" s="2518"/>
      <c r="W316" s="2518"/>
      <c r="X316" s="2299" t="s">
        <v>895</v>
      </c>
      <c r="Y316" s="2518">
        <v>377</v>
      </c>
      <c r="Z316" s="2518"/>
      <c r="AA316" s="2518"/>
      <c r="AB316" s="2299" t="s">
        <v>903</v>
      </c>
      <c r="AC316" s="2518"/>
      <c r="AD316" s="2518"/>
      <c r="AE316" s="2518"/>
      <c r="AF316" s="1380" t="s">
        <v>903</v>
      </c>
      <c r="AG316" s="2518"/>
      <c r="AH316" s="2518"/>
      <c r="AI316" s="2519"/>
      <c r="AJ316" s="2520">
        <f t="shared" si="79"/>
        <v>5100</v>
      </c>
      <c r="AK316" s="2521"/>
      <c r="AL316" s="2522"/>
      <c r="AM316" s="2505">
        <v>1</v>
      </c>
      <c r="AN316" s="2506"/>
      <c r="AO316" s="2507"/>
      <c r="AP316" s="2499">
        <f t="shared" si="80"/>
        <v>5100</v>
      </c>
      <c r="AQ316" s="2500"/>
      <c r="AR316" s="2501"/>
      <c r="AS316" s="2555">
        <f ca="1">SUMIF(基礎・屋根・外壁!B$183:AE$183,F316,基礎・屋根・外壁!B$188:AE$188)+SUMIF(基礎・屋根・外壁!B$208:AE$208,F316,基礎・屋根・外壁!B$213:AE$213)+SUMIF(見積拾!C$76:D$80,F316,見積拾!T$76:T$80)</f>
        <v>0</v>
      </c>
      <c r="AT316" s="2556"/>
      <c r="AU316" s="2556"/>
      <c r="AV316" s="2557"/>
      <c r="AW316" s="2520">
        <f t="shared" ca="1" si="81"/>
        <v>0</v>
      </c>
      <c r="AX316" s="2521"/>
      <c r="AY316" s="2521"/>
      <c r="AZ316" s="2522"/>
      <c r="BA316" s="25" t="b">
        <f t="shared" ca="1" si="82"/>
        <v>0</v>
      </c>
      <c r="BB316"/>
    </row>
    <row r="317" spans="1:54" ht="13.5" customHeight="1">
      <c r="B317" s="2681"/>
      <c r="C317" s="2673"/>
      <c r="D317" s="2682"/>
      <c r="E317" s="1392" t="s">
        <v>893</v>
      </c>
      <c r="F317" s="2500" t="s">
        <v>1702</v>
      </c>
      <c r="G317" s="2500"/>
      <c r="H317" s="2500"/>
      <c r="I317" s="2500"/>
      <c r="J317" s="2500"/>
      <c r="K317" s="2500"/>
      <c r="L317" s="2500"/>
      <c r="M317" s="2500"/>
      <c r="N317" s="2500"/>
      <c r="O317" s="2500"/>
      <c r="P317" s="2501"/>
      <c r="Q317" s="2542" t="s">
        <v>1174</v>
      </c>
      <c r="R317" s="2518"/>
      <c r="S317" s="2518"/>
      <c r="T317" s="2299" t="s">
        <v>1664</v>
      </c>
      <c r="U317" s="2518">
        <v>3835</v>
      </c>
      <c r="V317" s="2518"/>
      <c r="W317" s="2518"/>
      <c r="X317" s="2299" t="s">
        <v>895</v>
      </c>
      <c r="Y317" s="2518">
        <v>327</v>
      </c>
      <c r="Z317" s="2518"/>
      <c r="AA317" s="2518"/>
      <c r="AB317" s="2299" t="s">
        <v>64</v>
      </c>
      <c r="AC317" s="2518"/>
      <c r="AD317" s="2518"/>
      <c r="AE317" s="2518"/>
      <c r="AF317" s="1380" t="s">
        <v>64</v>
      </c>
      <c r="AG317" s="2518"/>
      <c r="AH317" s="2518"/>
      <c r="AI317" s="2519"/>
      <c r="AJ317" s="2520">
        <f t="shared" si="79"/>
        <v>4160</v>
      </c>
      <c r="AK317" s="2521"/>
      <c r="AL317" s="2522"/>
      <c r="AM317" s="2505">
        <v>1</v>
      </c>
      <c r="AN317" s="2506"/>
      <c r="AO317" s="2507"/>
      <c r="AP317" s="2499">
        <f t="shared" si="80"/>
        <v>4160</v>
      </c>
      <c r="AQ317" s="2500"/>
      <c r="AR317" s="2501"/>
      <c r="AS317" s="2555">
        <f ca="1">SUMIF(基礎・屋根・外壁!B$183:AE$183,F317,基礎・屋根・外壁!B$188:AE$188)+SUMIF(基礎・屋根・外壁!B$208:AE$208,F317,基礎・屋根・外壁!B$213:AE$213)+SUMIF(見積拾!C$76:D$80,F317,見積拾!T$76:T$80)</f>
        <v>0</v>
      </c>
      <c r="AT317" s="2556"/>
      <c r="AU317" s="2556"/>
      <c r="AV317" s="2557"/>
      <c r="AW317" s="2520">
        <f t="shared" ca="1" si="81"/>
        <v>0</v>
      </c>
      <c r="AX317" s="2521"/>
      <c r="AY317" s="2521"/>
      <c r="AZ317" s="2522"/>
      <c r="BA317" s="25" t="b">
        <f t="shared" ca="1" si="82"/>
        <v>0</v>
      </c>
      <c r="BB317"/>
    </row>
    <row r="318" spans="1:54" ht="13.5" customHeight="1">
      <c r="B318" s="2681"/>
      <c r="C318" s="2673"/>
      <c r="D318" s="2682"/>
      <c r="E318" s="1392" t="s">
        <v>893</v>
      </c>
      <c r="F318" s="2500" t="s">
        <v>1703</v>
      </c>
      <c r="G318" s="2500"/>
      <c r="H318" s="2500"/>
      <c r="I318" s="2500"/>
      <c r="J318" s="2500"/>
      <c r="K318" s="2500"/>
      <c r="L318" s="2500"/>
      <c r="M318" s="2500"/>
      <c r="N318" s="2500"/>
      <c r="O318" s="2500"/>
      <c r="P318" s="2501"/>
      <c r="Q318" s="2542">
        <v>8380</v>
      </c>
      <c r="R318" s="2518"/>
      <c r="S318" s="2518"/>
      <c r="T318" s="2299" t="s">
        <v>1664</v>
      </c>
      <c r="U318" s="2518" t="s">
        <v>1173</v>
      </c>
      <c r="V318" s="2518"/>
      <c r="W318" s="2518"/>
      <c r="X318" s="2299" t="s">
        <v>895</v>
      </c>
      <c r="Y318" s="2518">
        <v>531</v>
      </c>
      <c r="Z318" s="2518"/>
      <c r="AA318" s="2518"/>
      <c r="AB318" s="2299" t="s">
        <v>64</v>
      </c>
      <c r="AC318" s="2518"/>
      <c r="AD318" s="2518"/>
      <c r="AE318" s="2518"/>
      <c r="AF318" s="1380" t="s">
        <v>64</v>
      </c>
      <c r="AG318" s="2518"/>
      <c r="AH318" s="2518"/>
      <c r="AI318" s="2519"/>
      <c r="AJ318" s="2520">
        <f t="shared" si="79"/>
        <v>8910</v>
      </c>
      <c r="AK318" s="2521"/>
      <c r="AL318" s="2522"/>
      <c r="AM318" s="2505">
        <v>1</v>
      </c>
      <c r="AN318" s="2506"/>
      <c r="AO318" s="2507"/>
      <c r="AP318" s="2499">
        <f t="shared" si="80"/>
        <v>8910</v>
      </c>
      <c r="AQ318" s="2500"/>
      <c r="AR318" s="2501"/>
      <c r="AS318" s="2555">
        <f ca="1">SUMIF(基礎・屋根・外壁!B$183:AE$183,F318,基礎・屋根・外壁!B$188:AE$188)+SUMIF(基礎・屋根・外壁!B$208:AE$208,F318,基礎・屋根・外壁!B$213:AE$213)+SUMIF(見積拾!C$76:D$80,F318,見積拾!T$76:T$80)</f>
        <v>0</v>
      </c>
      <c r="AT318" s="2556"/>
      <c r="AU318" s="2556"/>
      <c r="AV318" s="2557"/>
      <c r="AW318" s="2520">
        <f t="shared" ca="1" si="81"/>
        <v>0</v>
      </c>
      <c r="AX318" s="2521"/>
      <c r="AY318" s="2521"/>
      <c r="AZ318" s="2522"/>
      <c r="BA318" s="25" t="b">
        <f t="shared" ca="1" si="82"/>
        <v>0</v>
      </c>
      <c r="BB318"/>
    </row>
    <row r="319" spans="1:54" ht="13.5" customHeight="1">
      <c r="B319" s="2681"/>
      <c r="C319" s="2673"/>
      <c r="D319" s="2682"/>
      <c r="E319" s="1392" t="s">
        <v>893</v>
      </c>
      <c r="F319" s="2500" t="s">
        <v>1704</v>
      </c>
      <c r="G319" s="2500"/>
      <c r="H319" s="2500"/>
      <c r="I319" s="2500"/>
      <c r="J319" s="2500"/>
      <c r="K319" s="2500"/>
      <c r="L319" s="2500"/>
      <c r="M319" s="2500"/>
      <c r="N319" s="2500"/>
      <c r="O319" s="2500"/>
      <c r="P319" s="2501"/>
      <c r="Q319" s="2542">
        <v>4030</v>
      </c>
      <c r="R319" s="2518"/>
      <c r="S319" s="2518"/>
      <c r="T319" s="2299" t="s">
        <v>1664</v>
      </c>
      <c r="U319" s="2518" t="s">
        <v>1173</v>
      </c>
      <c r="V319" s="2518"/>
      <c r="W319" s="2518"/>
      <c r="X319" s="2299" t="s">
        <v>895</v>
      </c>
      <c r="Y319" s="2518">
        <v>531</v>
      </c>
      <c r="Z319" s="2518"/>
      <c r="AA319" s="2518"/>
      <c r="AB319" s="2299" t="s">
        <v>64</v>
      </c>
      <c r="AC319" s="2518"/>
      <c r="AD319" s="2518"/>
      <c r="AE319" s="2518"/>
      <c r="AF319" s="1380" t="s">
        <v>64</v>
      </c>
      <c r="AG319" s="2518"/>
      <c r="AH319" s="2518"/>
      <c r="AI319" s="2519"/>
      <c r="AJ319" s="2520">
        <f t="shared" si="79"/>
        <v>4560</v>
      </c>
      <c r="AK319" s="2521"/>
      <c r="AL319" s="2522"/>
      <c r="AM319" s="2505">
        <v>1</v>
      </c>
      <c r="AN319" s="2506"/>
      <c r="AO319" s="2507"/>
      <c r="AP319" s="2499">
        <f t="shared" si="80"/>
        <v>4560</v>
      </c>
      <c r="AQ319" s="2500"/>
      <c r="AR319" s="2501"/>
      <c r="AS319" s="2555">
        <f ca="1">SUMIF(基礎・屋根・外壁!B$183:AE$183,F319,基礎・屋根・外壁!B$188:AE$188)+SUMIF(基礎・屋根・外壁!B$208:AE$208,F319,基礎・屋根・外壁!B$213:AE$213)+SUMIF(見積拾!C$76:D$80,F319,見積拾!T$76:T$80)</f>
        <v>0</v>
      </c>
      <c r="AT319" s="2556"/>
      <c r="AU319" s="2556"/>
      <c r="AV319" s="2557"/>
      <c r="AW319" s="2520">
        <f t="shared" ca="1" si="81"/>
        <v>0</v>
      </c>
      <c r="AX319" s="2521"/>
      <c r="AY319" s="2521"/>
      <c r="AZ319" s="2522"/>
      <c r="BA319" s="25" t="b">
        <f t="shared" ca="1" si="82"/>
        <v>0</v>
      </c>
      <c r="BB319"/>
    </row>
    <row r="320" spans="1:54" ht="13.5" customHeight="1">
      <c r="B320" s="2681"/>
      <c r="C320" s="2673"/>
      <c r="D320" s="2682"/>
      <c r="E320" s="1392" t="s">
        <v>893</v>
      </c>
      <c r="F320" s="2500" t="s">
        <v>2040</v>
      </c>
      <c r="G320" s="2500"/>
      <c r="H320" s="2500"/>
      <c r="I320" s="2500"/>
      <c r="J320" s="2500"/>
      <c r="K320" s="2500"/>
      <c r="L320" s="2500"/>
      <c r="M320" s="2500"/>
      <c r="N320" s="2500"/>
      <c r="O320" s="2500"/>
      <c r="P320" s="2501"/>
      <c r="Q320" s="2542">
        <v>360</v>
      </c>
      <c r="R320" s="2518"/>
      <c r="S320" s="2518"/>
      <c r="T320" s="2299" t="s">
        <v>1664</v>
      </c>
      <c r="U320" s="2518">
        <v>3300</v>
      </c>
      <c r="V320" s="2518"/>
      <c r="W320" s="2518"/>
      <c r="X320" s="2299" t="s">
        <v>895</v>
      </c>
      <c r="Y320" s="2518">
        <v>826</v>
      </c>
      <c r="Z320" s="2518"/>
      <c r="AA320" s="2518"/>
      <c r="AB320" s="2299" t="s">
        <v>64</v>
      </c>
      <c r="AC320" s="2518"/>
      <c r="AD320" s="2518"/>
      <c r="AE320" s="2518"/>
      <c r="AF320" s="1380" t="s">
        <v>64</v>
      </c>
      <c r="AG320" s="2518"/>
      <c r="AH320" s="2518"/>
      <c r="AI320" s="2519"/>
      <c r="AJ320" s="2520">
        <f t="shared" si="79"/>
        <v>4480</v>
      </c>
      <c r="AK320" s="2521"/>
      <c r="AL320" s="2522"/>
      <c r="AM320" s="2505">
        <v>1</v>
      </c>
      <c r="AN320" s="2506"/>
      <c r="AO320" s="2507"/>
      <c r="AP320" s="2499">
        <f t="shared" si="80"/>
        <v>4480</v>
      </c>
      <c r="AQ320" s="2500"/>
      <c r="AR320" s="2501"/>
      <c r="AS320" s="2555">
        <f ca="1">SUMIF(基礎・屋根・外壁!B$183:AE$183,F320,基礎・屋根・外壁!B$188:AE$188)+SUMIF(基礎・屋根・外壁!B$208:AE$208,F320,基礎・屋根・外壁!B$213:AE$213)+SUMIF(見積拾!C$76:D$80,F320,見積拾!T$76:T$80)</f>
        <v>0</v>
      </c>
      <c r="AT320" s="2556"/>
      <c r="AU320" s="2556"/>
      <c r="AV320" s="2557"/>
      <c r="AW320" s="2520">
        <f t="shared" ca="1" si="81"/>
        <v>0</v>
      </c>
      <c r="AX320" s="2521"/>
      <c r="AY320" s="2521"/>
      <c r="AZ320" s="2522"/>
      <c r="BA320" s="25" t="b">
        <f t="shared" ca="1" si="82"/>
        <v>0</v>
      </c>
      <c r="BB320"/>
    </row>
    <row r="321" spans="2:54" ht="13.5" customHeight="1">
      <c r="B321" s="2681"/>
      <c r="C321" s="2673"/>
      <c r="D321" s="2682"/>
      <c r="E321" s="1392" t="s">
        <v>893</v>
      </c>
      <c r="F321" s="2500" t="s">
        <v>2041</v>
      </c>
      <c r="G321" s="2500"/>
      <c r="H321" s="2500"/>
      <c r="I321" s="2500"/>
      <c r="J321" s="2500"/>
      <c r="K321" s="2500"/>
      <c r="L321" s="2500"/>
      <c r="M321" s="2500"/>
      <c r="N321" s="2500"/>
      <c r="O321" s="2500"/>
      <c r="P321" s="2501"/>
      <c r="Q321" s="2542">
        <v>674</v>
      </c>
      <c r="R321" s="2518"/>
      <c r="S321" s="2518"/>
      <c r="T321" s="2299" t="s">
        <v>1664</v>
      </c>
      <c r="U321" s="2518">
        <v>3300</v>
      </c>
      <c r="V321" s="2518"/>
      <c r="W321" s="2518"/>
      <c r="X321" s="2299" t="s">
        <v>895</v>
      </c>
      <c r="Y321" s="2518">
        <v>1605</v>
      </c>
      <c r="Z321" s="2518"/>
      <c r="AA321" s="2518"/>
      <c r="AB321" s="2299" t="s">
        <v>928</v>
      </c>
      <c r="AC321" s="2518"/>
      <c r="AD321" s="2518"/>
      <c r="AE321" s="2518"/>
      <c r="AF321" s="1380" t="s">
        <v>928</v>
      </c>
      <c r="AG321" s="2518"/>
      <c r="AH321" s="2518"/>
      <c r="AI321" s="2519"/>
      <c r="AJ321" s="2520">
        <f t="shared" si="79"/>
        <v>5570</v>
      </c>
      <c r="AK321" s="2521"/>
      <c r="AL321" s="2522"/>
      <c r="AM321" s="2505">
        <v>1</v>
      </c>
      <c r="AN321" s="2506"/>
      <c r="AO321" s="2507"/>
      <c r="AP321" s="2499">
        <f t="shared" si="80"/>
        <v>5570</v>
      </c>
      <c r="AQ321" s="2500"/>
      <c r="AR321" s="2501"/>
      <c r="AS321" s="2555">
        <f ca="1">SUMIF(基礎・屋根・外壁!B$183:AE$183,F321,基礎・屋根・外壁!B$188:AE$188)+SUMIF(基礎・屋根・外壁!B$208:AE$208,F321,基礎・屋根・外壁!B$213:AE$213)+SUMIF(見積拾!C$76:D$80,F321,見積拾!T$76:T$80)</f>
        <v>0</v>
      </c>
      <c r="AT321" s="2556"/>
      <c r="AU321" s="2556"/>
      <c r="AV321" s="2557"/>
      <c r="AW321" s="2520">
        <f t="shared" ca="1" si="81"/>
        <v>0</v>
      </c>
      <c r="AX321" s="2521"/>
      <c r="AY321" s="2521"/>
      <c r="AZ321" s="2522"/>
      <c r="BA321" s="25" t="b">
        <f t="shared" ca="1" si="82"/>
        <v>0</v>
      </c>
      <c r="BB321" t="s">
        <v>1640</v>
      </c>
    </row>
    <row r="322" spans="2:54" ht="13.5" customHeight="1">
      <c r="B322" s="2681"/>
      <c r="C322" s="2673"/>
      <c r="D322" s="2682"/>
      <c r="E322" s="1392" t="s">
        <v>893</v>
      </c>
      <c r="F322" s="2500" t="s">
        <v>2042</v>
      </c>
      <c r="G322" s="2500"/>
      <c r="H322" s="2500"/>
      <c r="I322" s="2500"/>
      <c r="J322" s="2500"/>
      <c r="K322" s="2500"/>
      <c r="L322" s="2500"/>
      <c r="M322" s="2500"/>
      <c r="N322" s="2500"/>
      <c r="O322" s="2500"/>
      <c r="P322" s="2501"/>
      <c r="Q322" s="2542">
        <v>683</v>
      </c>
      <c r="R322" s="2518"/>
      <c r="S322" s="2518"/>
      <c r="T322" s="2299" t="s">
        <v>1664</v>
      </c>
      <c r="U322" s="2518">
        <v>1925</v>
      </c>
      <c r="V322" s="2518"/>
      <c r="W322" s="2518"/>
      <c r="X322" s="2299" t="s">
        <v>895</v>
      </c>
      <c r="Y322" s="2518">
        <v>975</v>
      </c>
      <c r="Z322" s="2518"/>
      <c r="AA322" s="2518"/>
      <c r="AB322" s="2299" t="s">
        <v>928</v>
      </c>
      <c r="AC322" s="2518"/>
      <c r="AD322" s="2518"/>
      <c r="AE322" s="2518"/>
      <c r="AF322" s="1380" t="s">
        <v>928</v>
      </c>
      <c r="AG322" s="2518"/>
      <c r="AH322" s="2518"/>
      <c r="AI322" s="2519"/>
      <c r="AJ322" s="2520">
        <f t="shared" si="79"/>
        <v>3580</v>
      </c>
      <c r="AK322" s="2521"/>
      <c r="AL322" s="2522"/>
      <c r="AM322" s="2505">
        <v>1</v>
      </c>
      <c r="AN322" s="2506"/>
      <c r="AO322" s="2507"/>
      <c r="AP322" s="2499">
        <f t="shared" si="80"/>
        <v>3580</v>
      </c>
      <c r="AQ322" s="2500"/>
      <c r="AR322" s="2501"/>
      <c r="AS322" s="2555">
        <f ca="1">SUMIF(基礎・屋根・外壁!B$183:AE$183,F322,基礎・屋根・外壁!B$188:AE$188)+SUMIF(基礎・屋根・外壁!B$208:AE$208,F322,基礎・屋根・外壁!B$213:AE$213)+SUMIF(見積拾!C$76:D$80,F322,見積拾!T$76:T$80)</f>
        <v>0</v>
      </c>
      <c r="AT322" s="2556"/>
      <c r="AU322" s="2556"/>
      <c r="AV322" s="2557"/>
      <c r="AW322" s="2520">
        <f t="shared" ca="1" si="81"/>
        <v>0</v>
      </c>
      <c r="AX322" s="2521"/>
      <c r="AY322" s="2521"/>
      <c r="AZ322" s="2522"/>
      <c r="BA322" s="25" t="b">
        <f t="shared" ca="1" si="82"/>
        <v>0</v>
      </c>
    </row>
    <row r="323" spans="2:54" ht="13.5" customHeight="1">
      <c r="B323" s="2681"/>
      <c r="C323" s="2673"/>
      <c r="D323" s="2682"/>
      <c r="E323" s="1392" t="s">
        <v>893</v>
      </c>
      <c r="F323" s="2500" t="s">
        <v>2043</v>
      </c>
      <c r="G323" s="2500"/>
      <c r="H323" s="2500"/>
      <c r="I323" s="2500"/>
      <c r="J323" s="2500"/>
      <c r="K323" s="2500"/>
      <c r="L323" s="2500"/>
      <c r="M323" s="2500"/>
      <c r="N323" s="2500"/>
      <c r="O323" s="2500"/>
      <c r="P323" s="2501"/>
      <c r="Q323" s="2542">
        <v>22500</v>
      </c>
      <c r="R323" s="2518"/>
      <c r="S323" s="2518"/>
      <c r="T323" s="2299" t="s">
        <v>1664</v>
      </c>
      <c r="U323" s="2518">
        <v>8525</v>
      </c>
      <c r="V323" s="2518"/>
      <c r="W323" s="2518"/>
      <c r="X323" s="2299" t="s">
        <v>895</v>
      </c>
      <c r="Y323" s="2518">
        <v>1605</v>
      </c>
      <c r="Z323" s="2518"/>
      <c r="AA323" s="2518"/>
      <c r="AB323" s="2299" t="s">
        <v>922</v>
      </c>
      <c r="AC323" s="2518"/>
      <c r="AD323" s="2518"/>
      <c r="AE323" s="2518"/>
      <c r="AF323" s="1380" t="s">
        <v>922</v>
      </c>
      <c r="AG323" s="2518"/>
      <c r="AH323" s="2518"/>
      <c r="AI323" s="2519"/>
      <c r="AJ323" s="2520">
        <f t="shared" si="79"/>
        <v>32630</v>
      </c>
      <c r="AK323" s="2521"/>
      <c r="AL323" s="2522"/>
      <c r="AM323" s="2505">
        <v>1</v>
      </c>
      <c r="AN323" s="2506"/>
      <c r="AO323" s="2507"/>
      <c r="AP323" s="2499">
        <f t="shared" si="80"/>
        <v>32630</v>
      </c>
      <c r="AQ323" s="2500"/>
      <c r="AR323" s="2501"/>
      <c r="AS323" s="2555">
        <f ca="1">SUMIF(基礎・屋根・外壁!B$183:AE$183,F323,基礎・屋根・外壁!B$188:AE$188)+SUMIF(基礎・屋根・外壁!B$208:AE$208,F323,基礎・屋根・外壁!B$213:AE$213)+SUMIF(見積拾!C$76:D$80,F323,見積拾!T$76:T$80)</f>
        <v>0</v>
      </c>
      <c r="AT323" s="2556"/>
      <c r="AU323" s="2556"/>
      <c r="AV323" s="2557"/>
      <c r="AW323" s="2520">
        <f t="shared" ca="1" si="81"/>
        <v>0</v>
      </c>
      <c r="AX323" s="2521"/>
      <c r="AY323" s="2521"/>
      <c r="AZ323" s="2522"/>
      <c r="BA323" s="25" t="b">
        <f t="shared" ca="1" si="82"/>
        <v>0</v>
      </c>
      <c r="BB323"/>
    </row>
    <row r="324" spans="2:54" ht="13.5" customHeight="1">
      <c r="B324" s="2681"/>
      <c r="C324" s="2673"/>
      <c r="D324" s="2682"/>
      <c r="E324" s="1392" t="s">
        <v>893</v>
      </c>
      <c r="F324" s="2500" t="s">
        <v>2044</v>
      </c>
      <c r="G324" s="2500"/>
      <c r="H324" s="2500"/>
      <c r="I324" s="2500"/>
      <c r="J324" s="2500"/>
      <c r="K324" s="2500"/>
      <c r="L324" s="2500"/>
      <c r="M324" s="2500"/>
      <c r="N324" s="2500"/>
      <c r="O324" s="2500"/>
      <c r="P324" s="2501"/>
      <c r="Q324" s="2542">
        <v>2210</v>
      </c>
      <c r="R324" s="2518"/>
      <c r="S324" s="2518"/>
      <c r="T324" s="2299" t="s">
        <v>1664</v>
      </c>
      <c r="U324" s="2518">
        <v>6875</v>
      </c>
      <c r="V324" s="2518"/>
      <c r="W324" s="2518"/>
      <c r="X324" s="2299" t="s">
        <v>895</v>
      </c>
      <c r="Y324" s="2518">
        <v>1605</v>
      </c>
      <c r="Z324" s="2518"/>
      <c r="AA324" s="2518"/>
      <c r="AB324" s="2299" t="s">
        <v>922</v>
      </c>
      <c r="AC324" s="2518"/>
      <c r="AD324" s="2518"/>
      <c r="AE324" s="2518"/>
      <c r="AF324" s="1380" t="s">
        <v>922</v>
      </c>
      <c r="AG324" s="2518"/>
      <c r="AH324" s="2518"/>
      <c r="AI324" s="2519"/>
      <c r="AJ324" s="2520">
        <f t="shared" si="79"/>
        <v>10690</v>
      </c>
      <c r="AK324" s="2521"/>
      <c r="AL324" s="2522"/>
      <c r="AM324" s="2505">
        <v>1</v>
      </c>
      <c r="AN324" s="2506"/>
      <c r="AO324" s="2507"/>
      <c r="AP324" s="2499">
        <f t="shared" si="80"/>
        <v>10690</v>
      </c>
      <c r="AQ324" s="2500"/>
      <c r="AR324" s="2501"/>
      <c r="AS324" s="2555">
        <f ca="1">SUMIF(基礎・屋根・外壁!B$183:AE$183,F324,基礎・屋根・外壁!B$188:AE$188)+SUMIF(基礎・屋根・外壁!B$208:AE$208,F324,基礎・屋根・外壁!B$213:AE$213)+SUMIF(見積拾!C$76:D$80,F324,見積拾!T$76:T$80)</f>
        <v>0</v>
      </c>
      <c r="AT324" s="2556"/>
      <c r="AU324" s="2556"/>
      <c r="AV324" s="2557"/>
      <c r="AW324" s="2520">
        <f t="shared" ca="1" si="81"/>
        <v>0</v>
      </c>
      <c r="AX324" s="2521"/>
      <c r="AY324" s="2521"/>
      <c r="AZ324" s="2522"/>
      <c r="BA324" s="25" t="b">
        <f t="shared" ca="1" si="82"/>
        <v>0</v>
      </c>
      <c r="BB324"/>
    </row>
    <row r="325" spans="2:54" ht="13.5" customHeight="1">
      <c r="B325" s="2681"/>
      <c r="C325" s="2673"/>
      <c r="D325" s="2682"/>
      <c r="E325" s="1392" t="s">
        <v>893</v>
      </c>
      <c r="F325" s="2500" t="s">
        <v>2045</v>
      </c>
      <c r="G325" s="2500"/>
      <c r="H325" s="2500"/>
      <c r="I325" s="2500"/>
      <c r="J325" s="2500"/>
      <c r="K325" s="2500"/>
      <c r="L325" s="2500"/>
      <c r="M325" s="2500"/>
      <c r="N325" s="2500"/>
      <c r="O325" s="2500"/>
      <c r="P325" s="2501"/>
      <c r="Q325" s="2542">
        <v>506</v>
      </c>
      <c r="R325" s="2518"/>
      <c r="S325" s="2518"/>
      <c r="T325" s="2299" t="s">
        <v>1664</v>
      </c>
      <c r="U325" s="2518">
        <v>6875</v>
      </c>
      <c r="V325" s="2518"/>
      <c r="W325" s="2518"/>
      <c r="X325" s="2299" t="s">
        <v>895</v>
      </c>
      <c r="Y325" s="2518">
        <v>1605</v>
      </c>
      <c r="Z325" s="2518"/>
      <c r="AA325" s="2518"/>
      <c r="AB325" s="2299" t="s">
        <v>922</v>
      </c>
      <c r="AC325" s="2518"/>
      <c r="AD325" s="2518"/>
      <c r="AE325" s="2518"/>
      <c r="AF325" s="1380" t="s">
        <v>922</v>
      </c>
      <c r="AG325" s="2518"/>
      <c r="AH325" s="2518"/>
      <c r="AI325" s="2519"/>
      <c r="AJ325" s="2520">
        <f t="shared" si="79"/>
        <v>8980</v>
      </c>
      <c r="AK325" s="2521"/>
      <c r="AL325" s="2522"/>
      <c r="AM325" s="2505">
        <v>1</v>
      </c>
      <c r="AN325" s="2506"/>
      <c r="AO325" s="2507"/>
      <c r="AP325" s="2499">
        <f t="shared" si="80"/>
        <v>8980</v>
      </c>
      <c r="AQ325" s="2500"/>
      <c r="AR325" s="2501"/>
      <c r="AS325" s="2555">
        <f ca="1">SUMIF(基礎・屋根・外壁!B$183:AE$183,F325,基礎・屋根・外壁!B$188:AE$188)+SUMIF(基礎・屋根・外壁!B$208:AE$208,F325,基礎・屋根・外壁!B$213:AE$213)+SUMIF(見積拾!C$76:D$80,F325,見積拾!T$76:T$80)</f>
        <v>0</v>
      </c>
      <c r="AT325" s="2556"/>
      <c r="AU325" s="2556"/>
      <c r="AV325" s="2557"/>
      <c r="AW325" s="2520">
        <f t="shared" ca="1" si="81"/>
        <v>0</v>
      </c>
      <c r="AX325" s="2521"/>
      <c r="AY325" s="2521"/>
      <c r="AZ325" s="2522"/>
      <c r="BA325" s="25" t="b">
        <f t="shared" ca="1" si="82"/>
        <v>0</v>
      </c>
      <c r="BB325"/>
    </row>
    <row r="326" spans="2:54" ht="13.5" customHeight="1">
      <c r="B326" s="2681"/>
      <c r="C326" s="2673"/>
      <c r="D326" s="2682"/>
      <c r="E326" s="1392" t="s">
        <v>893</v>
      </c>
      <c r="F326" s="2500" t="s">
        <v>1709</v>
      </c>
      <c r="G326" s="2500"/>
      <c r="H326" s="2500"/>
      <c r="I326" s="2500"/>
      <c r="J326" s="2500"/>
      <c r="K326" s="2500"/>
      <c r="L326" s="2500"/>
      <c r="M326" s="2500"/>
      <c r="N326" s="2500"/>
      <c r="O326" s="2500"/>
      <c r="P326" s="2501"/>
      <c r="Q326" s="2542">
        <v>24526</v>
      </c>
      <c r="R326" s="2518"/>
      <c r="S326" s="2518"/>
      <c r="T326" s="2299" t="s">
        <v>1664</v>
      </c>
      <c r="U326" s="2518">
        <v>8525</v>
      </c>
      <c r="V326" s="2518"/>
      <c r="W326" s="2518"/>
      <c r="X326" s="2299" t="s">
        <v>895</v>
      </c>
      <c r="Y326" s="2518">
        <v>1605</v>
      </c>
      <c r="Z326" s="2518"/>
      <c r="AA326" s="2518"/>
      <c r="AB326" s="2299" t="s">
        <v>922</v>
      </c>
      <c r="AC326" s="2518"/>
      <c r="AD326" s="2518"/>
      <c r="AE326" s="2518"/>
      <c r="AF326" s="1380" t="s">
        <v>922</v>
      </c>
      <c r="AG326" s="2518"/>
      <c r="AH326" s="2518"/>
      <c r="AI326" s="2519"/>
      <c r="AJ326" s="2520">
        <f t="shared" si="79"/>
        <v>34650</v>
      </c>
      <c r="AK326" s="2521"/>
      <c r="AL326" s="2522"/>
      <c r="AM326" s="2505">
        <v>1</v>
      </c>
      <c r="AN326" s="2506"/>
      <c r="AO326" s="2507"/>
      <c r="AP326" s="2499">
        <f t="shared" si="80"/>
        <v>34650</v>
      </c>
      <c r="AQ326" s="2500"/>
      <c r="AR326" s="2501"/>
      <c r="AS326" s="2555">
        <f ca="1">SUMIF(基礎・屋根・外壁!B$183:AE$183,F326,基礎・屋根・外壁!B$188:AE$188)+SUMIF(基礎・屋根・外壁!B$208:AE$208,F326,基礎・屋根・外壁!B$213:AE$213)+SUMIF(見積拾!C$76:D$80,F326,見積拾!T$76:T$80)</f>
        <v>0</v>
      </c>
      <c r="AT326" s="2556"/>
      <c r="AU326" s="2556"/>
      <c r="AV326" s="2557"/>
      <c r="AW326" s="2520">
        <f t="shared" ca="1" si="81"/>
        <v>0</v>
      </c>
      <c r="AX326" s="2521"/>
      <c r="AY326" s="2521"/>
      <c r="AZ326" s="2522"/>
      <c r="BA326" s="25" t="b">
        <f t="shared" ca="1" si="82"/>
        <v>0</v>
      </c>
      <c r="BB326"/>
    </row>
    <row r="327" spans="2:54" ht="13.5" customHeight="1">
      <c r="B327" s="2681"/>
      <c r="C327" s="2673"/>
      <c r="D327" s="2682"/>
      <c r="E327" s="1392" t="s">
        <v>893</v>
      </c>
      <c r="F327" s="2500" t="s">
        <v>1710</v>
      </c>
      <c r="G327" s="2500"/>
      <c r="H327" s="2500"/>
      <c r="I327" s="2500"/>
      <c r="J327" s="2500"/>
      <c r="K327" s="2500"/>
      <c r="L327" s="2500"/>
      <c r="M327" s="2500"/>
      <c r="N327" s="2500"/>
      <c r="O327" s="2500"/>
      <c r="P327" s="2501"/>
      <c r="Q327" s="2542">
        <v>7600</v>
      </c>
      <c r="R327" s="2518"/>
      <c r="S327" s="2518"/>
      <c r="T327" s="2299" t="s">
        <v>1664</v>
      </c>
      <c r="U327" s="2518">
        <v>7150</v>
      </c>
      <c r="V327" s="2518"/>
      <c r="W327" s="2518"/>
      <c r="X327" s="2299" t="s">
        <v>895</v>
      </c>
      <c r="Y327" s="2518">
        <v>1605</v>
      </c>
      <c r="Z327" s="2518"/>
      <c r="AA327" s="2518"/>
      <c r="AB327" s="2299" t="s">
        <v>922</v>
      </c>
      <c r="AC327" s="2518"/>
      <c r="AD327" s="2518"/>
      <c r="AE327" s="2518"/>
      <c r="AF327" s="1380" t="s">
        <v>922</v>
      </c>
      <c r="AG327" s="2518"/>
      <c r="AH327" s="2518"/>
      <c r="AI327" s="2519"/>
      <c r="AJ327" s="2520">
        <f t="shared" si="79"/>
        <v>16350</v>
      </c>
      <c r="AK327" s="2521"/>
      <c r="AL327" s="2522"/>
      <c r="AM327" s="2505">
        <v>1</v>
      </c>
      <c r="AN327" s="2506"/>
      <c r="AO327" s="2507"/>
      <c r="AP327" s="2499">
        <f t="shared" si="80"/>
        <v>16350</v>
      </c>
      <c r="AQ327" s="2500"/>
      <c r="AR327" s="2501"/>
      <c r="AS327" s="2555">
        <f ca="1">SUMIF(基礎・屋根・外壁!B$183:AE$183,F327,基礎・屋根・外壁!B$188:AE$188)+SUMIF(基礎・屋根・外壁!B$208:AE$208,F327,基礎・屋根・外壁!B$213:AE$213)+SUMIF(見積拾!C$76:D$80,F327,見積拾!T$76:T$80)</f>
        <v>0</v>
      </c>
      <c r="AT327" s="2556"/>
      <c r="AU327" s="2556"/>
      <c r="AV327" s="2557"/>
      <c r="AW327" s="2520">
        <f t="shared" ca="1" si="81"/>
        <v>0</v>
      </c>
      <c r="AX327" s="2521"/>
      <c r="AY327" s="2521"/>
      <c r="AZ327" s="2522"/>
      <c r="BA327" s="25" t="b">
        <f t="shared" ca="1" si="82"/>
        <v>0</v>
      </c>
      <c r="BB327"/>
    </row>
    <row r="328" spans="2:54" ht="13.5" customHeight="1">
      <c r="B328" s="2681"/>
      <c r="C328" s="2673"/>
      <c r="D328" s="2682"/>
      <c r="E328" s="1392" t="s">
        <v>893</v>
      </c>
      <c r="F328" s="2500" t="s">
        <v>1711</v>
      </c>
      <c r="G328" s="2500"/>
      <c r="H328" s="2500"/>
      <c r="I328" s="2500"/>
      <c r="J328" s="2500"/>
      <c r="K328" s="2500"/>
      <c r="L328" s="2500"/>
      <c r="M328" s="2500"/>
      <c r="N328" s="2500"/>
      <c r="O328" s="2500"/>
      <c r="P328" s="2501"/>
      <c r="Q328" s="2542">
        <v>5200</v>
      </c>
      <c r="R328" s="2518"/>
      <c r="S328" s="2518"/>
      <c r="T328" s="2299" t="s">
        <v>1664</v>
      </c>
      <c r="U328" s="2518">
        <v>2072</v>
      </c>
      <c r="V328" s="2518"/>
      <c r="W328" s="2518"/>
      <c r="X328" s="2299" t="s">
        <v>895</v>
      </c>
      <c r="Y328" s="2518">
        <v>1605</v>
      </c>
      <c r="Z328" s="2518"/>
      <c r="AA328" s="2518"/>
      <c r="AB328" s="2299" t="s">
        <v>922</v>
      </c>
      <c r="AC328" s="2518"/>
      <c r="AD328" s="2518"/>
      <c r="AE328" s="2518"/>
      <c r="AF328" s="1380" t="s">
        <v>922</v>
      </c>
      <c r="AG328" s="2518"/>
      <c r="AH328" s="2518"/>
      <c r="AI328" s="2519"/>
      <c r="AJ328" s="2520">
        <f t="shared" si="79"/>
        <v>8870</v>
      </c>
      <c r="AK328" s="2521"/>
      <c r="AL328" s="2522"/>
      <c r="AM328" s="2505">
        <v>1</v>
      </c>
      <c r="AN328" s="2506"/>
      <c r="AO328" s="2507"/>
      <c r="AP328" s="2499">
        <f t="shared" si="80"/>
        <v>8870</v>
      </c>
      <c r="AQ328" s="2500"/>
      <c r="AR328" s="2501"/>
      <c r="AS328" s="2555">
        <f ca="1">SUMIF(基礎・屋根・外壁!B$183:AE$183,F328,基礎・屋根・外壁!B$188:AE$188)+SUMIF(基礎・屋根・外壁!B$208:AE$208,F328,基礎・屋根・外壁!B$213:AE$213)+SUMIF(見積拾!C$76:D$80,F328,見積拾!T$76:T$80)</f>
        <v>0</v>
      </c>
      <c r="AT328" s="2556"/>
      <c r="AU328" s="2556"/>
      <c r="AV328" s="2557"/>
      <c r="AW328" s="2520">
        <f t="shared" ca="1" si="81"/>
        <v>0</v>
      </c>
      <c r="AX328" s="2521"/>
      <c r="AY328" s="2521"/>
      <c r="AZ328" s="2522"/>
      <c r="BA328" s="25" t="b">
        <f t="shared" ca="1" si="82"/>
        <v>0</v>
      </c>
      <c r="BB328"/>
    </row>
    <row r="329" spans="2:54" ht="13.5" customHeight="1">
      <c r="B329" s="2681"/>
      <c r="C329" s="2673"/>
      <c r="D329" s="2682"/>
      <c r="E329" s="1392" t="s">
        <v>893</v>
      </c>
      <c r="F329" s="2500" t="s">
        <v>1712</v>
      </c>
      <c r="G329" s="2500"/>
      <c r="H329" s="2500"/>
      <c r="I329" s="2500"/>
      <c r="J329" s="2500"/>
      <c r="K329" s="2500"/>
      <c r="L329" s="2500"/>
      <c r="M329" s="2500"/>
      <c r="N329" s="2500"/>
      <c r="O329" s="2500"/>
      <c r="P329" s="2501"/>
      <c r="Q329" s="2542">
        <v>2640</v>
      </c>
      <c r="R329" s="2518"/>
      <c r="S329" s="2518"/>
      <c r="T329" s="2299" t="s">
        <v>1664</v>
      </c>
      <c r="U329" s="2518" t="s">
        <v>1173</v>
      </c>
      <c r="V329" s="2518"/>
      <c r="W329" s="2518"/>
      <c r="X329" s="2299" t="s">
        <v>895</v>
      </c>
      <c r="Y329" s="2518">
        <v>1605</v>
      </c>
      <c r="Z329" s="2518"/>
      <c r="AA329" s="2518"/>
      <c r="AB329" s="2299" t="s">
        <v>922</v>
      </c>
      <c r="AC329" s="2518"/>
      <c r="AD329" s="2518"/>
      <c r="AE329" s="2518"/>
      <c r="AF329" s="1380" t="s">
        <v>922</v>
      </c>
      <c r="AG329" s="2518"/>
      <c r="AH329" s="2518"/>
      <c r="AI329" s="2519"/>
      <c r="AJ329" s="2520">
        <f t="shared" si="79"/>
        <v>4240</v>
      </c>
      <c r="AK329" s="2521"/>
      <c r="AL329" s="2522"/>
      <c r="AM329" s="2505">
        <v>1</v>
      </c>
      <c r="AN329" s="2506"/>
      <c r="AO329" s="2507"/>
      <c r="AP329" s="2499">
        <f t="shared" si="80"/>
        <v>4240</v>
      </c>
      <c r="AQ329" s="2500"/>
      <c r="AR329" s="2501"/>
      <c r="AS329" s="2555">
        <f ca="1">SUMIF(基礎・屋根・外壁!B$183:AE$183,F329,基礎・屋根・外壁!B$188:AE$188)+SUMIF(基礎・屋根・外壁!B$208:AE$208,F329,基礎・屋根・外壁!B$213:AE$213)+SUMIF(見積拾!C$76:D$80,F329,見積拾!T$76:T$80)</f>
        <v>0</v>
      </c>
      <c r="AT329" s="2556"/>
      <c r="AU329" s="2556"/>
      <c r="AV329" s="2557"/>
      <c r="AW329" s="2520">
        <f t="shared" ca="1" si="81"/>
        <v>0</v>
      </c>
      <c r="AX329" s="2521"/>
      <c r="AY329" s="2521"/>
      <c r="AZ329" s="2522"/>
      <c r="BA329" s="25" t="b">
        <f t="shared" ca="1" si="82"/>
        <v>0</v>
      </c>
      <c r="BB329"/>
    </row>
    <row r="330" spans="2:54" ht="13.5" customHeight="1">
      <c r="B330" s="2681"/>
      <c r="C330" s="2673"/>
      <c r="D330" s="2682"/>
      <c r="E330" s="1392" t="s">
        <v>893</v>
      </c>
      <c r="F330" s="2500" t="s">
        <v>1713</v>
      </c>
      <c r="G330" s="2500"/>
      <c r="H330" s="2500"/>
      <c r="I330" s="2500"/>
      <c r="J330" s="2500"/>
      <c r="K330" s="2500"/>
      <c r="L330" s="2500"/>
      <c r="M330" s="2500"/>
      <c r="N330" s="2500"/>
      <c r="O330" s="2500"/>
      <c r="P330" s="2501"/>
      <c r="Q330" s="2542">
        <v>4210</v>
      </c>
      <c r="R330" s="2518"/>
      <c r="S330" s="2518"/>
      <c r="T330" s="2299" t="s">
        <v>1664</v>
      </c>
      <c r="U330" s="2518" t="s">
        <v>1173</v>
      </c>
      <c r="V330" s="2518"/>
      <c r="W330" s="2518"/>
      <c r="X330" s="2299" t="s">
        <v>895</v>
      </c>
      <c r="Y330" s="2518">
        <v>1605</v>
      </c>
      <c r="Z330" s="2518"/>
      <c r="AA330" s="2518"/>
      <c r="AB330" s="2299" t="s">
        <v>922</v>
      </c>
      <c r="AC330" s="2518"/>
      <c r="AD330" s="2518"/>
      <c r="AE330" s="2518"/>
      <c r="AF330" s="1380" t="s">
        <v>922</v>
      </c>
      <c r="AG330" s="2518"/>
      <c r="AH330" s="2518"/>
      <c r="AI330" s="2519"/>
      <c r="AJ330" s="2520">
        <f t="shared" si="79"/>
        <v>5810</v>
      </c>
      <c r="AK330" s="2521"/>
      <c r="AL330" s="2522"/>
      <c r="AM330" s="2505">
        <v>1</v>
      </c>
      <c r="AN330" s="2506"/>
      <c r="AO330" s="2507"/>
      <c r="AP330" s="2499">
        <f t="shared" si="80"/>
        <v>5810</v>
      </c>
      <c r="AQ330" s="2500"/>
      <c r="AR330" s="2501"/>
      <c r="AS330" s="2555">
        <f ca="1">SUMIF(基礎・屋根・外壁!B$183:AE$183,F330,基礎・屋根・外壁!B$188:AE$188)+SUMIF(基礎・屋根・外壁!B$208:AE$208,F330,基礎・屋根・外壁!B$213:AE$213)+SUMIF(見積拾!C$76:D$80,F330,見積拾!T$76:T$80)</f>
        <v>0</v>
      </c>
      <c r="AT330" s="2556"/>
      <c r="AU330" s="2556"/>
      <c r="AV330" s="2557"/>
      <c r="AW330" s="2520">
        <f t="shared" ca="1" si="81"/>
        <v>0</v>
      </c>
      <c r="AX330" s="2521"/>
      <c r="AY330" s="2521"/>
      <c r="AZ330" s="2522"/>
      <c r="BA330" s="25" t="b">
        <f t="shared" ca="1" si="82"/>
        <v>0</v>
      </c>
      <c r="BB330"/>
    </row>
    <row r="331" spans="2:54" ht="13.5" customHeight="1">
      <c r="B331" s="2681"/>
      <c r="C331" s="2673"/>
      <c r="D331" s="2682"/>
      <c r="E331" s="1392" t="s">
        <v>893</v>
      </c>
      <c r="F331" s="2500" t="s">
        <v>1714</v>
      </c>
      <c r="G331" s="2500"/>
      <c r="H331" s="2500"/>
      <c r="I331" s="2500"/>
      <c r="J331" s="2500"/>
      <c r="K331" s="2500"/>
      <c r="L331" s="2500"/>
      <c r="M331" s="2500"/>
      <c r="N331" s="2500"/>
      <c r="O331" s="2500"/>
      <c r="P331" s="2501"/>
      <c r="Q331" s="2542">
        <v>2360</v>
      </c>
      <c r="R331" s="2518"/>
      <c r="S331" s="2518"/>
      <c r="T331" s="2299" t="s">
        <v>1664</v>
      </c>
      <c r="U331" s="2518" t="s">
        <v>1173</v>
      </c>
      <c r="V331" s="2518"/>
      <c r="W331" s="2518"/>
      <c r="X331" s="2299" t="s">
        <v>895</v>
      </c>
      <c r="Y331" s="2518">
        <v>975</v>
      </c>
      <c r="Z331" s="2518"/>
      <c r="AA331" s="2518"/>
      <c r="AB331" s="2299" t="s">
        <v>922</v>
      </c>
      <c r="AC331" s="2518"/>
      <c r="AD331" s="2518"/>
      <c r="AE331" s="2518"/>
      <c r="AF331" s="1380" t="s">
        <v>922</v>
      </c>
      <c r="AG331" s="2518"/>
      <c r="AH331" s="2518"/>
      <c r="AI331" s="2519"/>
      <c r="AJ331" s="2520">
        <f t="shared" si="79"/>
        <v>3330</v>
      </c>
      <c r="AK331" s="2521"/>
      <c r="AL331" s="2522"/>
      <c r="AM331" s="2505">
        <v>1</v>
      </c>
      <c r="AN331" s="2506"/>
      <c r="AO331" s="2507"/>
      <c r="AP331" s="2499">
        <f t="shared" si="80"/>
        <v>3330</v>
      </c>
      <c r="AQ331" s="2500"/>
      <c r="AR331" s="2501"/>
      <c r="AS331" s="2555">
        <f ca="1">SUMIF(基礎・屋根・外壁!B$183:AE$183,F331,基礎・屋根・外壁!B$188:AE$188)+SUMIF(基礎・屋根・外壁!B$208:AE$208,F331,基礎・屋根・外壁!B$213:AE$213)+SUMIF(見積拾!C$76:D$80,F331,見積拾!T$76:T$80)</f>
        <v>0</v>
      </c>
      <c r="AT331" s="2556"/>
      <c r="AU331" s="2556"/>
      <c r="AV331" s="2557"/>
      <c r="AW331" s="2520">
        <f t="shared" ca="1" si="81"/>
        <v>0</v>
      </c>
      <c r="AX331" s="2521"/>
      <c r="AY331" s="2521"/>
      <c r="AZ331" s="2522"/>
      <c r="BA331" s="25" t="b">
        <f t="shared" ca="1" si="82"/>
        <v>0</v>
      </c>
      <c r="BB331"/>
    </row>
    <row r="332" spans="2:54" ht="13.5" customHeight="1">
      <c r="B332" s="2681"/>
      <c r="C332" s="2673"/>
      <c r="D332" s="2682"/>
      <c r="E332" s="1392" t="s">
        <v>893</v>
      </c>
      <c r="F332" s="2500" t="s">
        <v>1715</v>
      </c>
      <c r="G332" s="2500"/>
      <c r="H332" s="2500"/>
      <c r="I332" s="2500"/>
      <c r="J332" s="2500"/>
      <c r="K332" s="2500"/>
      <c r="L332" s="2500"/>
      <c r="M332" s="2500"/>
      <c r="N332" s="2500"/>
      <c r="O332" s="2500"/>
      <c r="P332" s="2501"/>
      <c r="Q332" s="2542">
        <v>2415</v>
      </c>
      <c r="R332" s="2518"/>
      <c r="S332" s="2518"/>
      <c r="T332" s="2299" t="s">
        <v>1664</v>
      </c>
      <c r="U332" s="2518">
        <v>1365</v>
      </c>
      <c r="V332" s="2518"/>
      <c r="W332" s="2518"/>
      <c r="X332" s="2299" t="s">
        <v>895</v>
      </c>
      <c r="Y332" s="2518">
        <v>1605</v>
      </c>
      <c r="Z332" s="2518"/>
      <c r="AA332" s="2518"/>
      <c r="AB332" s="2299" t="s">
        <v>922</v>
      </c>
      <c r="AC332" s="2518"/>
      <c r="AD332" s="2518"/>
      <c r="AE332" s="2518"/>
      <c r="AF332" s="1380" t="s">
        <v>922</v>
      </c>
      <c r="AG332" s="2518"/>
      <c r="AH332" s="2518"/>
      <c r="AI332" s="2519"/>
      <c r="AJ332" s="2520">
        <f t="shared" si="79"/>
        <v>5380</v>
      </c>
      <c r="AK332" s="2521"/>
      <c r="AL332" s="2522"/>
      <c r="AM332" s="2505">
        <v>1</v>
      </c>
      <c r="AN332" s="2506"/>
      <c r="AO332" s="2507"/>
      <c r="AP332" s="2499">
        <f t="shared" si="80"/>
        <v>5380</v>
      </c>
      <c r="AQ332" s="2500"/>
      <c r="AR332" s="2501"/>
      <c r="AS332" s="2555">
        <f ca="1">SUMIF(基礎・屋根・外壁!B$183:AE$183,F332,基礎・屋根・外壁!B$188:AE$188)+SUMIF(基礎・屋根・外壁!B$208:AE$208,F332,基礎・屋根・外壁!B$213:AE$213)+SUMIF(見積拾!C$76:D$80,F332,見積拾!T$76:T$80)</f>
        <v>0</v>
      </c>
      <c r="AT332" s="2556"/>
      <c r="AU332" s="2556"/>
      <c r="AV332" s="2557"/>
      <c r="AW332" s="2520">
        <f t="shared" ca="1" si="81"/>
        <v>0</v>
      </c>
      <c r="AX332" s="2521"/>
      <c r="AY332" s="2521"/>
      <c r="AZ332" s="2522"/>
      <c r="BA332" s="25" t="b">
        <f t="shared" ca="1" si="82"/>
        <v>0</v>
      </c>
      <c r="BB332"/>
    </row>
    <row r="333" spans="2:54" ht="13.5" customHeight="1">
      <c r="B333" s="2681"/>
      <c r="C333" s="2673"/>
      <c r="D333" s="2682"/>
      <c r="E333" s="1392" t="s">
        <v>893</v>
      </c>
      <c r="F333" s="2500" t="s">
        <v>1716</v>
      </c>
      <c r="G333" s="2500"/>
      <c r="H333" s="2500"/>
      <c r="I333" s="2500"/>
      <c r="J333" s="2500"/>
      <c r="K333" s="2500"/>
      <c r="L333" s="2500"/>
      <c r="M333" s="2500"/>
      <c r="N333" s="2500"/>
      <c r="O333" s="2500"/>
      <c r="P333" s="2501"/>
      <c r="Q333" s="2542">
        <v>461</v>
      </c>
      <c r="R333" s="2518"/>
      <c r="S333" s="2518"/>
      <c r="T333" s="2299" t="s">
        <v>1664</v>
      </c>
      <c r="U333" s="2518">
        <v>825</v>
      </c>
      <c r="V333" s="2518"/>
      <c r="W333" s="2518"/>
      <c r="X333" s="2299" t="s">
        <v>895</v>
      </c>
      <c r="Y333" s="2518">
        <v>975</v>
      </c>
      <c r="Z333" s="2518"/>
      <c r="AA333" s="2518"/>
      <c r="AB333" s="2299" t="s">
        <v>922</v>
      </c>
      <c r="AC333" s="2518"/>
      <c r="AD333" s="2518"/>
      <c r="AE333" s="2518"/>
      <c r="AF333" s="1380" t="s">
        <v>922</v>
      </c>
      <c r="AG333" s="2518"/>
      <c r="AH333" s="2518"/>
      <c r="AI333" s="2519"/>
      <c r="AJ333" s="2520">
        <f t="shared" si="79"/>
        <v>2260</v>
      </c>
      <c r="AK333" s="2521"/>
      <c r="AL333" s="2522"/>
      <c r="AM333" s="2505">
        <v>1</v>
      </c>
      <c r="AN333" s="2506"/>
      <c r="AO333" s="2507"/>
      <c r="AP333" s="2561">
        <f t="shared" si="80"/>
        <v>2260</v>
      </c>
      <c r="AQ333" s="2562"/>
      <c r="AR333" s="2563"/>
      <c r="AS333" s="2555">
        <f ca="1">SUMIF(基礎・屋根・外壁!B$183:AE$183,F333,基礎・屋根・外壁!B$188:AE$188)+SUMIF(基礎・屋根・外壁!B$208:AE$208,F333,基礎・屋根・外壁!B$213:AE$213)+SUMIF(見積拾!C$76:D$80,F333,見積拾!T$76:T$80)</f>
        <v>0</v>
      </c>
      <c r="AT333" s="2556"/>
      <c r="AU333" s="2556"/>
      <c r="AV333" s="2557"/>
      <c r="AW333" s="2520">
        <f t="shared" ca="1" si="81"/>
        <v>0</v>
      </c>
      <c r="AX333" s="2521"/>
      <c r="AY333" s="2521"/>
      <c r="AZ333" s="2522"/>
      <c r="BA333" s="25" t="b">
        <f t="shared" ca="1" si="82"/>
        <v>0</v>
      </c>
      <c r="BB333"/>
    </row>
    <row r="334" spans="2:54" ht="13.5" customHeight="1">
      <c r="B334" s="2681"/>
      <c r="C334" s="2673"/>
      <c r="D334" s="2682"/>
      <c r="E334" s="1392" t="s">
        <v>893</v>
      </c>
      <c r="F334" s="2500" t="s">
        <v>1717</v>
      </c>
      <c r="G334" s="2500"/>
      <c r="H334" s="2500"/>
      <c r="I334" s="2500"/>
      <c r="J334" s="2500"/>
      <c r="K334" s="2500"/>
      <c r="L334" s="2500"/>
      <c r="M334" s="2500"/>
      <c r="N334" s="2500"/>
      <c r="O334" s="2500"/>
      <c r="P334" s="2501"/>
      <c r="Q334" s="2542">
        <v>1955</v>
      </c>
      <c r="R334" s="2518"/>
      <c r="S334" s="2518"/>
      <c r="T334" s="2299" t="s">
        <v>1664</v>
      </c>
      <c r="U334" s="2518">
        <v>825</v>
      </c>
      <c r="V334" s="2518"/>
      <c r="W334" s="2518"/>
      <c r="X334" s="2299" t="s">
        <v>895</v>
      </c>
      <c r="Y334" s="2518">
        <v>975</v>
      </c>
      <c r="Z334" s="2518"/>
      <c r="AA334" s="2518"/>
      <c r="AB334" s="2299" t="s">
        <v>922</v>
      </c>
      <c r="AC334" s="2518"/>
      <c r="AD334" s="2518"/>
      <c r="AE334" s="2518"/>
      <c r="AF334" s="1380" t="s">
        <v>922</v>
      </c>
      <c r="AG334" s="2518"/>
      <c r="AH334" s="2518"/>
      <c r="AI334" s="2519"/>
      <c r="AJ334" s="2520">
        <f t="shared" si="79"/>
        <v>3750</v>
      </c>
      <c r="AK334" s="2521"/>
      <c r="AL334" s="2522"/>
      <c r="AM334" s="2505">
        <v>1</v>
      </c>
      <c r="AN334" s="2506"/>
      <c r="AO334" s="2507"/>
      <c r="AP334" s="2561">
        <f t="shared" si="80"/>
        <v>3750</v>
      </c>
      <c r="AQ334" s="2562"/>
      <c r="AR334" s="2563"/>
      <c r="AS334" s="2555">
        <f ca="1">SUMIF(基礎・屋根・外壁!B$183:AE$183,F334,基礎・屋根・外壁!B$188:AE$188)+SUMIF(基礎・屋根・外壁!B$208:AE$208,F334,基礎・屋根・外壁!B$213:AE$213)+SUMIF(見積拾!C$76:D$80,F334,見積拾!T$76:T$80)</f>
        <v>0</v>
      </c>
      <c r="AT334" s="2556"/>
      <c r="AU334" s="2556"/>
      <c r="AV334" s="2557"/>
      <c r="AW334" s="2520">
        <f t="shared" ca="1" si="81"/>
        <v>0</v>
      </c>
      <c r="AX334" s="2521"/>
      <c r="AY334" s="2521"/>
      <c r="AZ334" s="2522"/>
      <c r="BA334" s="25" t="b">
        <f t="shared" ca="1" si="82"/>
        <v>0</v>
      </c>
      <c r="BB334"/>
    </row>
    <row r="335" spans="2:54" ht="13.5" customHeight="1">
      <c r="B335" s="2681"/>
      <c r="C335" s="2673"/>
      <c r="D335" s="2682"/>
      <c r="E335" s="1392" t="s">
        <v>893</v>
      </c>
      <c r="F335" s="2500" t="s">
        <v>1718</v>
      </c>
      <c r="G335" s="2500"/>
      <c r="H335" s="2500"/>
      <c r="I335" s="2500"/>
      <c r="J335" s="2500"/>
      <c r="K335" s="2500"/>
      <c r="L335" s="2500"/>
      <c r="M335" s="2500"/>
      <c r="N335" s="2500"/>
      <c r="O335" s="2500"/>
      <c r="P335" s="2501"/>
      <c r="Q335" s="2542">
        <v>6550</v>
      </c>
      <c r="R335" s="2518"/>
      <c r="S335" s="2518"/>
      <c r="T335" s="2299" t="s">
        <v>1664</v>
      </c>
      <c r="U335" s="2518">
        <v>825</v>
      </c>
      <c r="V335" s="2518"/>
      <c r="W335" s="2518"/>
      <c r="X335" s="2299" t="s">
        <v>895</v>
      </c>
      <c r="Y335" s="2518">
        <v>975</v>
      </c>
      <c r="Z335" s="2518"/>
      <c r="AA335" s="2518"/>
      <c r="AB335" s="2299" t="s">
        <v>922</v>
      </c>
      <c r="AC335" s="2518"/>
      <c r="AD335" s="2518"/>
      <c r="AE335" s="2518"/>
      <c r="AF335" s="1380" t="s">
        <v>922</v>
      </c>
      <c r="AG335" s="2518"/>
      <c r="AH335" s="2518"/>
      <c r="AI335" s="2519"/>
      <c r="AJ335" s="2520">
        <f t="shared" si="79"/>
        <v>8350</v>
      </c>
      <c r="AK335" s="2521"/>
      <c r="AL335" s="2522"/>
      <c r="AM335" s="2505">
        <v>1</v>
      </c>
      <c r="AN335" s="2506"/>
      <c r="AO335" s="2507"/>
      <c r="AP335" s="2561">
        <f t="shared" si="80"/>
        <v>8350</v>
      </c>
      <c r="AQ335" s="2562"/>
      <c r="AR335" s="2563"/>
      <c r="AS335" s="2555">
        <f ca="1">SUMIF(基礎・屋根・外壁!B$183:AE$183,F335,基礎・屋根・外壁!B$188:AE$188)+SUMIF(基礎・屋根・外壁!B$208:AE$208,F335,基礎・屋根・外壁!B$213:AE$213)+SUMIF(見積拾!C$76:D$80,F335,見積拾!T$76:T$80)</f>
        <v>0</v>
      </c>
      <c r="AT335" s="2556"/>
      <c r="AU335" s="2556"/>
      <c r="AV335" s="2557"/>
      <c r="AW335" s="2520">
        <f t="shared" ca="1" si="81"/>
        <v>0</v>
      </c>
      <c r="AX335" s="2521"/>
      <c r="AY335" s="2521"/>
      <c r="AZ335" s="2522"/>
      <c r="BA335" s="25" t="b">
        <f t="shared" ca="1" si="82"/>
        <v>0</v>
      </c>
      <c r="BB335"/>
    </row>
    <row r="336" spans="2:54" ht="13.5" customHeight="1">
      <c r="B336" s="2681"/>
      <c r="C336" s="2673"/>
      <c r="D336" s="2682"/>
      <c r="E336" s="1392" t="s">
        <v>893</v>
      </c>
      <c r="F336" s="2500" t="s">
        <v>1719</v>
      </c>
      <c r="G336" s="2500"/>
      <c r="H336" s="2500"/>
      <c r="I336" s="2500"/>
      <c r="J336" s="2500"/>
      <c r="K336" s="2500"/>
      <c r="L336" s="2500"/>
      <c r="M336" s="2500"/>
      <c r="N336" s="2500"/>
      <c r="O336" s="2500"/>
      <c r="P336" s="2501"/>
      <c r="Q336" s="2542">
        <v>2437</v>
      </c>
      <c r="R336" s="2518"/>
      <c r="S336" s="2518"/>
      <c r="T336" s="2299" t="s">
        <v>1664</v>
      </c>
      <c r="U336" s="2518">
        <v>2530</v>
      </c>
      <c r="V336" s="2518"/>
      <c r="W336" s="2518"/>
      <c r="X336" s="2299" t="s">
        <v>895</v>
      </c>
      <c r="Y336" s="2518">
        <v>975</v>
      </c>
      <c r="Z336" s="2518"/>
      <c r="AA336" s="2518"/>
      <c r="AB336" s="2299" t="s">
        <v>930</v>
      </c>
      <c r="AC336" s="2518"/>
      <c r="AD336" s="2518"/>
      <c r="AE336" s="2518"/>
      <c r="AF336" s="1380" t="s">
        <v>930</v>
      </c>
      <c r="AG336" s="2518"/>
      <c r="AH336" s="2518"/>
      <c r="AI336" s="2519"/>
      <c r="AJ336" s="2520">
        <f t="shared" si="79"/>
        <v>5940</v>
      </c>
      <c r="AK336" s="2521"/>
      <c r="AL336" s="2522"/>
      <c r="AM336" s="2505">
        <v>1</v>
      </c>
      <c r="AN336" s="2506"/>
      <c r="AO336" s="2507"/>
      <c r="AP336" s="2561">
        <f t="shared" si="80"/>
        <v>5940</v>
      </c>
      <c r="AQ336" s="2562"/>
      <c r="AR336" s="2563"/>
      <c r="AS336" s="2555">
        <f ca="1">SUMIF(基礎・屋根・外壁!B$183:AE$183,F336,基礎・屋根・外壁!B$188:AE$188)+SUMIF(基礎・屋根・外壁!B$208:AE$208,F336,基礎・屋根・外壁!B$213:AE$213)+SUMIF(見積拾!C$76:D$80,F336,見積拾!T$76:T$80)</f>
        <v>0</v>
      </c>
      <c r="AT336" s="2556"/>
      <c r="AU336" s="2556"/>
      <c r="AV336" s="2557"/>
      <c r="AW336" s="2520">
        <f t="shared" ca="1" si="81"/>
        <v>0</v>
      </c>
      <c r="AX336" s="2521"/>
      <c r="AY336" s="2521"/>
      <c r="AZ336" s="2522"/>
      <c r="BA336" s="25" t="b">
        <f t="shared" ca="1" si="82"/>
        <v>0</v>
      </c>
      <c r="BB336"/>
    </row>
    <row r="337" spans="2:54" ht="13.5" customHeight="1">
      <c r="B337" s="2681"/>
      <c r="C337" s="2673"/>
      <c r="D337" s="2682"/>
      <c r="E337" s="1392" t="s">
        <v>893</v>
      </c>
      <c r="F337" s="2500" t="s">
        <v>2036</v>
      </c>
      <c r="G337" s="2500"/>
      <c r="H337" s="2500"/>
      <c r="I337" s="2500"/>
      <c r="J337" s="2500"/>
      <c r="K337" s="2500"/>
      <c r="L337" s="2500"/>
      <c r="M337" s="2500"/>
      <c r="N337" s="2500"/>
      <c r="O337" s="2500"/>
      <c r="P337" s="2501"/>
      <c r="Q337" s="2542">
        <v>37600</v>
      </c>
      <c r="R337" s="2518"/>
      <c r="S337" s="2518"/>
      <c r="T337" s="2299" t="s">
        <v>1664</v>
      </c>
      <c r="U337" s="2518" t="s">
        <v>1173</v>
      </c>
      <c r="V337" s="2518"/>
      <c r="W337" s="2518"/>
      <c r="X337" s="2299" t="s">
        <v>895</v>
      </c>
      <c r="Y337" s="2518" t="s">
        <v>1174</v>
      </c>
      <c r="Z337" s="2518"/>
      <c r="AA337" s="2518"/>
      <c r="AB337" s="2299" t="s">
        <v>930</v>
      </c>
      <c r="AC337" s="2518"/>
      <c r="AD337" s="2518"/>
      <c r="AE337" s="2518"/>
      <c r="AF337" s="1380" t="s">
        <v>930</v>
      </c>
      <c r="AG337" s="2518"/>
      <c r="AH337" s="2518"/>
      <c r="AI337" s="2519"/>
      <c r="AJ337" s="2520">
        <f t="shared" si="79"/>
        <v>37600</v>
      </c>
      <c r="AK337" s="2521"/>
      <c r="AL337" s="2522"/>
      <c r="AM337" s="2505">
        <v>1</v>
      </c>
      <c r="AN337" s="2506"/>
      <c r="AO337" s="2507"/>
      <c r="AP337" s="2561">
        <f t="shared" si="80"/>
        <v>37600</v>
      </c>
      <c r="AQ337" s="2562"/>
      <c r="AR337" s="2563"/>
      <c r="AS337" s="2555">
        <f ca="1">SUMIF(基礎・屋根・外壁!B$183:AE$183,F337,基礎・屋根・外壁!B$188:AE$188)+SUMIF(基礎・屋根・外壁!B$208:AE$208,F337,基礎・屋根・外壁!B$213:AE$213)+SUMIF(見積拾!C$76:D$80,F337,見積拾!T$76:T$80)</f>
        <v>0</v>
      </c>
      <c r="AT337" s="2556"/>
      <c r="AU337" s="2556"/>
      <c r="AV337" s="2557"/>
      <c r="AW337" s="2520">
        <f t="shared" ca="1" si="81"/>
        <v>0</v>
      </c>
      <c r="AX337" s="2521"/>
      <c r="AY337" s="2521"/>
      <c r="AZ337" s="2522"/>
      <c r="BA337" s="25" t="b">
        <f t="shared" ca="1" si="82"/>
        <v>0</v>
      </c>
      <c r="BB337"/>
    </row>
    <row r="338" spans="2:54" ht="13.5" customHeight="1">
      <c r="B338" s="2681"/>
      <c r="C338" s="2673"/>
      <c r="D338" s="2682"/>
      <c r="E338" s="1392" t="s">
        <v>893</v>
      </c>
      <c r="F338" s="2500" t="s">
        <v>2037</v>
      </c>
      <c r="G338" s="2500"/>
      <c r="H338" s="2500"/>
      <c r="I338" s="2500"/>
      <c r="J338" s="2500"/>
      <c r="K338" s="2500"/>
      <c r="L338" s="2500"/>
      <c r="M338" s="2500"/>
      <c r="N338" s="2500"/>
      <c r="O338" s="2500"/>
      <c r="P338" s="2501"/>
      <c r="Q338" s="2542">
        <v>21891</v>
      </c>
      <c r="R338" s="2518"/>
      <c r="S338" s="2518"/>
      <c r="T338" s="2299" t="s">
        <v>1664</v>
      </c>
      <c r="U338" s="2518" t="s">
        <v>1173</v>
      </c>
      <c r="V338" s="2518"/>
      <c r="W338" s="2518"/>
      <c r="X338" s="2299" t="s">
        <v>895</v>
      </c>
      <c r="Y338" s="2518" t="s">
        <v>1174</v>
      </c>
      <c r="Z338" s="2518"/>
      <c r="AA338" s="2518"/>
      <c r="AB338" s="2299" t="s">
        <v>931</v>
      </c>
      <c r="AC338" s="2518"/>
      <c r="AD338" s="2518"/>
      <c r="AE338" s="2518"/>
      <c r="AF338" s="1380" t="s">
        <v>931</v>
      </c>
      <c r="AG338" s="2518"/>
      <c r="AH338" s="2518"/>
      <c r="AI338" s="2519"/>
      <c r="AJ338" s="2520">
        <f t="shared" ref="AJ338:AJ354" si="83">ROUNDDOWN(SUM(Q338:AI338),-1)</f>
        <v>21890</v>
      </c>
      <c r="AK338" s="2521"/>
      <c r="AL338" s="2522"/>
      <c r="AM338" s="2505">
        <v>1</v>
      </c>
      <c r="AN338" s="2506"/>
      <c r="AO338" s="2507"/>
      <c r="AP338" s="2561">
        <f t="shared" ref="AP338:AP354" si="84">INT(AJ338*AM338)</f>
        <v>21890</v>
      </c>
      <c r="AQ338" s="2562"/>
      <c r="AR338" s="2563"/>
      <c r="AS338" s="2555">
        <f ca="1">SUMIF(基礎・屋根・外壁!B$183:AE$183,F338,基礎・屋根・外壁!B$188:AE$188)+SUMIF(基礎・屋根・外壁!B$208:AE$208,F338,基礎・屋根・外壁!B$213:AE$213)+SUMIF(見積拾!C$76:D$80,F338,見積拾!T$76:T$80)</f>
        <v>0</v>
      </c>
      <c r="AT338" s="2556"/>
      <c r="AU338" s="2556"/>
      <c r="AV338" s="2557"/>
      <c r="AW338" s="2520">
        <f t="shared" ref="AW338:AW354" ca="1" si="85">INT(AP338*AS338)</f>
        <v>0</v>
      </c>
      <c r="AX338" s="2521"/>
      <c r="AY338" s="2521"/>
      <c r="AZ338" s="2522"/>
      <c r="BA338" s="25" t="b">
        <f t="shared" ca="1" si="82"/>
        <v>0</v>
      </c>
      <c r="BB338"/>
    </row>
    <row r="339" spans="2:54" ht="13.5" customHeight="1">
      <c r="B339" s="2681"/>
      <c r="C339" s="2673"/>
      <c r="D339" s="2682"/>
      <c r="E339" s="1392" t="s">
        <v>893</v>
      </c>
      <c r="F339" s="2500" t="s">
        <v>1720</v>
      </c>
      <c r="G339" s="2500"/>
      <c r="H339" s="2500"/>
      <c r="I339" s="2500"/>
      <c r="J339" s="2500"/>
      <c r="K339" s="2500"/>
      <c r="L339" s="2500"/>
      <c r="M339" s="2500"/>
      <c r="N339" s="2500"/>
      <c r="O339" s="2500"/>
      <c r="P339" s="2501"/>
      <c r="Q339" s="2542">
        <v>56521</v>
      </c>
      <c r="R339" s="2518"/>
      <c r="S339" s="2518"/>
      <c r="T339" s="2299" t="s">
        <v>1664</v>
      </c>
      <c r="U339" s="2518" t="s">
        <v>1173</v>
      </c>
      <c r="V339" s="2518"/>
      <c r="W339" s="2518"/>
      <c r="X339" s="2299" t="s">
        <v>895</v>
      </c>
      <c r="Y339" s="2518" t="s">
        <v>1174</v>
      </c>
      <c r="Z339" s="2518"/>
      <c r="AA339" s="2518"/>
      <c r="AB339" s="2299" t="s">
        <v>931</v>
      </c>
      <c r="AC339" s="2518"/>
      <c r="AD339" s="2518"/>
      <c r="AE339" s="2518"/>
      <c r="AF339" s="1380" t="s">
        <v>931</v>
      </c>
      <c r="AG339" s="2518"/>
      <c r="AH339" s="2518"/>
      <c r="AI339" s="2519"/>
      <c r="AJ339" s="2520">
        <f t="shared" si="83"/>
        <v>56520</v>
      </c>
      <c r="AK339" s="2521"/>
      <c r="AL339" s="2522"/>
      <c r="AM339" s="2505">
        <v>1</v>
      </c>
      <c r="AN339" s="2506"/>
      <c r="AO339" s="2507"/>
      <c r="AP339" s="2561">
        <f t="shared" si="84"/>
        <v>56520</v>
      </c>
      <c r="AQ339" s="2562"/>
      <c r="AR339" s="2563"/>
      <c r="AS339" s="2555">
        <f ca="1">SUMIF(基礎・屋根・外壁!B$183:AE$183,F339,基礎・屋根・外壁!B$188:AE$188)+SUMIF(基礎・屋根・外壁!B$208:AE$208,F339,基礎・屋根・外壁!B$213:AE$213)+SUMIF(見積拾!C$76:D$80,F339,見積拾!T$76:T$80)</f>
        <v>0</v>
      </c>
      <c r="AT339" s="2556"/>
      <c r="AU339" s="2556"/>
      <c r="AV339" s="2557"/>
      <c r="AW339" s="2520">
        <f t="shared" ca="1" si="85"/>
        <v>0</v>
      </c>
      <c r="AX339" s="2521"/>
      <c r="AY339" s="2521"/>
      <c r="AZ339" s="2522"/>
      <c r="BA339" s="25" t="b">
        <f t="shared" ref="BA339:BA354" ca="1" si="86">AW339&lt;&gt;0</f>
        <v>0</v>
      </c>
      <c r="BB339"/>
    </row>
    <row r="340" spans="2:54" ht="13.5" customHeight="1">
      <c r="B340" s="2681"/>
      <c r="C340" s="2673"/>
      <c r="D340" s="2682"/>
      <c r="E340" s="1392" t="s">
        <v>893</v>
      </c>
      <c r="F340" s="2500" t="s">
        <v>1721</v>
      </c>
      <c r="G340" s="2500"/>
      <c r="H340" s="2500"/>
      <c r="I340" s="2500"/>
      <c r="J340" s="2500"/>
      <c r="K340" s="2500"/>
      <c r="L340" s="2500"/>
      <c r="M340" s="2500"/>
      <c r="N340" s="2500"/>
      <c r="O340" s="2500"/>
      <c r="P340" s="2501"/>
      <c r="Q340" s="2542">
        <v>34220</v>
      </c>
      <c r="R340" s="2518"/>
      <c r="S340" s="2518"/>
      <c r="T340" s="2299" t="s">
        <v>1664</v>
      </c>
      <c r="U340" s="2518" t="s">
        <v>1173</v>
      </c>
      <c r="V340" s="2518"/>
      <c r="W340" s="2518"/>
      <c r="X340" s="2299" t="s">
        <v>895</v>
      </c>
      <c r="Y340" s="2518" t="s">
        <v>1174</v>
      </c>
      <c r="Z340" s="2518"/>
      <c r="AA340" s="2518"/>
      <c r="AB340" s="2299" t="s">
        <v>931</v>
      </c>
      <c r="AC340" s="2518"/>
      <c r="AD340" s="2518"/>
      <c r="AE340" s="2518"/>
      <c r="AF340" s="1380" t="s">
        <v>931</v>
      </c>
      <c r="AG340" s="2518"/>
      <c r="AH340" s="2518"/>
      <c r="AI340" s="2519"/>
      <c r="AJ340" s="2520">
        <f t="shared" si="83"/>
        <v>34220</v>
      </c>
      <c r="AK340" s="2521"/>
      <c r="AL340" s="2522"/>
      <c r="AM340" s="2505">
        <v>1</v>
      </c>
      <c r="AN340" s="2506"/>
      <c r="AO340" s="2507"/>
      <c r="AP340" s="2561">
        <f t="shared" si="84"/>
        <v>34220</v>
      </c>
      <c r="AQ340" s="2562"/>
      <c r="AR340" s="2563"/>
      <c r="AS340" s="2555">
        <f ca="1">SUMIF(基礎・屋根・外壁!B$183:AE$183,F340,基礎・屋根・外壁!B$188:AE$188)+SUMIF(基礎・屋根・外壁!B$208:AE$208,F340,基礎・屋根・外壁!B$213:AE$213)+SUMIF(見積拾!C$76:D$80,F340,見積拾!T$76:T$80)</f>
        <v>0</v>
      </c>
      <c r="AT340" s="2556"/>
      <c r="AU340" s="2556"/>
      <c r="AV340" s="2557"/>
      <c r="AW340" s="2520">
        <f t="shared" ca="1" si="85"/>
        <v>0</v>
      </c>
      <c r="AX340" s="2521"/>
      <c r="AY340" s="2521"/>
      <c r="AZ340" s="2522"/>
      <c r="BA340" s="25" t="b">
        <f t="shared" ca="1" si="86"/>
        <v>0</v>
      </c>
      <c r="BB340"/>
    </row>
    <row r="341" spans="2:54" ht="13.5" customHeight="1">
      <c r="B341" s="2681"/>
      <c r="C341" s="2673"/>
      <c r="D341" s="2682"/>
      <c r="E341" s="1392" t="s">
        <v>893</v>
      </c>
      <c r="F341" s="2500" t="s">
        <v>1722</v>
      </c>
      <c r="G341" s="2500"/>
      <c r="H341" s="2500"/>
      <c r="I341" s="2500"/>
      <c r="J341" s="2500"/>
      <c r="K341" s="2500"/>
      <c r="L341" s="2500"/>
      <c r="M341" s="2500"/>
      <c r="N341" s="2500"/>
      <c r="O341" s="2500"/>
      <c r="P341" s="2501"/>
      <c r="Q341" s="2542">
        <v>15123</v>
      </c>
      <c r="R341" s="2518"/>
      <c r="S341" s="2518"/>
      <c r="T341" s="2299" t="s">
        <v>1664</v>
      </c>
      <c r="U341" s="2518" t="s">
        <v>1173</v>
      </c>
      <c r="V341" s="2518"/>
      <c r="W341" s="2518"/>
      <c r="X341" s="2299" t="s">
        <v>895</v>
      </c>
      <c r="Y341" s="2518" t="s">
        <v>1174</v>
      </c>
      <c r="Z341" s="2518"/>
      <c r="AA341" s="2518"/>
      <c r="AB341" s="2299" t="s">
        <v>931</v>
      </c>
      <c r="AC341" s="2518"/>
      <c r="AD341" s="2518"/>
      <c r="AE341" s="2518"/>
      <c r="AF341" s="1380" t="s">
        <v>931</v>
      </c>
      <c r="AG341" s="2518"/>
      <c r="AH341" s="2518"/>
      <c r="AI341" s="2519"/>
      <c r="AJ341" s="2520">
        <f t="shared" si="83"/>
        <v>15120</v>
      </c>
      <c r="AK341" s="2521"/>
      <c r="AL341" s="2522"/>
      <c r="AM341" s="2505">
        <v>1</v>
      </c>
      <c r="AN341" s="2506"/>
      <c r="AO341" s="2507"/>
      <c r="AP341" s="2499">
        <f t="shared" si="84"/>
        <v>15120</v>
      </c>
      <c r="AQ341" s="2500"/>
      <c r="AR341" s="2501"/>
      <c r="AS341" s="2555">
        <f ca="1">SUMIF(基礎・屋根・外壁!B$183:AE$183,F341,基礎・屋根・外壁!B$188:AE$188)+SUMIF(基礎・屋根・外壁!B$208:AE$208,F341,基礎・屋根・外壁!B$213:AE$213)+SUMIF(見積拾!C$76:D$80,F341,見積拾!T$76:T$80)</f>
        <v>0</v>
      </c>
      <c r="AT341" s="2556"/>
      <c r="AU341" s="2556"/>
      <c r="AV341" s="2557"/>
      <c r="AW341" s="2520">
        <f t="shared" ca="1" si="85"/>
        <v>0</v>
      </c>
      <c r="AX341" s="2521"/>
      <c r="AY341" s="2521"/>
      <c r="AZ341" s="2522"/>
      <c r="BA341" s="25" t="b">
        <f t="shared" ca="1" si="86"/>
        <v>0</v>
      </c>
      <c r="BB341"/>
    </row>
    <row r="342" spans="2:54" ht="13.5" customHeight="1">
      <c r="B342" s="2681"/>
      <c r="C342" s="2673"/>
      <c r="D342" s="2682"/>
      <c r="E342" s="1392" t="s">
        <v>893</v>
      </c>
      <c r="F342" s="2500" t="s">
        <v>1723</v>
      </c>
      <c r="G342" s="2500"/>
      <c r="H342" s="2500"/>
      <c r="I342" s="2500"/>
      <c r="J342" s="2500"/>
      <c r="K342" s="2500"/>
      <c r="L342" s="2500"/>
      <c r="M342" s="2500"/>
      <c r="N342" s="2500"/>
      <c r="O342" s="2500"/>
      <c r="P342" s="2501"/>
      <c r="Q342" s="2542">
        <v>31800</v>
      </c>
      <c r="R342" s="2518"/>
      <c r="S342" s="2518"/>
      <c r="T342" s="2299" t="s">
        <v>1664</v>
      </c>
      <c r="U342" s="2518" t="s">
        <v>1173</v>
      </c>
      <c r="V342" s="2518"/>
      <c r="W342" s="2518"/>
      <c r="X342" s="2299" t="s">
        <v>895</v>
      </c>
      <c r="Y342" s="2518">
        <v>739</v>
      </c>
      <c r="Z342" s="2518"/>
      <c r="AA342" s="2518"/>
      <c r="AB342" s="2299" t="s">
        <v>931</v>
      </c>
      <c r="AC342" s="2518"/>
      <c r="AD342" s="2518"/>
      <c r="AE342" s="2518"/>
      <c r="AF342" s="1380" t="s">
        <v>931</v>
      </c>
      <c r="AG342" s="2518"/>
      <c r="AH342" s="2518"/>
      <c r="AI342" s="2519"/>
      <c r="AJ342" s="2520">
        <f t="shared" si="83"/>
        <v>32530</v>
      </c>
      <c r="AK342" s="2521"/>
      <c r="AL342" s="2522"/>
      <c r="AM342" s="2505">
        <v>1</v>
      </c>
      <c r="AN342" s="2506"/>
      <c r="AO342" s="2507"/>
      <c r="AP342" s="2499">
        <f t="shared" si="84"/>
        <v>32530</v>
      </c>
      <c r="AQ342" s="2500"/>
      <c r="AR342" s="2501"/>
      <c r="AS342" s="2555">
        <f ca="1">SUMIF(基礎・屋根・外壁!B$183:AE$183,F342,基礎・屋根・外壁!B$188:AE$188)+SUMIF(基礎・屋根・外壁!B$208:AE$208,F342,基礎・屋根・外壁!B$213:AE$213)+SUMIF(見積拾!C$76:D$80,F342,見積拾!T$76:T$80)</f>
        <v>0</v>
      </c>
      <c r="AT342" s="2556"/>
      <c r="AU342" s="2556"/>
      <c r="AV342" s="2557"/>
      <c r="AW342" s="2520">
        <f t="shared" ca="1" si="85"/>
        <v>0</v>
      </c>
      <c r="AX342" s="2521"/>
      <c r="AY342" s="2521"/>
      <c r="AZ342" s="2522"/>
      <c r="BA342" s="25" t="b">
        <f t="shared" ca="1" si="86"/>
        <v>0</v>
      </c>
      <c r="BB342"/>
    </row>
    <row r="343" spans="2:54" ht="13.5" customHeight="1">
      <c r="B343" s="2681"/>
      <c r="C343" s="2673"/>
      <c r="D343" s="2682"/>
      <c r="E343" s="1392" t="s">
        <v>893</v>
      </c>
      <c r="F343" s="2500" t="s">
        <v>1724</v>
      </c>
      <c r="G343" s="2500"/>
      <c r="H343" s="2500"/>
      <c r="I343" s="2500"/>
      <c r="J343" s="2500"/>
      <c r="K343" s="2500"/>
      <c r="L343" s="2500"/>
      <c r="M343" s="2500"/>
      <c r="N343" s="2500"/>
      <c r="O343" s="2500"/>
      <c r="P343" s="2501"/>
      <c r="Q343" s="2542">
        <v>4759</v>
      </c>
      <c r="R343" s="2518"/>
      <c r="S343" s="2518"/>
      <c r="T343" s="2299" t="s">
        <v>1664</v>
      </c>
      <c r="U343" s="2518">
        <v>1538</v>
      </c>
      <c r="V343" s="2518"/>
      <c r="W343" s="2518"/>
      <c r="X343" s="2299" t="s">
        <v>895</v>
      </c>
      <c r="Y343" s="2518">
        <v>975</v>
      </c>
      <c r="Z343" s="2518"/>
      <c r="AA343" s="2518"/>
      <c r="AB343" s="2299" t="s">
        <v>931</v>
      </c>
      <c r="AC343" s="2518"/>
      <c r="AD343" s="2518"/>
      <c r="AE343" s="2518"/>
      <c r="AF343" s="1380" t="s">
        <v>931</v>
      </c>
      <c r="AG343" s="2518"/>
      <c r="AH343" s="2518"/>
      <c r="AI343" s="2519"/>
      <c r="AJ343" s="2520">
        <f t="shared" si="83"/>
        <v>7270</v>
      </c>
      <c r="AK343" s="2521"/>
      <c r="AL343" s="2522"/>
      <c r="AM343" s="2505">
        <v>1</v>
      </c>
      <c r="AN343" s="2506"/>
      <c r="AO343" s="2507"/>
      <c r="AP343" s="2499">
        <f t="shared" si="84"/>
        <v>7270</v>
      </c>
      <c r="AQ343" s="2500"/>
      <c r="AR343" s="2501"/>
      <c r="AS343" s="2555">
        <f ca="1">SUMIF(基礎・屋根・外壁!B$183:AE$183,F343,基礎・屋根・外壁!B$188:AE$188)+SUMIF(基礎・屋根・外壁!B$208:AE$208,F343,基礎・屋根・外壁!B$213:AE$213)+SUMIF(見積拾!C$76:D$80,F343,見積拾!T$76:T$80)</f>
        <v>0</v>
      </c>
      <c r="AT343" s="2556"/>
      <c r="AU343" s="2556"/>
      <c r="AV343" s="2557"/>
      <c r="AW343" s="2520">
        <f t="shared" ca="1" si="85"/>
        <v>0</v>
      </c>
      <c r="AX343" s="2521"/>
      <c r="AY343" s="2521"/>
      <c r="AZ343" s="2522"/>
      <c r="BA343" s="25" t="b">
        <f t="shared" ca="1" si="86"/>
        <v>0</v>
      </c>
      <c r="BB343" t="s">
        <v>2022</v>
      </c>
    </row>
    <row r="344" spans="2:54" ht="13.5" customHeight="1">
      <c r="B344" s="2681"/>
      <c r="C344" s="2673"/>
      <c r="D344" s="2682"/>
      <c r="E344" s="1392" t="s">
        <v>893</v>
      </c>
      <c r="F344" s="2500" t="s">
        <v>1725</v>
      </c>
      <c r="G344" s="2500"/>
      <c r="H344" s="2500"/>
      <c r="I344" s="2500"/>
      <c r="J344" s="2500"/>
      <c r="K344" s="2500"/>
      <c r="L344" s="2500"/>
      <c r="M344" s="2500"/>
      <c r="N344" s="2500"/>
      <c r="O344" s="2500"/>
      <c r="P344" s="2501"/>
      <c r="Q344" s="2542">
        <v>2673</v>
      </c>
      <c r="R344" s="2518"/>
      <c r="S344" s="2518"/>
      <c r="T344" s="2299" t="s">
        <v>1664</v>
      </c>
      <c r="U344" s="2518">
        <v>1208</v>
      </c>
      <c r="V344" s="2518"/>
      <c r="W344" s="2518"/>
      <c r="X344" s="2299" t="s">
        <v>895</v>
      </c>
      <c r="Y344" s="2518">
        <v>975</v>
      </c>
      <c r="Z344" s="2518"/>
      <c r="AA344" s="2518"/>
      <c r="AB344" s="2299" t="s">
        <v>931</v>
      </c>
      <c r="AC344" s="2518"/>
      <c r="AD344" s="2518"/>
      <c r="AE344" s="2518"/>
      <c r="AF344" s="1380" t="s">
        <v>931</v>
      </c>
      <c r="AG344" s="2518"/>
      <c r="AH344" s="2518"/>
      <c r="AI344" s="2519"/>
      <c r="AJ344" s="2520">
        <f t="shared" si="83"/>
        <v>4850</v>
      </c>
      <c r="AK344" s="2521"/>
      <c r="AL344" s="2522"/>
      <c r="AM344" s="2505">
        <v>1</v>
      </c>
      <c r="AN344" s="2506"/>
      <c r="AO344" s="2507"/>
      <c r="AP344" s="2499">
        <f t="shared" si="84"/>
        <v>4850</v>
      </c>
      <c r="AQ344" s="2500"/>
      <c r="AR344" s="2501"/>
      <c r="AS344" s="2555">
        <f ca="1">SUMIF(基礎・屋根・外壁!B$183:AE$183,F344,基礎・屋根・外壁!B$188:AE$188)+SUMIF(基礎・屋根・外壁!B$208:AE$208,F344,基礎・屋根・外壁!B$213:AE$213)+SUMIF(見積拾!C$76:D$80,F344,見積拾!T$76:T$80)</f>
        <v>0</v>
      </c>
      <c r="AT344" s="2556"/>
      <c r="AU344" s="2556"/>
      <c r="AV344" s="2557"/>
      <c r="AW344" s="2520">
        <f t="shared" ca="1" si="85"/>
        <v>0</v>
      </c>
      <c r="AX344" s="2521"/>
      <c r="AY344" s="2521"/>
      <c r="AZ344" s="2522"/>
      <c r="BA344" s="25" t="b">
        <f t="shared" ca="1" si="86"/>
        <v>0</v>
      </c>
      <c r="BB344" t="s">
        <v>2382</v>
      </c>
    </row>
    <row r="345" spans="2:54" ht="13.5" customHeight="1">
      <c r="B345" s="2681"/>
      <c r="C345" s="2673"/>
      <c r="D345" s="2682"/>
      <c r="E345" s="1392" t="s">
        <v>893</v>
      </c>
      <c r="F345" s="2500" t="s">
        <v>1726</v>
      </c>
      <c r="G345" s="2500"/>
      <c r="H345" s="2500"/>
      <c r="I345" s="2500"/>
      <c r="J345" s="2500"/>
      <c r="K345" s="2500"/>
      <c r="L345" s="2500"/>
      <c r="M345" s="2500"/>
      <c r="N345" s="2500"/>
      <c r="O345" s="2500"/>
      <c r="P345" s="2501"/>
      <c r="Q345" s="2542">
        <v>3820</v>
      </c>
      <c r="R345" s="2518"/>
      <c r="S345" s="2518"/>
      <c r="T345" s="2299" t="s">
        <v>1664</v>
      </c>
      <c r="U345" s="2518" t="s">
        <v>1173</v>
      </c>
      <c r="V345" s="2518"/>
      <c r="W345" s="2518"/>
      <c r="X345" s="2299" t="s">
        <v>895</v>
      </c>
      <c r="Y345" s="2518" t="s">
        <v>1174</v>
      </c>
      <c r="Z345" s="2518"/>
      <c r="AA345" s="2518"/>
      <c r="AB345" s="2299" t="s">
        <v>907</v>
      </c>
      <c r="AC345" s="2518"/>
      <c r="AD345" s="2518"/>
      <c r="AE345" s="2518"/>
      <c r="AF345" s="1380" t="s">
        <v>907</v>
      </c>
      <c r="AG345" s="2518"/>
      <c r="AH345" s="2518"/>
      <c r="AI345" s="2519"/>
      <c r="AJ345" s="2520">
        <f t="shared" si="83"/>
        <v>3820</v>
      </c>
      <c r="AK345" s="2521"/>
      <c r="AL345" s="2522"/>
      <c r="AM345" s="2505">
        <v>1</v>
      </c>
      <c r="AN345" s="2506"/>
      <c r="AO345" s="2507"/>
      <c r="AP345" s="2499">
        <f t="shared" si="84"/>
        <v>3820</v>
      </c>
      <c r="AQ345" s="2500"/>
      <c r="AR345" s="2501"/>
      <c r="AS345" s="2555">
        <f ca="1">SUMIF(基礎・屋根・外壁!B$183:AE$183,F345,基礎・屋根・外壁!B$188:AE$188)+SUMIF(基礎・屋根・外壁!B$208:AE$208,F345,基礎・屋根・外壁!B$213:AE$213)+SUMIF(見積拾!C$76:D$80,F345,見積拾!T$76:T$80)</f>
        <v>0</v>
      </c>
      <c r="AT345" s="2556"/>
      <c r="AU345" s="2556"/>
      <c r="AV345" s="2557"/>
      <c r="AW345" s="2520">
        <f t="shared" ca="1" si="85"/>
        <v>0</v>
      </c>
      <c r="AX345" s="2521"/>
      <c r="AY345" s="2521"/>
      <c r="AZ345" s="2522"/>
      <c r="BA345" s="25" t="b">
        <f t="shared" ca="1" si="86"/>
        <v>0</v>
      </c>
      <c r="BB345"/>
    </row>
    <row r="346" spans="2:54" s="1847" customFormat="1" ht="13.5" customHeight="1">
      <c r="B346" s="2681"/>
      <c r="C346" s="2673"/>
      <c r="D346" s="2683"/>
      <c r="E346" s="1392" t="s">
        <v>893</v>
      </c>
      <c r="F346" s="2500" t="s">
        <v>1727</v>
      </c>
      <c r="G346" s="2500"/>
      <c r="H346" s="2500"/>
      <c r="I346" s="2500"/>
      <c r="J346" s="2500"/>
      <c r="K346" s="2500"/>
      <c r="L346" s="2500"/>
      <c r="M346" s="2500"/>
      <c r="N346" s="2500"/>
      <c r="O346" s="2500"/>
      <c r="P346" s="2501"/>
      <c r="Q346" s="2542">
        <v>8380</v>
      </c>
      <c r="R346" s="2518"/>
      <c r="S346" s="2518"/>
      <c r="T346" s="2299" t="s">
        <v>1664</v>
      </c>
      <c r="U346" s="2518" t="s">
        <v>1173</v>
      </c>
      <c r="V346" s="2518"/>
      <c r="W346" s="2518"/>
      <c r="X346" s="2299" t="s">
        <v>895</v>
      </c>
      <c r="Y346" s="2518">
        <v>531</v>
      </c>
      <c r="Z346" s="2518"/>
      <c r="AA346" s="2518"/>
      <c r="AB346" s="2299" t="s">
        <v>64</v>
      </c>
      <c r="AC346" s="2518"/>
      <c r="AD346" s="2518"/>
      <c r="AE346" s="2518"/>
      <c r="AF346" s="1838" t="s">
        <v>64</v>
      </c>
      <c r="AG346" s="2518"/>
      <c r="AH346" s="2518"/>
      <c r="AI346" s="2519"/>
      <c r="AJ346" s="2520">
        <f t="shared" ref="AJ346" si="87">ROUNDDOWN(SUM(Q346:AI346),-1)</f>
        <v>8910</v>
      </c>
      <c r="AK346" s="2521"/>
      <c r="AL346" s="2522"/>
      <c r="AM346" s="2505">
        <v>1</v>
      </c>
      <c r="AN346" s="2506"/>
      <c r="AO346" s="2507"/>
      <c r="AP346" s="2499">
        <f t="shared" ref="AP346" si="88">INT(AJ346*AM346)</f>
        <v>8910</v>
      </c>
      <c r="AQ346" s="2500"/>
      <c r="AR346" s="2501"/>
      <c r="AS346" s="2555">
        <f ca="1">SUMIF(基礎・屋根・外壁!B$183:AE$183,F346,基礎・屋根・外壁!B$188:AE$188)+SUMIF(基礎・屋根・外壁!B$208:AE$208,F346,基礎・屋根・外壁!B$213:AE$213)+SUMIF(見積拾!C$76:D$80,F346,見積拾!T$76:T$80)</f>
        <v>0</v>
      </c>
      <c r="AT346" s="2556"/>
      <c r="AU346" s="2556"/>
      <c r="AV346" s="2557"/>
      <c r="AW346" s="2520">
        <f t="shared" ref="AW346" ca="1" si="89">INT(AP346*AS346)</f>
        <v>0</v>
      </c>
      <c r="AX346" s="2521"/>
      <c r="AY346" s="2521"/>
      <c r="AZ346" s="2522"/>
      <c r="BA346" s="25" t="b">
        <f t="shared" ref="BA346" ca="1" si="90">AW346&lt;&gt;0</f>
        <v>0</v>
      </c>
    </row>
    <row r="347" spans="2:54" ht="13.5" customHeight="1">
      <c r="B347" s="2681"/>
      <c r="C347" s="2673"/>
      <c r="D347" s="2682"/>
      <c r="E347" s="1392" t="s">
        <v>893</v>
      </c>
      <c r="F347" s="2500" t="s">
        <v>1728</v>
      </c>
      <c r="G347" s="2500"/>
      <c r="H347" s="2500"/>
      <c r="I347" s="2500"/>
      <c r="J347" s="2500"/>
      <c r="K347" s="2500"/>
      <c r="L347" s="2500"/>
      <c r="M347" s="2500"/>
      <c r="N347" s="2500"/>
      <c r="O347" s="2500"/>
      <c r="P347" s="2501"/>
      <c r="Q347" s="2542">
        <v>4030</v>
      </c>
      <c r="R347" s="2518"/>
      <c r="S347" s="2518"/>
      <c r="T347" s="2299" t="s">
        <v>1664</v>
      </c>
      <c r="U347" s="2518" t="s">
        <v>1173</v>
      </c>
      <c r="V347" s="2518"/>
      <c r="W347" s="2518"/>
      <c r="X347" s="2299" t="s">
        <v>895</v>
      </c>
      <c r="Y347" s="2518">
        <v>531</v>
      </c>
      <c r="Z347" s="2518"/>
      <c r="AA347" s="2518"/>
      <c r="AB347" s="2299" t="s">
        <v>931</v>
      </c>
      <c r="AC347" s="2518"/>
      <c r="AD347" s="2518"/>
      <c r="AE347" s="2518"/>
      <c r="AF347" s="1380" t="s">
        <v>931</v>
      </c>
      <c r="AG347" s="2518"/>
      <c r="AH347" s="2518"/>
      <c r="AI347" s="2519"/>
      <c r="AJ347" s="2520">
        <f t="shared" si="83"/>
        <v>4560</v>
      </c>
      <c r="AK347" s="2521"/>
      <c r="AL347" s="2522"/>
      <c r="AM347" s="2505">
        <v>1</v>
      </c>
      <c r="AN347" s="2506"/>
      <c r="AO347" s="2507"/>
      <c r="AP347" s="2499">
        <f t="shared" si="84"/>
        <v>4560</v>
      </c>
      <c r="AQ347" s="2500"/>
      <c r="AR347" s="2501"/>
      <c r="AS347" s="2555">
        <f ca="1">SUMIF(基礎・屋根・外壁!B$183:AE$183,F347,基礎・屋根・外壁!B$188:AE$188)+SUMIF(基礎・屋根・外壁!B$208:AE$208,F347,基礎・屋根・外壁!B$213:AE$213)+SUMIF(見積拾!C$76:D$80,F347,見積拾!T$76:T$80)</f>
        <v>0</v>
      </c>
      <c r="AT347" s="2556"/>
      <c r="AU347" s="2556"/>
      <c r="AV347" s="2557"/>
      <c r="AW347" s="2520">
        <f t="shared" ca="1" si="85"/>
        <v>0</v>
      </c>
      <c r="AX347" s="2521"/>
      <c r="AY347" s="2521"/>
      <c r="AZ347" s="2522"/>
      <c r="BA347" s="25" t="b">
        <f t="shared" ca="1" si="86"/>
        <v>0</v>
      </c>
      <c r="BB347"/>
    </row>
    <row r="348" spans="2:54" ht="13.5" customHeight="1">
      <c r="B348" s="2681"/>
      <c r="C348" s="2673"/>
      <c r="D348" s="2682"/>
      <c r="E348" s="1392" t="s">
        <v>893</v>
      </c>
      <c r="F348" s="2500" t="s">
        <v>2046</v>
      </c>
      <c r="G348" s="2500"/>
      <c r="H348" s="2500"/>
      <c r="I348" s="2500"/>
      <c r="J348" s="2500"/>
      <c r="K348" s="2500"/>
      <c r="L348" s="2500"/>
      <c r="M348" s="2500"/>
      <c r="N348" s="2500"/>
      <c r="O348" s="2500"/>
      <c r="P348" s="2501"/>
      <c r="Q348" s="2542">
        <v>674</v>
      </c>
      <c r="R348" s="2518"/>
      <c r="S348" s="2518"/>
      <c r="T348" s="2299" t="s">
        <v>1664</v>
      </c>
      <c r="U348" s="2518">
        <v>3300</v>
      </c>
      <c r="V348" s="2518"/>
      <c r="W348" s="2518"/>
      <c r="X348" s="2299" t="s">
        <v>895</v>
      </c>
      <c r="Y348" s="2518" t="s">
        <v>1174</v>
      </c>
      <c r="Z348" s="2518"/>
      <c r="AA348" s="2518"/>
      <c r="AB348" s="2299" t="s">
        <v>931</v>
      </c>
      <c r="AC348" s="2518"/>
      <c r="AD348" s="2518"/>
      <c r="AE348" s="2518"/>
      <c r="AF348" s="1380" t="s">
        <v>931</v>
      </c>
      <c r="AG348" s="2518"/>
      <c r="AH348" s="2518"/>
      <c r="AI348" s="2519"/>
      <c r="AJ348" s="2520">
        <f t="shared" si="83"/>
        <v>3970</v>
      </c>
      <c r="AK348" s="2521"/>
      <c r="AL348" s="2522"/>
      <c r="AM348" s="2505">
        <v>1</v>
      </c>
      <c r="AN348" s="2506"/>
      <c r="AO348" s="2507"/>
      <c r="AP348" s="2499">
        <f t="shared" si="84"/>
        <v>3970</v>
      </c>
      <c r="AQ348" s="2500"/>
      <c r="AR348" s="2501"/>
      <c r="AS348" s="2555">
        <f ca="1">SUMIF(基礎・屋根・外壁!B$183:AE$183,F348,基礎・屋根・外壁!B$188:AE$188)+SUMIF(基礎・屋根・外壁!B$208:AE$208,F348,基礎・屋根・外壁!B$213:AE$213)+SUMIF(見積拾!C$76:D$80,F348,見積拾!T$76:T$80)</f>
        <v>0</v>
      </c>
      <c r="AT348" s="2556"/>
      <c r="AU348" s="2556"/>
      <c r="AV348" s="2557"/>
      <c r="AW348" s="2520">
        <f t="shared" ca="1" si="85"/>
        <v>0</v>
      </c>
      <c r="AX348" s="2521"/>
      <c r="AY348" s="2521"/>
      <c r="AZ348" s="2522"/>
      <c r="BA348" s="25" t="b">
        <f t="shared" ca="1" si="86"/>
        <v>0</v>
      </c>
      <c r="BB348"/>
    </row>
    <row r="349" spans="2:54" ht="13.5" customHeight="1">
      <c r="B349" s="2681"/>
      <c r="C349" s="2673"/>
      <c r="D349" s="2682"/>
      <c r="E349" s="1392" t="s">
        <v>893</v>
      </c>
      <c r="F349" s="2500" t="s">
        <v>2047</v>
      </c>
      <c r="G349" s="2500"/>
      <c r="H349" s="2500"/>
      <c r="I349" s="2500"/>
      <c r="J349" s="2500"/>
      <c r="K349" s="2500"/>
      <c r="L349" s="2500"/>
      <c r="M349" s="2500"/>
      <c r="N349" s="2500"/>
      <c r="O349" s="2500"/>
      <c r="P349" s="2501"/>
      <c r="Q349" s="2542">
        <v>22500</v>
      </c>
      <c r="R349" s="2518"/>
      <c r="S349" s="2518"/>
      <c r="T349" s="2299" t="s">
        <v>1664</v>
      </c>
      <c r="U349" s="2518">
        <v>8525</v>
      </c>
      <c r="V349" s="2518"/>
      <c r="W349" s="2518"/>
      <c r="X349" s="2299" t="s">
        <v>895</v>
      </c>
      <c r="Y349" s="2518" t="s">
        <v>1174</v>
      </c>
      <c r="Z349" s="2518"/>
      <c r="AA349" s="2518"/>
      <c r="AB349" s="2299" t="s">
        <v>64</v>
      </c>
      <c r="AC349" s="2518"/>
      <c r="AD349" s="2518"/>
      <c r="AE349" s="2518"/>
      <c r="AF349" s="1380" t="s">
        <v>64</v>
      </c>
      <c r="AG349" s="2518"/>
      <c r="AH349" s="2518"/>
      <c r="AI349" s="2519"/>
      <c r="AJ349" s="2520">
        <f t="shared" si="83"/>
        <v>31020</v>
      </c>
      <c r="AK349" s="2521"/>
      <c r="AL349" s="2522"/>
      <c r="AM349" s="2505">
        <v>1</v>
      </c>
      <c r="AN349" s="2506"/>
      <c r="AO349" s="2507"/>
      <c r="AP349" s="2499">
        <f t="shared" si="84"/>
        <v>31020</v>
      </c>
      <c r="AQ349" s="2500"/>
      <c r="AR349" s="2501"/>
      <c r="AS349" s="2555">
        <f ca="1">SUMIF(基礎・屋根・外壁!B$183:AE$183,F349,基礎・屋根・外壁!B$188:AE$188)+SUMIF(基礎・屋根・外壁!B$208:AE$208,F349,基礎・屋根・外壁!B$213:AE$213)+SUMIF(見積拾!C$76:D$80,F349,見積拾!T$76:T$80)</f>
        <v>0</v>
      </c>
      <c r="AT349" s="2556"/>
      <c r="AU349" s="2556"/>
      <c r="AV349" s="2557"/>
      <c r="AW349" s="2520">
        <f t="shared" ca="1" si="85"/>
        <v>0</v>
      </c>
      <c r="AX349" s="2521"/>
      <c r="AY349" s="2521"/>
      <c r="AZ349" s="2522"/>
      <c r="BA349" s="25" t="b">
        <f t="shared" ca="1" si="86"/>
        <v>0</v>
      </c>
      <c r="BB349"/>
    </row>
    <row r="350" spans="2:54" ht="13.5" customHeight="1">
      <c r="B350" s="2681"/>
      <c r="C350" s="2673"/>
      <c r="D350" s="2682"/>
      <c r="E350" s="1392" t="s">
        <v>893</v>
      </c>
      <c r="F350" s="2500" t="s">
        <v>2048</v>
      </c>
      <c r="G350" s="2500"/>
      <c r="H350" s="2500"/>
      <c r="I350" s="2500"/>
      <c r="J350" s="2500"/>
      <c r="K350" s="2500"/>
      <c r="L350" s="2500"/>
      <c r="M350" s="2500"/>
      <c r="N350" s="2500"/>
      <c r="O350" s="2500"/>
      <c r="P350" s="2501"/>
      <c r="Q350" s="2542">
        <v>2210</v>
      </c>
      <c r="R350" s="2518"/>
      <c r="S350" s="2518"/>
      <c r="T350" s="2299" t="s">
        <v>1664</v>
      </c>
      <c r="U350" s="2518">
        <v>6875</v>
      </c>
      <c r="V350" s="2518"/>
      <c r="W350" s="2518"/>
      <c r="X350" s="2299" t="s">
        <v>895</v>
      </c>
      <c r="Y350" s="2518" t="s">
        <v>1174</v>
      </c>
      <c r="Z350" s="2518"/>
      <c r="AA350" s="2518"/>
      <c r="AB350" s="2299" t="s">
        <v>64</v>
      </c>
      <c r="AC350" s="2518"/>
      <c r="AD350" s="2518"/>
      <c r="AE350" s="2518"/>
      <c r="AF350" s="1380" t="s">
        <v>64</v>
      </c>
      <c r="AG350" s="2518"/>
      <c r="AH350" s="2518"/>
      <c r="AI350" s="2519"/>
      <c r="AJ350" s="2520">
        <f t="shared" si="83"/>
        <v>9080</v>
      </c>
      <c r="AK350" s="2521"/>
      <c r="AL350" s="2522"/>
      <c r="AM350" s="2505">
        <v>1</v>
      </c>
      <c r="AN350" s="2506"/>
      <c r="AO350" s="2507"/>
      <c r="AP350" s="2499">
        <f t="shared" si="84"/>
        <v>9080</v>
      </c>
      <c r="AQ350" s="2500"/>
      <c r="AR350" s="2501"/>
      <c r="AS350" s="2555">
        <f ca="1">SUMIF(基礎・屋根・外壁!B$183:AE$183,F350,基礎・屋根・外壁!B$188:AE$188)+SUMIF(基礎・屋根・外壁!B$208:AE$208,F350,基礎・屋根・外壁!B$213:AE$213)+SUMIF(見積拾!C$76:D$80,F350,見積拾!T$76:T$80)</f>
        <v>0</v>
      </c>
      <c r="AT350" s="2556"/>
      <c r="AU350" s="2556"/>
      <c r="AV350" s="2557"/>
      <c r="AW350" s="2520">
        <f t="shared" ca="1" si="85"/>
        <v>0</v>
      </c>
      <c r="AX350" s="2521"/>
      <c r="AY350" s="2521"/>
      <c r="AZ350" s="2522"/>
      <c r="BA350" s="25" t="b">
        <f t="shared" ca="1" si="86"/>
        <v>0</v>
      </c>
      <c r="BB350"/>
    </row>
    <row r="351" spans="2:54" ht="13.5" customHeight="1">
      <c r="B351" s="2681"/>
      <c r="C351" s="2673"/>
      <c r="D351" s="2682"/>
      <c r="E351" s="1392" t="s">
        <v>893</v>
      </c>
      <c r="F351" s="2500" t="s">
        <v>2049</v>
      </c>
      <c r="G351" s="2500"/>
      <c r="H351" s="2500"/>
      <c r="I351" s="2500"/>
      <c r="J351" s="2500"/>
      <c r="K351" s="2500"/>
      <c r="L351" s="2500"/>
      <c r="M351" s="2500"/>
      <c r="N351" s="2500"/>
      <c r="O351" s="2500"/>
      <c r="P351" s="2501"/>
      <c r="Q351" s="2542">
        <v>506</v>
      </c>
      <c r="R351" s="2518"/>
      <c r="S351" s="2518"/>
      <c r="T351" s="2299" t="s">
        <v>1664</v>
      </c>
      <c r="U351" s="2518">
        <v>6875</v>
      </c>
      <c r="V351" s="2518"/>
      <c r="W351" s="2518"/>
      <c r="X351" s="2299" t="s">
        <v>895</v>
      </c>
      <c r="Y351" s="2518" t="s">
        <v>1174</v>
      </c>
      <c r="Z351" s="2518"/>
      <c r="AA351" s="2518"/>
      <c r="AB351" s="2299" t="s">
        <v>905</v>
      </c>
      <c r="AC351" s="2518"/>
      <c r="AD351" s="2518"/>
      <c r="AE351" s="2518"/>
      <c r="AF351" s="1380" t="s">
        <v>905</v>
      </c>
      <c r="AG351" s="2518"/>
      <c r="AH351" s="2518"/>
      <c r="AI351" s="2519"/>
      <c r="AJ351" s="2520">
        <f t="shared" si="83"/>
        <v>7380</v>
      </c>
      <c r="AK351" s="2521"/>
      <c r="AL351" s="2522"/>
      <c r="AM351" s="2505">
        <v>1</v>
      </c>
      <c r="AN351" s="2506"/>
      <c r="AO351" s="2507"/>
      <c r="AP351" s="2499">
        <f t="shared" si="84"/>
        <v>7380</v>
      </c>
      <c r="AQ351" s="2500"/>
      <c r="AR351" s="2501"/>
      <c r="AS351" s="2555">
        <f ca="1">SUMIF(基礎・屋根・外壁!B$183:AE$183,F351,基礎・屋根・外壁!B$188:AE$188)+SUMIF(基礎・屋根・外壁!B$208:AE$208,F351,基礎・屋根・外壁!B$213:AE$213)+SUMIF(見積拾!C$76:D$80,F351,見積拾!T$76:T$80)</f>
        <v>0</v>
      </c>
      <c r="AT351" s="2556"/>
      <c r="AU351" s="2556"/>
      <c r="AV351" s="2557"/>
      <c r="AW351" s="2520">
        <f t="shared" ca="1" si="85"/>
        <v>0</v>
      </c>
      <c r="AX351" s="2521"/>
      <c r="AY351" s="2521"/>
      <c r="AZ351" s="2522"/>
      <c r="BA351" s="25" t="b">
        <f t="shared" ca="1" si="86"/>
        <v>0</v>
      </c>
      <c r="BB351"/>
    </row>
    <row r="352" spans="2:54" ht="13.5" customHeight="1">
      <c r="B352" s="2681"/>
      <c r="C352" s="2673"/>
      <c r="D352" s="2682"/>
      <c r="E352" s="1392" t="s">
        <v>893</v>
      </c>
      <c r="F352" s="2500" t="s">
        <v>1730</v>
      </c>
      <c r="G352" s="2500"/>
      <c r="H352" s="2500"/>
      <c r="I352" s="2500"/>
      <c r="J352" s="2500"/>
      <c r="K352" s="2500"/>
      <c r="L352" s="2500"/>
      <c r="M352" s="2500"/>
      <c r="N352" s="2500"/>
      <c r="O352" s="2500"/>
      <c r="P352" s="2501"/>
      <c r="Q352" s="2542">
        <v>7600</v>
      </c>
      <c r="R352" s="2518"/>
      <c r="S352" s="2518"/>
      <c r="T352" s="2299" t="s">
        <v>1664</v>
      </c>
      <c r="U352" s="2518">
        <v>7150</v>
      </c>
      <c r="V352" s="2518"/>
      <c r="W352" s="2518"/>
      <c r="X352" s="2299" t="s">
        <v>895</v>
      </c>
      <c r="Y352" s="2518" t="s">
        <v>1174</v>
      </c>
      <c r="Z352" s="2518"/>
      <c r="AA352" s="2518"/>
      <c r="AB352" s="2299" t="s">
        <v>932</v>
      </c>
      <c r="AC352" s="2518"/>
      <c r="AD352" s="2518"/>
      <c r="AE352" s="2518"/>
      <c r="AF352" s="1380" t="s">
        <v>932</v>
      </c>
      <c r="AG352" s="2518"/>
      <c r="AH352" s="2518"/>
      <c r="AI352" s="2519"/>
      <c r="AJ352" s="2520">
        <f t="shared" si="83"/>
        <v>14750</v>
      </c>
      <c r="AK352" s="2521"/>
      <c r="AL352" s="2522"/>
      <c r="AM352" s="2505">
        <v>1</v>
      </c>
      <c r="AN352" s="2506"/>
      <c r="AO352" s="2507"/>
      <c r="AP352" s="2499">
        <f t="shared" si="84"/>
        <v>14750</v>
      </c>
      <c r="AQ352" s="2500"/>
      <c r="AR352" s="2501"/>
      <c r="AS352" s="2555">
        <f ca="1">SUMIF(基礎・屋根・外壁!B$183:AE$183,F352,基礎・屋根・外壁!B$188:AE$188)+SUMIF(基礎・屋根・外壁!B$208:AE$208,F352,基礎・屋根・外壁!B$213:AE$213)+SUMIF(見積拾!C$76:D$80,F352,見積拾!T$76:T$80)</f>
        <v>0</v>
      </c>
      <c r="AT352" s="2556"/>
      <c r="AU352" s="2556"/>
      <c r="AV352" s="2557"/>
      <c r="AW352" s="2520">
        <f t="shared" ca="1" si="85"/>
        <v>0</v>
      </c>
      <c r="AX352" s="2521"/>
      <c r="AY352" s="2521"/>
      <c r="AZ352" s="2522"/>
      <c r="BA352" s="25" t="b">
        <f t="shared" ca="1" si="86"/>
        <v>0</v>
      </c>
      <c r="BB352"/>
    </row>
    <row r="353" spans="2:54" ht="13.5" customHeight="1">
      <c r="B353" s="2681"/>
      <c r="C353" s="2673"/>
      <c r="D353" s="2682"/>
      <c r="E353" s="1392" t="s">
        <v>893</v>
      </c>
      <c r="F353" s="2500" t="s">
        <v>1731</v>
      </c>
      <c r="G353" s="2500"/>
      <c r="H353" s="2500"/>
      <c r="I353" s="2500"/>
      <c r="J353" s="2500"/>
      <c r="K353" s="2500"/>
      <c r="L353" s="2500"/>
      <c r="M353" s="2500"/>
      <c r="N353" s="2500"/>
      <c r="O353" s="2500"/>
      <c r="P353" s="2501"/>
      <c r="Q353" s="2542">
        <v>2640</v>
      </c>
      <c r="R353" s="2518"/>
      <c r="S353" s="2518"/>
      <c r="T353" s="2299" t="s">
        <v>1664</v>
      </c>
      <c r="U353" s="2518" t="s">
        <v>1173</v>
      </c>
      <c r="V353" s="2518"/>
      <c r="W353" s="2518"/>
      <c r="X353" s="2299" t="s">
        <v>895</v>
      </c>
      <c r="Y353" s="2518" t="s">
        <v>1174</v>
      </c>
      <c r="Z353" s="2518"/>
      <c r="AA353" s="2518"/>
      <c r="AB353" s="2299" t="s">
        <v>932</v>
      </c>
      <c r="AC353" s="2518"/>
      <c r="AD353" s="2518"/>
      <c r="AE353" s="2518"/>
      <c r="AF353" s="1380" t="s">
        <v>932</v>
      </c>
      <c r="AG353" s="2518"/>
      <c r="AH353" s="2518"/>
      <c r="AI353" s="2519"/>
      <c r="AJ353" s="2520">
        <f t="shared" si="83"/>
        <v>2640</v>
      </c>
      <c r="AK353" s="2521"/>
      <c r="AL353" s="2522"/>
      <c r="AM353" s="2505">
        <v>1</v>
      </c>
      <c r="AN353" s="2506"/>
      <c r="AO353" s="2507"/>
      <c r="AP353" s="2499">
        <f t="shared" si="84"/>
        <v>2640</v>
      </c>
      <c r="AQ353" s="2500"/>
      <c r="AR353" s="2501"/>
      <c r="AS353" s="2555">
        <f ca="1">SUMIF(基礎・屋根・外壁!B$183:AE$183,F353,基礎・屋根・外壁!B$188:AE$188)+SUMIF(基礎・屋根・外壁!B$208:AE$208,F353,基礎・屋根・外壁!B$213:AE$213)+SUMIF(見積拾!C$76:D$80,F353,見積拾!T$76:T$80)</f>
        <v>0</v>
      </c>
      <c r="AT353" s="2556"/>
      <c r="AU353" s="2556"/>
      <c r="AV353" s="2557"/>
      <c r="AW353" s="2520">
        <f t="shared" ca="1" si="85"/>
        <v>0</v>
      </c>
      <c r="AX353" s="2521"/>
      <c r="AY353" s="2521"/>
      <c r="AZ353" s="2522"/>
      <c r="BA353" s="25" t="b">
        <f t="shared" ca="1" si="86"/>
        <v>0</v>
      </c>
      <c r="BB353"/>
    </row>
    <row r="354" spans="2:54" ht="13.5" customHeight="1">
      <c r="B354" s="2681"/>
      <c r="C354" s="2673"/>
      <c r="D354" s="2682"/>
      <c r="E354" s="1392" t="s">
        <v>893</v>
      </c>
      <c r="F354" s="2500" t="s">
        <v>1732</v>
      </c>
      <c r="G354" s="2500"/>
      <c r="H354" s="2500"/>
      <c r="I354" s="2500"/>
      <c r="J354" s="2500"/>
      <c r="K354" s="2500"/>
      <c r="L354" s="2500"/>
      <c r="M354" s="2500"/>
      <c r="N354" s="2500"/>
      <c r="O354" s="2500"/>
      <c r="P354" s="2501"/>
      <c r="Q354" s="2542">
        <v>4210</v>
      </c>
      <c r="R354" s="2518"/>
      <c r="S354" s="2518"/>
      <c r="T354" s="2299" t="s">
        <v>1664</v>
      </c>
      <c r="U354" s="2518" t="s">
        <v>1173</v>
      </c>
      <c r="V354" s="2518"/>
      <c r="W354" s="2518"/>
      <c r="X354" s="2299" t="s">
        <v>895</v>
      </c>
      <c r="Y354" s="2518" t="s">
        <v>1174</v>
      </c>
      <c r="Z354" s="2518"/>
      <c r="AA354" s="2518"/>
      <c r="AB354" s="2299" t="s">
        <v>932</v>
      </c>
      <c r="AC354" s="2518"/>
      <c r="AD354" s="2518"/>
      <c r="AE354" s="2518"/>
      <c r="AF354" s="1380" t="s">
        <v>932</v>
      </c>
      <c r="AG354" s="2518"/>
      <c r="AH354" s="2518"/>
      <c r="AI354" s="2519"/>
      <c r="AJ354" s="2520">
        <f t="shared" si="83"/>
        <v>4210</v>
      </c>
      <c r="AK354" s="2521"/>
      <c r="AL354" s="2522"/>
      <c r="AM354" s="2505">
        <v>1</v>
      </c>
      <c r="AN354" s="2506"/>
      <c r="AO354" s="2507"/>
      <c r="AP354" s="2499">
        <f t="shared" si="84"/>
        <v>4210</v>
      </c>
      <c r="AQ354" s="2500"/>
      <c r="AR354" s="2501"/>
      <c r="AS354" s="2555">
        <f ca="1">SUMIF(基礎・屋根・外壁!B$183:AE$183,F354,基礎・屋根・外壁!B$188:AE$188)+SUMIF(基礎・屋根・外壁!B$208:AE$208,F354,基礎・屋根・外壁!B$213:AE$213)+SUMIF(見積拾!C$76:D$80,F354,見積拾!T$76:T$80)</f>
        <v>0</v>
      </c>
      <c r="AT354" s="2556"/>
      <c r="AU354" s="2556"/>
      <c r="AV354" s="2557"/>
      <c r="AW354" s="2520">
        <f t="shared" ca="1" si="85"/>
        <v>0</v>
      </c>
      <c r="AX354" s="2521"/>
      <c r="AY354" s="2521"/>
      <c r="AZ354" s="2522"/>
      <c r="BA354" s="25" t="b">
        <f t="shared" ca="1" si="86"/>
        <v>0</v>
      </c>
      <c r="BB354"/>
    </row>
    <row r="355" spans="2:54" ht="13.5" customHeight="1">
      <c r="B355" s="2681"/>
      <c r="C355" s="2673"/>
      <c r="D355" s="2682"/>
      <c r="E355" s="1393" t="s">
        <v>938</v>
      </c>
      <c r="F355" s="2540" t="s">
        <v>898</v>
      </c>
      <c r="G355" s="2540"/>
      <c r="H355" s="2540"/>
      <c r="I355" s="2540"/>
      <c r="J355" s="2540"/>
      <c r="K355" s="2540"/>
      <c r="L355" s="2540"/>
      <c r="M355" s="2540"/>
      <c r="N355" s="2540"/>
      <c r="O355" s="2540"/>
      <c r="P355" s="2541"/>
      <c r="Q355" s="2724"/>
      <c r="R355" s="2527"/>
      <c r="S355" s="2527"/>
      <c r="T355" s="1380" t="s">
        <v>907</v>
      </c>
      <c r="U355" s="2527"/>
      <c r="V355" s="2527"/>
      <c r="W355" s="2527"/>
      <c r="X355" s="1380" t="s">
        <v>907</v>
      </c>
      <c r="Y355" s="2527"/>
      <c r="Z355" s="2527"/>
      <c r="AA355" s="2527"/>
      <c r="AB355" s="1380" t="s">
        <v>907</v>
      </c>
      <c r="AC355" s="2527"/>
      <c r="AD355" s="2527"/>
      <c r="AE355" s="2527"/>
      <c r="AF355" s="1380" t="s">
        <v>907</v>
      </c>
      <c r="AG355" s="2527"/>
      <c r="AH355" s="2527"/>
      <c r="AI355" s="2786"/>
      <c r="AJ355" s="2543">
        <f t="shared" ref="AJ355:AJ369" si="91">ROUNDDOWN(SUM(Q355:AI355),-1)</f>
        <v>0</v>
      </c>
      <c r="AK355" s="2544"/>
      <c r="AL355" s="2545"/>
      <c r="AM355" s="2505">
        <v>1</v>
      </c>
      <c r="AN355" s="2506"/>
      <c r="AO355" s="2507"/>
      <c r="AP355" s="2499">
        <f t="shared" ref="AP355:AP369" si="92">INT(AJ355*AM355)</f>
        <v>0</v>
      </c>
      <c r="AQ355" s="2500"/>
      <c r="AR355" s="2501"/>
      <c r="AS355" s="2555">
        <f ca="1">SUMIF(基礎・屋根・外壁!B$183:AE$183,F355,基礎・屋根・外壁!B$188:AE$188)+SUMIF(基礎・屋根・外壁!B$208:AE$208,F355,基礎・屋根・外壁!B$213:AE$213)+SUMIF(見積拾!C$76:D$80,F355,見積拾!T$76:T$80)</f>
        <v>0</v>
      </c>
      <c r="AT355" s="2556"/>
      <c r="AU355" s="2556"/>
      <c r="AV355" s="2557"/>
      <c r="AW355" s="2520">
        <f t="shared" ref="AW355:AW369" ca="1" si="93">INT(AP355*AS355)</f>
        <v>0</v>
      </c>
      <c r="AX355" s="2521"/>
      <c r="AY355" s="2521"/>
      <c r="AZ355" s="2522"/>
      <c r="BA355" s="25" t="b">
        <f t="shared" ref="BA355:BA369" ca="1" si="94">AW355&lt;&gt;0</f>
        <v>0</v>
      </c>
      <c r="BB355"/>
    </row>
    <row r="356" spans="2:54" ht="13.5" customHeight="1">
      <c r="B356" s="2681"/>
      <c r="C356" s="2673"/>
      <c r="D356" s="2682"/>
      <c r="E356" s="1393" t="s">
        <v>392</v>
      </c>
      <c r="F356" s="2540" t="s">
        <v>898</v>
      </c>
      <c r="G356" s="2540"/>
      <c r="H356" s="2540"/>
      <c r="I356" s="2540"/>
      <c r="J356" s="2540"/>
      <c r="K356" s="2540"/>
      <c r="L356" s="2540"/>
      <c r="M356" s="2540"/>
      <c r="N356" s="2540"/>
      <c r="O356" s="2540"/>
      <c r="P356" s="2541"/>
      <c r="Q356" s="2724"/>
      <c r="R356" s="2527"/>
      <c r="S356" s="2527"/>
      <c r="T356" s="1380" t="s">
        <v>64</v>
      </c>
      <c r="U356" s="2527"/>
      <c r="V356" s="2527"/>
      <c r="W356" s="2527"/>
      <c r="X356" s="1380" t="s">
        <v>64</v>
      </c>
      <c r="Y356" s="2527"/>
      <c r="Z356" s="2527"/>
      <c r="AA356" s="2527"/>
      <c r="AB356" s="1380" t="s">
        <v>64</v>
      </c>
      <c r="AC356" s="2527"/>
      <c r="AD356" s="2527"/>
      <c r="AE356" s="2527"/>
      <c r="AF356" s="1380" t="s">
        <v>64</v>
      </c>
      <c r="AG356" s="2527"/>
      <c r="AH356" s="2527"/>
      <c r="AI356" s="2786"/>
      <c r="AJ356" s="2543">
        <f t="shared" ref="AJ356:AJ357" si="95">ROUNDDOWN(SUM(Q356:AI356),-1)</f>
        <v>0</v>
      </c>
      <c r="AK356" s="2544"/>
      <c r="AL356" s="2545"/>
      <c r="AM356" s="2505">
        <v>1</v>
      </c>
      <c r="AN356" s="2506"/>
      <c r="AO356" s="2507"/>
      <c r="AP356" s="2499">
        <f t="shared" ref="AP356:AP357" si="96">INT(AJ356*AM356)</f>
        <v>0</v>
      </c>
      <c r="AQ356" s="2500"/>
      <c r="AR356" s="2501"/>
      <c r="AS356" s="2555">
        <f ca="1">SUMIF(基礎・屋根・外壁!B$183:AE$183,F356,基礎・屋根・外壁!B$188:AE$188)+SUMIF(基礎・屋根・外壁!B$208:AE$208,F356,基礎・屋根・外壁!B$213:AE$213)+SUMIF(見積拾!C$76:D$80,F356,見積拾!T$76:T$80)</f>
        <v>0</v>
      </c>
      <c r="AT356" s="2556"/>
      <c r="AU356" s="2556"/>
      <c r="AV356" s="2557"/>
      <c r="AW356" s="2520">
        <f t="shared" ref="AW356:AW357" ca="1" si="97">INT(AP356*AS356)</f>
        <v>0</v>
      </c>
      <c r="AX356" s="2521"/>
      <c r="AY356" s="2521"/>
      <c r="AZ356" s="2522"/>
      <c r="BA356" s="25" t="b">
        <f t="shared" ref="BA356:BA357" ca="1" si="98">AW356&lt;&gt;0</f>
        <v>0</v>
      </c>
      <c r="BB356"/>
    </row>
    <row r="357" spans="2:54" ht="13.5" customHeight="1">
      <c r="B357" s="2681"/>
      <c r="C357" s="2673"/>
      <c r="D357" s="2682"/>
      <c r="E357" s="1393" t="s">
        <v>392</v>
      </c>
      <c r="F357" s="2540" t="s">
        <v>898</v>
      </c>
      <c r="G357" s="2540"/>
      <c r="H357" s="2540"/>
      <c r="I357" s="2540"/>
      <c r="J357" s="2540"/>
      <c r="K357" s="2540"/>
      <c r="L357" s="2540"/>
      <c r="M357" s="2540"/>
      <c r="N357" s="2540"/>
      <c r="O357" s="2540"/>
      <c r="P357" s="2541"/>
      <c r="Q357" s="2724"/>
      <c r="R357" s="2527"/>
      <c r="S357" s="2527"/>
      <c r="T357" s="1380" t="s">
        <v>64</v>
      </c>
      <c r="U357" s="2527"/>
      <c r="V357" s="2527"/>
      <c r="W357" s="2527"/>
      <c r="X357" s="1380" t="s">
        <v>64</v>
      </c>
      <c r="Y357" s="2527"/>
      <c r="Z357" s="2527"/>
      <c r="AA357" s="2527"/>
      <c r="AB357" s="1380" t="s">
        <v>64</v>
      </c>
      <c r="AC357" s="2527"/>
      <c r="AD357" s="2527"/>
      <c r="AE357" s="2527"/>
      <c r="AF357" s="1380" t="s">
        <v>64</v>
      </c>
      <c r="AG357" s="2527"/>
      <c r="AH357" s="2527"/>
      <c r="AI357" s="2786"/>
      <c r="AJ357" s="2543">
        <f t="shared" si="95"/>
        <v>0</v>
      </c>
      <c r="AK357" s="2544"/>
      <c r="AL357" s="2545"/>
      <c r="AM357" s="2505">
        <v>1</v>
      </c>
      <c r="AN357" s="2506"/>
      <c r="AO357" s="2507"/>
      <c r="AP357" s="2499">
        <f t="shared" si="96"/>
        <v>0</v>
      </c>
      <c r="AQ357" s="2500"/>
      <c r="AR357" s="2501"/>
      <c r="AS357" s="2555">
        <f ca="1">SUMIF(基礎・屋根・外壁!B$183:AE$183,F357,基礎・屋根・外壁!B$188:AE$188)+SUMIF(基礎・屋根・外壁!B$208:AE$208,F357,基礎・屋根・外壁!B$213:AE$213)+SUMIF(見積拾!C$76:D$80,F357,見積拾!T$76:T$80)</f>
        <v>0</v>
      </c>
      <c r="AT357" s="2556"/>
      <c r="AU357" s="2556"/>
      <c r="AV357" s="2557"/>
      <c r="AW357" s="2520">
        <f t="shared" ca="1" si="97"/>
        <v>0</v>
      </c>
      <c r="AX357" s="2521"/>
      <c r="AY357" s="2521"/>
      <c r="AZ357" s="2522"/>
      <c r="BA357" s="25" t="b">
        <f t="shared" ca="1" si="98"/>
        <v>0</v>
      </c>
      <c r="BB357"/>
    </row>
    <row r="358" spans="2:54" ht="13.5" customHeight="1">
      <c r="B358" s="2681"/>
      <c r="C358" s="2673"/>
      <c r="D358" s="2682"/>
      <c r="E358" s="1393" t="s">
        <v>918</v>
      </c>
      <c r="F358" s="2540" t="s">
        <v>898</v>
      </c>
      <c r="G358" s="2540"/>
      <c r="H358" s="2540"/>
      <c r="I358" s="2540"/>
      <c r="J358" s="2540"/>
      <c r="K358" s="2540"/>
      <c r="L358" s="2540"/>
      <c r="M358" s="2540"/>
      <c r="N358" s="2540"/>
      <c r="O358" s="2540"/>
      <c r="P358" s="2541"/>
      <c r="Q358" s="2724"/>
      <c r="R358" s="2527"/>
      <c r="S358" s="2527"/>
      <c r="T358" s="1380" t="s">
        <v>907</v>
      </c>
      <c r="U358" s="2527"/>
      <c r="V358" s="2527"/>
      <c r="W358" s="2527"/>
      <c r="X358" s="1380" t="s">
        <v>907</v>
      </c>
      <c r="Y358" s="2527"/>
      <c r="Z358" s="2527"/>
      <c r="AA358" s="2527"/>
      <c r="AB358" s="1380" t="s">
        <v>907</v>
      </c>
      <c r="AC358" s="2527"/>
      <c r="AD358" s="2527"/>
      <c r="AE358" s="2527"/>
      <c r="AF358" s="1380" t="s">
        <v>907</v>
      </c>
      <c r="AG358" s="2527"/>
      <c r="AH358" s="2527"/>
      <c r="AI358" s="2786"/>
      <c r="AJ358" s="2543">
        <f t="shared" si="91"/>
        <v>0</v>
      </c>
      <c r="AK358" s="2544"/>
      <c r="AL358" s="2545"/>
      <c r="AM358" s="2505">
        <v>1</v>
      </c>
      <c r="AN358" s="2506"/>
      <c r="AO358" s="2507"/>
      <c r="AP358" s="2499">
        <f t="shared" si="92"/>
        <v>0</v>
      </c>
      <c r="AQ358" s="2500"/>
      <c r="AR358" s="2501"/>
      <c r="AS358" s="2555">
        <f ca="1">SUMIF(基礎・屋根・外壁!B$183:AE$183,F358,基礎・屋根・外壁!B$188:AE$188)+SUMIF(基礎・屋根・外壁!B$208:AE$208,F358,基礎・屋根・外壁!B$213:AE$213)+SUMIF(見積拾!C$76:D$80,F358,見積拾!T$76:T$80)</f>
        <v>0</v>
      </c>
      <c r="AT358" s="2556"/>
      <c r="AU358" s="2556"/>
      <c r="AV358" s="2557"/>
      <c r="AW358" s="2520">
        <f t="shared" ca="1" si="93"/>
        <v>0</v>
      </c>
      <c r="AX358" s="2521"/>
      <c r="AY358" s="2521"/>
      <c r="AZ358" s="2522"/>
      <c r="BA358" s="25" t="b">
        <f t="shared" ca="1" si="94"/>
        <v>0</v>
      </c>
      <c r="BB358"/>
    </row>
    <row r="359" spans="2:54" ht="13.5" customHeight="1">
      <c r="B359" s="2681"/>
      <c r="C359" s="2673"/>
      <c r="D359" s="2682"/>
      <c r="E359" s="1394" t="s">
        <v>918</v>
      </c>
      <c r="F359" s="2654" t="s">
        <v>898</v>
      </c>
      <c r="G359" s="2654"/>
      <c r="H359" s="2654"/>
      <c r="I359" s="2654"/>
      <c r="J359" s="2654"/>
      <c r="K359" s="2654"/>
      <c r="L359" s="2654"/>
      <c r="M359" s="2654"/>
      <c r="N359" s="2654"/>
      <c r="O359" s="2654"/>
      <c r="P359" s="2655"/>
      <c r="Q359" s="2657"/>
      <c r="R359" s="2656"/>
      <c r="S359" s="2656"/>
      <c r="T359" s="1387" t="s">
        <v>907</v>
      </c>
      <c r="U359" s="2656"/>
      <c r="V359" s="2656"/>
      <c r="W359" s="2656"/>
      <c r="X359" s="1387" t="s">
        <v>907</v>
      </c>
      <c r="Y359" s="2656"/>
      <c r="Z359" s="2656"/>
      <c r="AA359" s="2656"/>
      <c r="AB359" s="1387" t="s">
        <v>907</v>
      </c>
      <c r="AC359" s="2656"/>
      <c r="AD359" s="2656"/>
      <c r="AE359" s="2656"/>
      <c r="AF359" s="1387" t="s">
        <v>907</v>
      </c>
      <c r="AG359" s="2656"/>
      <c r="AH359" s="2656"/>
      <c r="AI359" s="2672"/>
      <c r="AJ359" s="2662">
        <f t="shared" si="91"/>
        <v>0</v>
      </c>
      <c r="AK359" s="2663"/>
      <c r="AL359" s="2664"/>
      <c r="AM359" s="2558">
        <v>1</v>
      </c>
      <c r="AN359" s="2559"/>
      <c r="AO359" s="2560"/>
      <c r="AP359" s="2662">
        <f t="shared" si="92"/>
        <v>0</v>
      </c>
      <c r="AQ359" s="2663"/>
      <c r="AR359" s="2664"/>
      <c r="AS359" s="2555">
        <f ca="1">SUMIF(基礎・屋根・外壁!B$183:AE$183,F359,基礎・屋根・外壁!B$188:AE$188)+SUMIF(基礎・屋根・外壁!B$208:AE$208,F359,基礎・屋根・外壁!B$213:AE$213)+SUMIF(見積拾!C$76:D$80,F359,見積拾!T$76:T$80)</f>
        <v>0</v>
      </c>
      <c r="AT359" s="2556"/>
      <c r="AU359" s="2556"/>
      <c r="AV359" s="2557"/>
      <c r="AW359" s="2665">
        <f t="shared" ca="1" si="93"/>
        <v>0</v>
      </c>
      <c r="AX359" s="2666"/>
      <c r="AY359" s="2666"/>
      <c r="AZ359" s="2667"/>
      <c r="BA359" s="25" t="b">
        <f t="shared" ca="1" si="94"/>
        <v>0</v>
      </c>
    </row>
    <row r="360" spans="2:54" ht="13.5" customHeight="1">
      <c r="B360" s="2681"/>
      <c r="C360" s="2673"/>
      <c r="D360" s="2682"/>
      <c r="E360" s="2789" t="s">
        <v>1271</v>
      </c>
      <c r="F360" s="2790"/>
      <c r="G360" s="335" t="s">
        <v>893</v>
      </c>
      <c r="H360" s="3093" t="s">
        <v>940</v>
      </c>
      <c r="I360" s="3093"/>
      <c r="J360" s="3093"/>
      <c r="K360" s="3093"/>
      <c r="L360" s="3093"/>
      <c r="M360" s="3093"/>
      <c r="N360" s="3093"/>
      <c r="O360" s="3093"/>
      <c r="P360" s="3094"/>
      <c r="Q360" s="2787">
        <v>2900</v>
      </c>
      <c r="R360" s="2728"/>
      <c r="S360" s="2728"/>
      <c r="T360" s="336" t="s">
        <v>64</v>
      </c>
      <c r="U360" s="2687" t="s">
        <v>1173</v>
      </c>
      <c r="V360" s="2687"/>
      <c r="W360" s="2687"/>
      <c r="X360" s="2101" t="s">
        <v>895</v>
      </c>
      <c r="Y360" s="2687" t="s">
        <v>1174</v>
      </c>
      <c r="Z360" s="2687"/>
      <c r="AA360" s="2687"/>
      <c r="AB360" s="336" t="s">
        <v>64</v>
      </c>
      <c r="AC360" s="2728"/>
      <c r="AD360" s="2728"/>
      <c r="AE360" s="2728"/>
      <c r="AF360" s="336" t="s">
        <v>64</v>
      </c>
      <c r="AG360" s="2728"/>
      <c r="AH360" s="2728"/>
      <c r="AI360" s="2728"/>
      <c r="AJ360" s="2609">
        <f t="shared" si="91"/>
        <v>2900</v>
      </c>
      <c r="AK360" s="2610"/>
      <c r="AL360" s="2611"/>
      <c r="AM360" s="2644">
        <v>1</v>
      </c>
      <c r="AN360" s="2645"/>
      <c r="AO360" s="2692"/>
      <c r="AP360" s="2651">
        <f t="shared" si="92"/>
        <v>2900</v>
      </c>
      <c r="AQ360" s="2652"/>
      <c r="AR360" s="2653"/>
      <c r="AS360" s="3084">
        <f>SUMIF(基礎・屋根・外壁!B$184:AE$184,H360,基礎・屋根・外壁!B$188:AE$188)+SUMIF(基礎・屋根・外壁!B$185:AE$185,H360,基礎・屋根・外壁!B$188:AE$188)+
SUMIF(基礎・屋根・外壁!B$209:AE$209,H360,基礎・屋根・外壁!B$213:AE$213)+SUMIF(基礎・屋根・外壁!B$210:AE$210,H360,基礎・屋根・外壁!B$213:AE$213)+
SUMIF(見積拾!D$81:D$85,H360,見積拾!T$81:T$85)</f>
        <v>0</v>
      </c>
      <c r="AT360" s="3085"/>
      <c r="AU360" s="3085"/>
      <c r="AV360" s="3086"/>
      <c r="AW360" s="2609">
        <f t="shared" si="93"/>
        <v>0</v>
      </c>
      <c r="AX360" s="2610"/>
      <c r="AY360" s="2610"/>
      <c r="AZ360" s="2611"/>
      <c r="BA360" s="25" t="b">
        <f t="shared" si="94"/>
        <v>0</v>
      </c>
    </row>
    <row r="361" spans="2:54" ht="13.5" customHeight="1">
      <c r="B361" s="2681"/>
      <c r="C361" s="2673"/>
      <c r="D361" s="2682"/>
      <c r="E361" s="2734"/>
      <c r="F361" s="2674"/>
      <c r="G361" s="337" t="s">
        <v>893</v>
      </c>
      <c r="H361" s="2712" t="s">
        <v>941</v>
      </c>
      <c r="I361" s="2712"/>
      <c r="J361" s="2712"/>
      <c r="K361" s="2712"/>
      <c r="L361" s="2712"/>
      <c r="M361" s="2712"/>
      <c r="N361" s="2712"/>
      <c r="O361" s="2712"/>
      <c r="P361" s="2713"/>
      <c r="Q361" s="2694">
        <v>1360</v>
      </c>
      <c r="R361" s="2689"/>
      <c r="S361" s="2689"/>
      <c r="T361" s="326" t="s">
        <v>64</v>
      </c>
      <c r="U361" s="2687" t="s">
        <v>1173</v>
      </c>
      <c r="V361" s="2687"/>
      <c r="W361" s="2687"/>
      <c r="X361" s="326" t="s">
        <v>64</v>
      </c>
      <c r="Y361" s="2687" t="s">
        <v>1174</v>
      </c>
      <c r="Z361" s="2687"/>
      <c r="AA361" s="2687"/>
      <c r="AB361" s="326" t="s">
        <v>64</v>
      </c>
      <c r="AC361" s="2689"/>
      <c r="AD361" s="2689"/>
      <c r="AE361" s="2689"/>
      <c r="AF361" s="326" t="s">
        <v>64</v>
      </c>
      <c r="AG361" s="2689"/>
      <c r="AH361" s="2689"/>
      <c r="AI361" s="2689"/>
      <c r="AJ361" s="2561">
        <f t="shared" si="91"/>
        <v>1360</v>
      </c>
      <c r="AK361" s="2562"/>
      <c r="AL361" s="2563"/>
      <c r="AM361" s="2502">
        <v>1</v>
      </c>
      <c r="AN361" s="2503"/>
      <c r="AO361" s="2504"/>
      <c r="AP361" s="2499">
        <f t="shared" si="92"/>
        <v>1360</v>
      </c>
      <c r="AQ361" s="2500"/>
      <c r="AR361" s="2501"/>
      <c r="AS361" s="2555">
        <f>SUMIF(基礎・屋根・外壁!B$184:AE$184,H361,基礎・屋根・外壁!B$188:AE$188)+SUMIF(基礎・屋根・外壁!B$185:AE$185,H361,基礎・屋根・外壁!B$188:AE$188)+
SUMIF(基礎・屋根・外壁!B$209:AE$209,H361,基礎・屋根・外壁!B$213:AE$213)+SUMIF(基礎・屋根・外壁!B$210:AE$210,H361,基礎・屋根・外壁!B$213:AE$213)+
SUMIF(見積拾!D$81:D$85,H361,見積拾!T$81:T$85)</f>
        <v>0</v>
      </c>
      <c r="AT361" s="2556"/>
      <c r="AU361" s="2556"/>
      <c r="AV361" s="2557"/>
      <c r="AW361" s="2561">
        <f t="shared" si="93"/>
        <v>0</v>
      </c>
      <c r="AX361" s="2562"/>
      <c r="AY361" s="2562"/>
      <c r="AZ361" s="2563"/>
      <c r="BA361" s="25" t="b">
        <f t="shared" si="94"/>
        <v>0</v>
      </c>
    </row>
    <row r="362" spans="2:54" ht="13.5" customHeight="1">
      <c r="B362" s="2681"/>
      <c r="C362" s="2673"/>
      <c r="D362" s="2682"/>
      <c r="E362" s="2734"/>
      <c r="F362" s="2674"/>
      <c r="G362" s="337" t="s">
        <v>893</v>
      </c>
      <c r="H362" s="2712" t="s">
        <v>942</v>
      </c>
      <c r="I362" s="2712"/>
      <c r="J362" s="2712"/>
      <c r="K362" s="2712"/>
      <c r="L362" s="2712"/>
      <c r="M362" s="2712"/>
      <c r="N362" s="2712"/>
      <c r="O362" s="2712"/>
      <c r="P362" s="2713"/>
      <c r="Q362" s="2694">
        <v>930</v>
      </c>
      <c r="R362" s="2689"/>
      <c r="S362" s="2689"/>
      <c r="T362" s="326" t="s">
        <v>64</v>
      </c>
      <c r="U362" s="2687" t="s">
        <v>1173</v>
      </c>
      <c r="V362" s="2687"/>
      <c r="W362" s="2687"/>
      <c r="X362" s="326" t="s">
        <v>64</v>
      </c>
      <c r="Y362" s="2687" t="s">
        <v>1174</v>
      </c>
      <c r="Z362" s="2687"/>
      <c r="AA362" s="2687"/>
      <c r="AB362" s="326" t="s">
        <v>64</v>
      </c>
      <c r="AC362" s="2689"/>
      <c r="AD362" s="2689"/>
      <c r="AE362" s="2689"/>
      <c r="AF362" s="326" t="s">
        <v>64</v>
      </c>
      <c r="AG362" s="2689"/>
      <c r="AH362" s="2689"/>
      <c r="AI362" s="2689"/>
      <c r="AJ362" s="2561">
        <f t="shared" ref="AJ362" si="99">ROUNDDOWN(SUM(Q362:AI362),-1)</f>
        <v>930</v>
      </c>
      <c r="AK362" s="2562"/>
      <c r="AL362" s="2563"/>
      <c r="AM362" s="2502">
        <v>1</v>
      </c>
      <c r="AN362" s="2503"/>
      <c r="AO362" s="2504"/>
      <c r="AP362" s="2499">
        <f t="shared" ref="AP362" si="100">INT(AJ362*AM362)</f>
        <v>930</v>
      </c>
      <c r="AQ362" s="2500"/>
      <c r="AR362" s="2501"/>
      <c r="AS362" s="2555">
        <f>SUMIF(基礎・屋根・外壁!B$184:AE$184,H362,基礎・屋根・外壁!B$188:AE$188)+SUMIF(基礎・屋根・外壁!B$185:AE$185,H362,基礎・屋根・外壁!B$188:AE$188)+
SUMIF(基礎・屋根・外壁!B$209:AE$209,H362,基礎・屋根・外壁!B$213:AE$213)+SUMIF(基礎・屋根・外壁!B$210:AE$210,H362,基礎・屋根・外壁!B$213:AE$213)+
SUMIF(見積拾!D$81:D$85,H362,見積拾!T$81:T$85)</f>
        <v>0</v>
      </c>
      <c r="AT362" s="2556"/>
      <c r="AU362" s="2556"/>
      <c r="AV362" s="2557"/>
      <c r="AW362" s="2561">
        <f t="shared" ref="AW362" si="101">INT(AP362*AS362)</f>
        <v>0</v>
      </c>
      <c r="AX362" s="2562"/>
      <c r="AY362" s="2562"/>
      <c r="AZ362" s="2563"/>
      <c r="BA362" s="25" t="b">
        <f t="shared" ref="BA362" si="102">AW362&lt;&gt;0</f>
        <v>0</v>
      </c>
      <c r="BB362"/>
    </row>
    <row r="363" spans="2:54" s="1929" customFormat="1" ht="13.5" customHeight="1">
      <c r="B363" s="2681"/>
      <c r="C363" s="2673"/>
      <c r="D363" s="2683"/>
      <c r="E363" s="2734"/>
      <c r="F363" s="2791"/>
      <c r="G363" s="337" t="s">
        <v>893</v>
      </c>
      <c r="H363" s="2712" t="s">
        <v>1959</v>
      </c>
      <c r="I363" s="2712"/>
      <c r="J363" s="2712"/>
      <c r="K363" s="2712"/>
      <c r="L363" s="2712"/>
      <c r="M363" s="2712"/>
      <c r="N363" s="2712"/>
      <c r="O363" s="2712"/>
      <c r="P363" s="2713"/>
      <c r="Q363" s="2694">
        <v>1790</v>
      </c>
      <c r="R363" s="2689"/>
      <c r="S363" s="2689"/>
      <c r="T363" s="326" t="s">
        <v>64</v>
      </c>
      <c r="U363" s="2687" t="s">
        <v>1173</v>
      </c>
      <c r="V363" s="2687"/>
      <c r="W363" s="2687"/>
      <c r="X363" s="326" t="s">
        <v>64</v>
      </c>
      <c r="Y363" s="2687" t="s">
        <v>1174</v>
      </c>
      <c r="Z363" s="2687"/>
      <c r="AA363" s="2687"/>
      <c r="AB363" s="326" t="s">
        <v>64</v>
      </c>
      <c r="AC363" s="2689"/>
      <c r="AD363" s="2689"/>
      <c r="AE363" s="2689"/>
      <c r="AF363" s="326" t="s">
        <v>64</v>
      </c>
      <c r="AG363" s="2689"/>
      <c r="AH363" s="2689"/>
      <c r="AI363" s="2689"/>
      <c r="AJ363" s="2561">
        <f t="shared" ref="AJ363:AJ366" si="103">ROUNDDOWN(SUM(Q363:AI363),-1)</f>
        <v>1790</v>
      </c>
      <c r="AK363" s="2562"/>
      <c r="AL363" s="2563"/>
      <c r="AM363" s="2502">
        <v>1</v>
      </c>
      <c r="AN363" s="2503"/>
      <c r="AO363" s="2504"/>
      <c r="AP363" s="2499">
        <f t="shared" ref="AP363:AP366" si="104">INT(AJ363*AM363)</f>
        <v>1790</v>
      </c>
      <c r="AQ363" s="2500"/>
      <c r="AR363" s="2501"/>
      <c r="AS363" s="2555">
        <f>SUMIF(基礎・屋根・外壁!B$184:AE$184,H363,基礎・屋根・外壁!B$188:AE$188)+SUMIF(基礎・屋根・外壁!B$185:AE$185,H363,基礎・屋根・外壁!B$188:AE$188)+
SUMIF(基礎・屋根・外壁!B$209:AE$209,H363,基礎・屋根・外壁!B$213:AE$213)+SUMIF(基礎・屋根・外壁!B$210:AE$210,H363,基礎・屋根・外壁!B$213:AE$213)+
SUMIF(見積拾!D$81:D$85,H363,見積拾!T$81:T$85)</f>
        <v>0</v>
      </c>
      <c r="AT363" s="2556"/>
      <c r="AU363" s="2556"/>
      <c r="AV363" s="2557"/>
      <c r="AW363" s="2561">
        <f t="shared" ref="AW363:AW366" si="105">INT(AP363*AS363)</f>
        <v>0</v>
      </c>
      <c r="AX363" s="2562"/>
      <c r="AY363" s="2562"/>
      <c r="AZ363" s="2563"/>
      <c r="BA363" s="25" t="b">
        <f t="shared" ref="BA363:BA366" si="106">AW363&lt;&gt;0</f>
        <v>0</v>
      </c>
    </row>
    <row r="364" spans="2:54" s="1929" customFormat="1" ht="13.5" customHeight="1">
      <c r="B364" s="2681"/>
      <c r="C364" s="2673"/>
      <c r="D364" s="2683"/>
      <c r="E364" s="2734"/>
      <c r="F364" s="2791"/>
      <c r="G364" s="337" t="s">
        <v>893</v>
      </c>
      <c r="H364" s="2712" t="s">
        <v>1960</v>
      </c>
      <c r="I364" s="2712"/>
      <c r="J364" s="2712"/>
      <c r="K364" s="2712"/>
      <c r="L364" s="2712"/>
      <c r="M364" s="2712"/>
      <c r="N364" s="2712"/>
      <c r="O364" s="2712"/>
      <c r="P364" s="2713"/>
      <c r="Q364" s="2694">
        <v>990</v>
      </c>
      <c r="R364" s="2689"/>
      <c r="S364" s="2689"/>
      <c r="T364" s="326" t="s">
        <v>64</v>
      </c>
      <c r="U364" s="2687" t="s">
        <v>1173</v>
      </c>
      <c r="V364" s="2687"/>
      <c r="W364" s="2687"/>
      <c r="X364" s="326" t="s">
        <v>64</v>
      </c>
      <c r="Y364" s="2687" t="s">
        <v>1174</v>
      </c>
      <c r="Z364" s="2687"/>
      <c r="AA364" s="2687"/>
      <c r="AB364" s="326" t="s">
        <v>64</v>
      </c>
      <c r="AC364" s="2689"/>
      <c r="AD364" s="2689"/>
      <c r="AE364" s="2689"/>
      <c r="AF364" s="326" t="s">
        <v>64</v>
      </c>
      <c r="AG364" s="2689"/>
      <c r="AH364" s="2689"/>
      <c r="AI364" s="2689"/>
      <c r="AJ364" s="2561">
        <f t="shared" ref="AJ364" si="107">ROUNDDOWN(SUM(Q364:AI364),-1)</f>
        <v>990</v>
      </c>
      <c r="AK364" s="2562"/>
      <c r="AL364" s="2563"/>
      <c r="AM364" s="2502">
        <v>1</v>
      </c>
      <c r="AN364" s="2503"/>
      <c r="AO364" s="2504"/>
      <c r="AP364" s="2499">
        <f t="shared" ref="AP364" si="108">INT(AJ364*AM364)</f>
        <v>990</v>
      </c>
      <c r="AQ364" s="2500"/>
      <c r="AR364" s="2501"/>
      <c r="AS364" s="2555">
        <f>SUMIF(基礎・屋根・外壁!B$184:AE$184,H364,基礎・屋根・外壁!B$188:AE$188)+SUMIF(基礎・屋根・外壁!B$185:AE$185,H364,基礎・屋根・外壁!B$188:AE$188)+
SUMIF(基礎・屋根・外壁!B$209:AE$209,H364,基礎・屋根・外壁!B$213:AE$213)+SUMIF(基礎・屋根・外壁!B$210:AE$210,H364,基礎・屋根・外壁!B$213:AE$213)+
SUMIF(見積拾!D$81:D$85,H364,見積拾!T$81:T$85)</f>
        <v>0</v>
      </c>
      <c r="AT364" s="2556"/>
      <c r="AU364" s="2556"/>
      <c r="AV364" s="2557"/>
      <c r="AW364" s="2561">
        <f t="shared" ref="AW364" si="109">INT(AP364*AS364)</f>
        <v>0</v>
      </c>
      <c r="AX364" s="2562"/>
      <c r="AY364" s="2562"/>
      <c r="AZ364" s="2563"/>
      <c r="BA364" s="25" t="b">
        <f t="shared" ref="BA364" si="110">AW364&lt;&gt;0</f>
        <v>0</v>
      </c>
    </row>
    <row r="365" spans="2:54" s="1929" customFormat="1" ht="13.5" customHeight="1">
      <c r="B365" s="2681"/>
      <c r="C365" s="2673"/>
      <c r="D365" s="2683"/>
      <c r="E365" s="2734"/>
      <c r="F365" s="2791"/>
      <c r="G365" s="337" t="s">
        <v>893</v>
      </c>
      <c r="H365" s="2712" t="s">
        <v>1961</v>
      </c>
      <c r="I365" s="2712"/>
      <c r="J365" s="2712"/>
      <c r="K365" s="2712"/>
      <c r="L365" s="2712"/>
      <c r="M365" s="2712"/>
      <c r="N365" s="2712"/>
      <c r="O365" s="2712"/>
      <c r="P365" s="2713"/>
      <c r="Q365" s="2694">
        <v>1750</v>
      </c>
      <c r="R365" s="2689"/>
      <c r="S365" s="2689"/>
      <c r="T365" s="326" t="s">
        <v>64</v>
      </c>
      <c r="U365" s="2687" t="s">
        <v>1173</v>
      </c>
      <c r="V365" s="2687"/>
      <c r="W365" s="2687"/>
      <c r="X365" s="326" t="s">
        <v>64</v>
      </c>
      <c r="Y365" s="2687" t="s">
        <v>1174</v>
      </c>
      <c r="Z365" s="2687"/>
      <c r="AA365" s="2687"/>
      <c r="AB365" s="326" t="s">
        <v>64</v>
      </c>
      <c r="AC365" s="2689"/>
      <c r="AD365" s="2689"/>
      <c r="AE365" s="2689"/>
      <c r="AF365" s="326" t="s">
        <v>64</v>
      </c>
      <c r="AG365" s="2689"/>
      <c r="AH365" s="2689"/>
      <c r="AI365" s="2689"/>
      <c r="AJ365" s="2561">
        <f t="shared" si="103"/>
        <v>1750</v>
      </c>
      <c r="AK365" s="2562"/>
      <c r="AL365" s="2563"/>
      <c r="AM365" s="2502">
        <v>1</v>
      </c>
      <c r="AN365" s="2503"/>
      <c r="AO365" s="2504"/>
      <c r="AP365" s="2499">
        <f t="shared" si="104"/>
        <v>1750</v>
      </c>
      <c r="AQ365" s="2500"/>
      <c r="AR365" s="2501"/>
      <c r="AS365" s="2555">
        <f>SUMIF(基礎・屋根・外壁!B$184:AE$184,H365,基礎・屋根・外壁!B$188:AE$188)+SUMIF(基礎・屋根・外壁!B$185:AE$185,H365,基礎・屋根・外壁!B$188:AE$188)+
SUMIF(基礎・屋根・外壁!B$209:AE$209,H365,基礎・屋根・外壁!B$213:AE$213)+SUMIF(基礎・屋根・外壁!B$210:AE$210,H365,基礎・屋根・外壁!B$213:AE$213)+
SUMIF(見積拾!D$81:D$85,H365,見積拾!T$81:T$85)</f>
        <v>0</v>
      </c>
      <c r="AT365" s="2556"/>
      <c r="AU365" s="2556"/>
      <c r="AV365" s="2557"/>
      <c r="AW365" s="2561">
        <f t="shared" si="105"/>
        <v>0</v>
      </c>
      <c r="AX365" s="2562"/>
      <c r="AY365" s="2562"/>
      <c r="AZ365" s="2563"/>
      <c r="BA365" s="25" t="b">
        <f t="shared" si="106"/>
        <v>0</v>
      </c>
    </row>
    <row r="366" spans="2:54" s="1929" customFormat="1" ht="13.5" customHeight="1">
      <c r="B366" s="2681"/>
      <c r="C366" s="2673"/>
      <c r="D366" s="2683"/>
      <c r="E366" s="2734"/>
      <c r="F366" s="2791"/>
      <c r="G366" s="337" t="s">
        <v>893</v>
      </c>
      <c r="H366" s="2712" t="s">
        <v>1962</v>
      </c>
      <c r="I366" s="2712"/>
      <c r="J366" s="2712"/>
      <c r="K366" s="2712"/>
      <c r="L366" s="2712"/>
      <c r="M366" s="2712"/>
      <c r="N366" s="2712"/>
      <c r="O366" s="2712"/>
      <c r="P366" s="2713"/>
      <c r="Q366" s="2694">
        <v>810</v>
      </c>
      <c r="R366" s="2689"/>
      <c r="S366" s="2689"/>
      <c r="T366" s="326" t="s">
        <v>64</v>
      </c>
      <c r="U366" s="2687" t="s">
        <v>1173</v>
      </c>
      <c r="V366" s="2687"/>
      <c r="W366" s="2687"/>
      <c r="X366" s="326" t="s">
        <v>64</v>
      </c>
      <c r="Y366" s="2687" t="s">
        <v>1174</v>
      </c>
      <c r="Z366" s="2687"/>
      <c r="AA366" s="2687"/>
      <c r="AB366" s="326" t="s">
        <v>64</v>
      </c>
      <c r="AC366" s="2689"/>
      <c r="AD366" s="2689"/>
      <c r="AE366" s="2689"/>
      <c r="AF366" s="326" t="s">
        <v>64</v>
      </c>
      <c r="AG366" s="2689"/>
      <c r="AH366" s="2689"/>
      <c r="AI366" s="2689"/>
      <c r="AJ366" s="2561">
        <f t="shared" si="103"/>
        <v>810</v>
      </c>
      <c r="AK366" s="2562"/>
      <c r="AL366" s="2563"/>
      <c r="AM366" s="2502">
        <v>1</v>
      </c>
      <c r="AN366" s="2503"/>
      <c r="AO366" s="2504"/>
      <c r="AP366" s="2499">
        <f t="shared" si="104"/>
        <v>810</v>
      </c>
      <c r="AQ366" s="2500"/>
      <c r="AR366" s="2501"/>
      <c r="AS366" s="2555">
        <f>SUMIF(基礎・屋根・外壁!B$184:AE$184,H366,基礎・屋根・外壁!B$188:AE$188)+SUMIF(基礎・屋根・外壁!B$185:AE$185,H366,基礎・屋根・外壁!B$188:AE$188)+
SUMIF(基礎・屋根・外壁!B$209:AE$209,H366,基礎・屋根・外壁!B$213:AE$213)+SUMIF(基礎・屋根・外壁!B$210:AE$210,H366,基礎・屋根・外壁!B$213:AE$213)+
SUMIF(見積拾!D$81:D$85,H366,見積拾!T$81:T$85)</f>
        <v>0</v>
      </c>
      <c r="AT366" s="2556"/>
      <c r="AU366" s="2556"/>
      <c r="AV366" s="2557"/>
      <c r="AW366" s="2561">
        <f t="shared" si="105"/>
        <v>0</v>
      </c>
      <c r="AX366" s="2562"/>
      <c r="AY366" s="2562"/>
      <c r="AZ366" s="2563"/>
      <c r="BA366" s="25" t="b">
        <f t="shared" si="106"/>
        <v>0</v>
      </c>
    </row>
    <row r="367" spans="2:54" s="1929" customFormat="1" ht="13.5" customHeight="1">
      <c r="B367" s="2681"/>
      <c r="C367" s="2673"/>
      <c r="D367" s="2683"/>
      <c r="E367" s="2734"/>
      <c r="F367" s="2791"/>
      <c r="G367" s="337" t="s">
        <v>893</v>
      </c>
      <c r="H367" s="2712" t="s">
        <v>1270</v>
      </c>
      <c r="I367" s="2712"/>
      <c r="J367" s="2712"/>
      <c r="K367" s="2712"/>
      <c r="L367" s="2712"/>
      <c r="M367" s="2712"/>
      <c r="N367" s="2712"/>
      <c r="O367" s="2712"/>
      <c r="P367" s="2713"/>
      <c r="Q367" s="2694">
        <v>1880</v>
      </c>
      <c r="R367" s="2689"/>
      <c r="S367" s="2689"/>
      <c r="T367" s="326" t="s">
        <v>64</v>
      </c>
      <c r="U367" s="2687" t="s">
        <v>1173</v>
      </c>
      <c r="V367" s="2687"/>
      <c r="W367" s="2687"/>
      <c r="X367" s="326" t="s">
        <v>64</v>
      </c>
      <c r="Y367" s="2687" t="s">
        <v>1174</v>
      </c>
      <c r="Z367" s="2687"/>
      <c r="AA367" s="2687"/>
      <c r="AB367" s="326" t="s">
        <v>64</v>
      </c>
      <c r="AC367" s="2689"/>
      <c r="AD367" s="2689"/>
      <c r="AE367" s="2689"/>
      <c r="AF367" s="326" t="s">
        <v>64</v>
      </c>
      <c r="AG367" s="2689"/>
      <c r="AH367" s="2689"/>
      <c r="AI367" s="2689"/>
      <c r="AJ367" s="2561">
        <f t="shared" ref="AJ367" si="111">ROUNDDOWN(SUM(Q367:AI367),-1)</f>
        <v>1880</v>
      </c>
      <c r="AK367" s="2562"/>
      <c r="AL367" s="2563"/>
      <c r="AM367" s="2502">
        <v>1</v>
      </c>
      <c r="AN367" s="2503"/>
      <c r="AO367" s="2504"/>
      <c r="AP367" s="2499">
        <f t="shared" ref="AP367" si="112">INT(AJ367*AM367)</f>
        <v>1880</v>
      </c>
      <c r="AQ367" s="2500"/>
      <c r="AR367" s="2501"/>
      <c r="AS367" s="2555">
        <f>SUMIF(基礎・屋根・外壁!B$184:AE$184,H367,基礎・屋根・外壁!B$188:AE$188)+SUMIF(基礎・屋根・外壁!B$185:AE$185,H367,基礎・屋根・外壁!B$188:AE$188)+
SUMIF(基礎・屋根・外壁!B$209:AE$209,H367,基礎・屋根・外壁!B$213:AE$213)+SUMIF(基礎・屋根・外壁!B$210:AE$210,H367,基礎・屋根・外壁!B$213:AE$213)+
SUMIF(見積拾!D$81:D$85,H367,見積拾!T$81:T$85)</f>
        <v>0</v>
      </c>
      <c r="AT367" s="2556"/>
      <c r="AU367" s="2556"/>
      <c r="AV367" s="2557"/>
      <c r="AW367" s="2561">
        <f t="shared" ref="AW367" si="113">INT(AP367*AS367)</f>
        <v>0</v>
      </c>
      <c r="AX367" s="2562"/>
      <c r="AY367" s="2562"/>
      <c r="AZ367" s="2563"/>
      <c r="BA367" s="25" t="b">
        <f t="shared" ref="BA367" si="114">AW367&lt;&gt;0</f>
        <v>0</v>
      </c>
    </row>
    <row r="368" spans="2:54" ht="13.5" customHeight="1">
      <c r="B368" s="2681"/>
      <c r="C368" s="2673"/>
      <c r="D368" s="2682"/>
      <c r="E368" s="2734"/>
      <c r="F368" s="2674"/>
      <c r="G368" s="337" t="s">
        <v>893</v>
      </c>
      <c r="H368" s="2712" t="s">
        <v>1963</v>
      </c>
      <c r="I368" s="2712"/>
      <c r="J368" s="2712"/>
      <c r="K368" s="2712"/>
      <c r="L368" s="2712"/>
      <c r="M368" s="2712"/>
      <c r="N368" s="2712"/>
      <c r="O368" s="2712"/>
      <c r="P368" s="2713"/>
      <c r="Q368" s="2694">
        <v>730</v>
      </c>
      <c r="R368" s="2689"/>
      <c r="S368" s="2689"/>
      <c r="T368" s="326" t="s">
        <v>64</v>
      </c>
      <c r="U368" s="2687" t="s">
        <v>1173</v>
      </c>
      <c r="V368" s="2687"/>
      <c r="W368" s="2687"/>
      <c r="X368" s="326" t="s">
        <v>64</v>
      </c>
      <c r="Y368" s="2687" t="s">
        <v>1174</v>
      </c>
      <c r="Z368" s="2687"/>
      <c r="AA368" s="2687"/>
      <c r="AB368" s="326" t="s">
        <v>64</v>
      </c>
      <c r="AC368" s="2689"/>
      <c r="AD368" s="2689"/>
      <c r="AE368" s="2689"/>
      <c r="AF368" s="326" t="s">
        <v>64</v>
      </c>
      <c r="AG368" s="2689"/>
      <c r="AH368" s="2689"/>
      <c r="AI368" s="2689"/>
      <c r="AJ368" s="2561">
        <f t="shared" si="91"/>
        <v>730</v>
      </c>
      <c r="AK368" s="2562"/>
      <c r="AL368" s="2563"/>
      <c r="AM368" s="2502">
        <v>1</v>
      </c>
      <c r="AN368" s="2503"/>
      <c r="AO368" s="2504"/>
      <c r="AP368" s="2499">
        <f t="shared" si="92"/>
        <v>730</v>
      </c>
      <c r="AQ368" s="2500"/>
      <c r="AR368" s="2501"/>
      <c r="AS368" s="2555">
        <f>SUMIF(基礎・屋根・外壁!B$184:AE$184,H368,基礎・屋根・外壁!B$188:AE$188)+SUMIF(基礎・屋根・外壁!B$185:AE$185,H368,基礎・屋根・外壁!B$188:AE$188)+
SUMIF(基礎・屋根・外壁!B$209:AE$209,H368,基礎・屋根・外壁!B$213:AE$213)+SUMIF(基礎・屋根・外壁!B$210:AE$210,H368,基礎・屋根・外壁!B$213:AE$213)+
SUMIF(見積拾!D$81:D$85,H368,見積拾!T$81:T$85)</f>
        <v>0</v>
      </c>
      <c r="AT368" s="2556"/>
      <c r="AU368" s="2556"/>
      <c r="AV368" s="2557"/>
      <c r="AW368" s="2561">
        <f t="shared" si="93"/>
        <v>0</v>
      </c>
      <c r="AX368" s="2562"/>
      <c r="AY368" s="2562"/>
      <c r="AZ368" s="2563"/>
      <c r="BA368" s="25" t="b">
        <f t="shared" si="94"/>
        <v>0</v>
      </c>
      <c r="BB368"/>
    </row>
    <row r="369" spans="1:54" ht="13.5" customHeight="1" thickBot="1">
      <c r="B369" s="2681"/>
      <c r="C369" s="2673"/>
      <c r="D369" s="2682"/>
      <c r="E369" s="2734"/>
      <c r="F369" s="2674"/>
      <c r="G369" s="338" t="s">
        <v>65</v>
      </c>
      <c r="H369" s="3090" t="s">
        <v>943</v>
      </c>
      <c r="I369" s="3090"/>
      <c r="J369" s="3090"/>
      <c r="K369" s="3090"/>
      <c r="L369" s="3090"/>
      <c r="M369" s="3090"/>
      <c r="N369" s="3090"/>
      <c r="O369" s="3090"/>
      <c r="P369" s="3091"/>
      <c r="Q369" s="3092"/>
      <c r="R369" s="2688"/>
      <c r="S369" s="2688"/>
      <c r="T369" s="332"/>
      <c r="U369" s="2688"/>
      <c r="V369" s="2688"/>
      <c r="W369" s="2688"/>
      <c r="X369" s="332"/>
      <c r="Y369" s="2688"/>
      <c r="Z369" s="2688"/>
      <c r="AA369" s="2688"/>
      <c r="AB369" s="332"/>
      <c r="AC369" s="2688"/>
      <c r="AD369" s="2688"/>
      <c r="AE369" s="2688"/>
      <c r="AF369" s="332"/>
      <c r="AG369" s="2688"/>
      <c r="AH369" s="2688"/>
      <c r="AI369" s="2688"/>
      <c r="AJ369" s="2662">
        <f t="shared" si="91"/>
        <v>0</v>
      </c>
      <c r="AK369" s="2663"/>
      <c r="AL369" s="2664"/>
      <c r="AM369" s="2558">
        <v>1</v>
      </c>
      <c r="AN369" s="2559"/>
      <c r="AO369" s="2560"/>
      <c r="AP369" s="2662">
        <f t="shared" si="92"/>
        <v>0</v>
      </c>
      <c r="AQ369" s="2663"/>
      <c r="AR369" s="2664"/>
      <c r="AS369" s="2721"/>
      <c r="AT369" s="2722"/>
      <c r="AU369" s="2722"/>
      <c r="AV369" s="2723"/>
      <c r="AW369" s="2665">
        <f t="shared" si="93"/>
        <v>0</v>
      </c>
      <c r="AX369" s="2666"/>
      <c r="AY369" s="2666"/>
      <c r="AZ369" s="2667"/>
      <c r="BA369" s="25" t="b">
        <f t="shared" si="94"/>
        <v>0</v>
      </c>
      <c r="BB369"/>
    </row>
    <row r="370" spans="1:54" ht="13.5" customHeight="1" thickBot="1">
      <c r="B370" s="2684"/>
      <c r="C370" s="2685"/>
      <c r="D370" s="2686"/>
      <c r="E370" s="329"/>
      <c r="F370" s="330"/>
      <c r="G370" s="330"/>
      <c r="H370" s="330"/>
      <c r="I370" s="330"/>
      <c r="J370" s="330"/>
      <c r="K370" s="330"/>
      <c r="L370" s="330"/>
      <c r="M370" s="330"/>
      <c r="N370" s="330"/>
      <c r="O370" s="330"/>
      <c r="P370" s="330"/>
      <c r="Q370" s="329"/>
      <c r="R370" s="330"/>
      <c r="S370" s="330"/>
      <c r="T370" s="330"/>
      <c r="U370" s="330"/>
      <c r="V370" s="330"/>
      <c r="W370" s="330"/>
      <c r="X370" s="330"/>
      <c r="Y370" s="330"/>
      <c r="Z370" s="330"/>
      <c r="AA370" s="330"/>
      <c r="AB370" s="330"/>
      <c r="AC370" s="330"/>
      <c r="AD370" s="330"/>
      <c r="AE370" s="330"/>
      <c r="AF370" s="330"/>
      <c r="AG370" s="330"/>
      <c r="AH370" s="330"/>
      <c r="AI370" s="331"/>
      <c r="AJ370" s="3076" t="str">
        <f ca="1">IF(AS370=基礎・屋根・外壁!AF188+見積拾!T86,"面積合計及び部分別評点数","補助票と面積が違います！")</f>
        <v>面積合計及び部分別評点数</v>
      </c>
      <c r="AK370" s="3077"/>
      <c r="AL370" s="3077"/>
      <c r="AM370" s="3077"/>
      <c r="AN370" s="3077"/>
      <c r="AO370" s="3077"/>
      <c r="AP370" s="3077"/>
      <c r="AQ370" s="3077"/>
      <c r="AR370" s="3078"/>
      <c r="AS370" s="3065">
        <f ca="1">SUM(AS311:AV359)</f>
        <v>0</v>
      </c>
      <c r="AT370" s="3066"/>
      <c r="AU370" s="3066"/>
      <c r="AV370" s="3067"/>
      <c r="AW370" s="2668">
        <f ca="1">SUM(AW310:AZ369)</f>
        <v>0</v>
      </c>
      <c r="AX370" s="2668"/>
      <c r="AY370" s="2668"/>
      <c r="AZ370" s="2669"/>
      <c r="BA370" s="25" t="b">
        <v>1</v>
      </c>
      <c r="BB370"/>
    </row>
    <row r="371" spans="1:54" ht="13.5" customHeight="1">
      <c r="J371" s="1"/>
      <c r="K371" s="1"/>
      <c r="L371" s="1"/>
      <c r="M371" s="1"/>
      <c r="N371" s="1"/>
      <c r="O371" s="1"/>
      <c r="P371" s="1"/>
      <c r="Q371" s="1"/>
      <c r="R371" s="1"/>
      <c r="S371" s="1"/>
      <c r="T371" s="1"/>
      <c r="U371" s="1"/>
      <c r="V371" s="1"/>
      <c r="W371" s="1"/>
      <c r="X371" s="1"/>
      <c r="BA371" s="25" t="b">
        <v>0</v>
      </c>
      <c r="BB371"/>
    </row>
    <row r="372" spans="1:54" ht="13.5" customHeight="1">
      <c r="BA372" s="25" t="b">
        <v>0</v>
      </c>
      <c r="BB372"/>
    </row>
    <row r="373" spans="1:54" ht="13.5" customHeight="1">
      <c r="C373" s="26" t="s">
        <v>2072</v>
      </c>
      <c r="D373" s="27"/>
      <c r="E373" s="27"/>
      <c r="F373" s="27"/>
      <c r="G373" s="27"/>
      <c r="H373" s="27"/>
      <c r="I373" s="27"/>
      <c r="J373" s="27"/>
      <c r="BA373" s="25" t="b">
        <v>0</v>
      </c>
      <c r="BB373"/>
    </row>
    <row r="374" spans="1:54" ht="13.5" customHeight="1">
      <c r="BA374" s="25" t="b">
        <v>0</v>
      </c>
      <c r="BB374"/>
    </row>
    <row r="375" spans="1:54" ht="13.5" customHeight="1">
      <c r="B375" s="137"/>
      <c r="C375" s="138"/>
      <c r="D375" s="139"/>
      <c r="E375" s="291" t="s">
        <v>759</v>
      </c>
      <c r="F375" s="292"/>
      <c r="G375" s="292"/>
      <c r="H375" s="292"/>
      <c r="I375" s="292"/>
      <c r="J375" s="292"/>
      <c r="K375" s="292"/>
      <c r="L375" s="292"/>
      <c r="M375" s="292"/>
      <c r="N375" s="292"/>
      <c r="O375" s="292"/>
      <c r="P375" s="293"/>
      <c r="Q375" s="292" t="s">
        <v>885</v>
      </c>
      <c r="R375" s="292"/>
      <c r="S375" s="292"/>
      <c r="T375" s="320"/>
      <c r="U375" s="292" t="s">
        <v>886</v>
      </c>
      <c r="V375" s="292"/>
      <c r="W375" s="292"/>
      <c r="X375" s="320"/>
      <c r="Y375" s="292" t="s">
        <v>887</v>
      </c>
      <c r="Z375" s="292"/>
      <c r="AA375" s="292"/>
      <c r="AB375" s="320"/>
      <c r="AC375" s="292" t="s">
        <v>888</v>
      </c>
      <c r="AD375" s="292"/>
      <c r="AE375" s="292"/>
      <c r="AF375" s="292" t="s">
        <v>888</v>
      </c>
      <c r="AG375" s="292"/>
      <c r="AH375" s="293"/>
      <c r="AI375" s="293"/>
      <c r="AJ375" s="291" t="s">
        <v>889</v>
      </c>
      <c r="AK375" s="292"/>
      <c r="AL375" s="293"/>
      <c r="AM375" s="291" t="s">
        <v>765</v>
      </c>
      <c r="AN375" s="292"/>
      <c r="AO375" s="293"/>
      <c r="AP375" s="291" t="s">
        <v>890</v>
      </c>
      <c r="AQ375" s="292"/>
      <c r="AR375" s="293"/>
      <c r="AS375" s="294" t="s">
        <v>891</v>
      </c>
      <c r="AT375" s="291"/>
      <c r="AU375" s="291"/>
      <c r="AV375" s="291"/>
      <c r="AW375" s="2658" t="s">
        <v>762</v>
      </c>
      <c r="AX375" s="2658"/>
      <c r="AY375" s="2658"/>
      <c r="AZ375" s="2658"/>
      <c r="BA375" s="25" t="b">
        <v>0</v>
      </c>
      <c r="BB375"/>
    </row>
    <row r="376" spans="1:54" ht="13.5" customHeight="1">
      <c r="A376">
        <f>ROW()</f>
        <v>376</v>
      </c>
      <c r="B376" s="2681" t="s">
        <v>2071</v>
      </c>
      <c r="C376" s="2673"/>
      <c r="D376" s="2682"/>
      <c r="E376" s="1291" t="s">
        <v>893</v>
      </c>
      <c r="F376" s="2691" t="s">
        <v>929</v>
      </c>
      <c r="G376" s="2691"/>
      <c r="H376" s="2691"/>
      <c r="I376" s="2691"/>
      <c r="J376" s="2691"/>
      <c r="K376" s="2691"/>
      <c r="L376" s="2691"/>
      <c r="M376" s="2691"/>
      <c r="N376" s="2691"/>
      <c r="O376" s="2691"/>
      <c r="P376" s="2788"/>
      <c r="Q376" s="2733"/>
      <c r="R376" s="2691"/>
      <c r="S376" s="2691"/>
      <c r="T376" s="1377"/>
      <c r="U376" s="2691"/>
      <c r="V376" s="2691"/>
      <c r="W376" s="2691"/>
      <c r="X376" s="1377"/>
      <c r="Y376" s="2691"/>
      <c r="Z376" s="2691"/>
      <c r="AA376" s="2691"/>
      <c r="AB376" s="1377"/>
      <c r="AC376" s="2691"/>
      <c r="AD376" s="2691"/>
      <c r="AE376" s="2691"/>
      <c r="AF376" s="1377"/>
      <c r="AG376" s="2691"/>
      <c r="AH376" s="2691"/>
      <c r="AI376" s="2788"/>
      <c r="AJ376" s="2609">
        <f t="shared" ref="AJ376:AJ409" si="115">ROUNDDOWN(SUM(Q376:AI376),-1)</f>
        <v>0</v>
      </c>
      <c r="AK376" s="2610"/>
      <c r="AL376" s="2611"/>
      <c r="AM376" s="2644">
        <v>1</v>
      </c>
      <c r="AN376" s="2645"/>
      <c r="AO376" s="2692"/>
      <c r="AP376" s="2651">
        <f t="shared" ref="AP376:AP409" si="116">INT(AJ376*AM376)</f>
        <v>0</v>
      </c>
      <c r="AQ376" s="2652"/>
      <c r="AR376" s="2653"/>
      <c r="AS376" s="2659"/>
      <c r="AT376" s="2660"/>
      <c r="AU376" s="2660"/>
      <c r="AV376" s="2661"/>
      <c r="AW376" s="2609">
        <f t="shared" ref="AW376:AW409" si="117">INT(AP376*AS376)</f>
        <v>0</v>
      </c>
      <c r="AX376" s="2610"/>
      <c r="AY376" s="2610"/>
      <c r="AZ376" s="2611"/>
      <c r="BA376" s="25" t="b">
        <f ca="1">AW460=0</f>
        <v>1</v>
      </c>
      <c r="BB376"/>
    </row>
    <row r="377" spans="1:54" ht="13.5" customHeight="1">
      <c r="B377" s="2681"/>
      <c r="C377" s="2673"/>
      <c r="D377" s="2682"/>
      <c r="E377" s="51" t="s">
        <v>893</v>
      </c>
      <c r="F377" s="2500" t="s">
        <v>1697</v>
      </c>
      <c r="G377" s="2500"/>
      <c r="H377" s="2500"/>
      <c r="I377" s="2500"/>
      <c r="J377" s="2500"/>
      <c r="K377" s="2500"/>
      <c r="L377" s="2500"/>
      <c r="M377" s="2500"/>
      <c r="N377" s="2500"/>
      <c r="O377" s="2500"/>
      <c r="P377" s="2501"/>
      <c r="Q377" s="2542">
        <v>28401</v>
      </c>
      <c r="R377" s="2518"/>
      <c r="S377" s="2518"/>
      <c r="T377" s="2299" t="s">
        <v>1664</v>
      </c>
      <c r="U377" s="2518">
        <v>15339</v>
      </c>
      <c r="V377" s="2518"/>
      <c r="W377" s="2518"/>
      <c r="X377" s="2299" t="s">
        <v>895</v>
      </c>
      <c r="Y377" s="2518">
        <v>256</v>
      </c>
      <c r="Z377" s="2518"/>
      <c r="AA377" s="2518"/>
      <c r="AB377" s="2299" t="s">
        <v>926</v>
      </c>
      <c r="AC377" s="2518"/>
      <c r="AD377" s="2518"/>
      <c r="AE377" s="2518"/>
      <c r="AF377" s="1380" t="s">
        <v>926</v>
      </c>
      <c r="AG377" s="2518"/>
      <c r="AH377" s="2518"/>
      <c r="AI377" s="2519"/>
      <c r="AJ377" s="2561">
        <f>ROUNDDOWN(SUM(Q377:AI377),-1)</f>
        <v>43990</v>
      </c>
      <c r="AK377" s="2562"/>
      <c r="AL377" s="2563"/>
      <c r="AM377" s="2502">
        <v>1</v>
      </c>
      <c r="AN377" s="2503"/>
      <c r="AO377" s="2504"/>
      <c r="AP377" s="2499">
        <f>INT(AJ377*AM377)</f>
        <v>43990</v>
      </c>
      <c r="AQ377" s="2500"/>
      <c r="AR377" s="2501"/>
      <c r="AS377" s="2555">
        <f ca="1">SUMIF(見積拾!C$96:D$104,F377,見積拾!T$96:T$104)+
SUMIF(内壁・間仕切!A$65:AA$65,F377,内壁・間仕切!A$82:AA$82)+
SUMIF(内壁・間仕切!A$86:AA$86,F377,内壁・間仕切!A$103:AA$103)+
SUMIF(内壁・間仕切!A$107:AA$107,F377,内壁・間仕切!A$124:AA$124)+
SUMIF(内壁・間仕切!A$128:AA$128,F377,内壁・間仕切!A$145:AA$145)</f>
        <v>0</v>
      </c>
      <c r="AT377" s="2556"/>
      <c r="AU377" s="2556"/>
      <c r="AV377" s="2557"/>
      <c r="AW377" s="2561">
        <f ca="1">INT(AP377*AS377)</f>
        <v>0</v>
      </c>
      <c r="AX377" s="2562"/>
      <c r="AY377" s="2562"/>
      <c r="AZ377" s="2563"/>
      <c r="BA377" s="25" t="b">
        <f ca="1">AW377&lt;&gt;0</f>
        <v>0</v>
      </c>
      <c r="BB377"/>
    </row>
    <row r="378" spans="1:54" ht="13.5" customHeight="1">
      <c r="B378" s="2681"/>
      <c r="C378" s="2673"/>
      <c r="D378" s="2682"/>
      <c r="E378" s="322" t="s">
        <v>893</v>
      </c>
      <c r="F378" s="2500" t="s">
        <v>1698</v>
      </c>
      <c r="G378" s="2500"/>
      <c r="H378" s="2500"/>
      <c r="I378" s="2500"/>
      <c r="J378" s="2500"/>
      <c r="K378" s="2500"/>
      <c r="L378" s="2500"/>
      <c r="M378" s="2500"/>
      <c r="N378" s="2500"/>
      <c r="O378" s="2500"/>
      <c r="P378" s="2501"/>
      <c r="Q378" s="2542">
        <v>18303</v>
      </c>
      <c r="R378" s="2518"/>
      <c r="S378" s="2518"/>
      <c r="T378" s="2299" t="s">
        <v>1664</v>
      </c>
      <c r="U378" s="2518">
        <v>11678</v>
      </c>
      <c r="V378" s="2518"/>
      <c r="W378" s="2518"/>
      <c r="X378" s="2299" t="s">
        <v>895</v>
      </c>
      <c r="Y378" s="2518">
        <v>842</v>
      </c>
      <c r="Z378" s="2518"/>
      <c r="AA378" s="2518"/>
      <c r="AB378" s="2299" t="s">
        <v>926</v>
      </c>
      <c r="AC378" s="2518"/>
      <c r="AD378" s="2518"/>
      <c r="AE378" s="2518"/>
      <c r="AF378" s="1380" t="s">
        <v>926</v>
      </c>
      <c r="AG378" s="2518"/>
      <c r="AH378" s="2518"/>
      <c r="AI378" s="2519"/>
      <c r="AJ378" s="2520">
        <f t="shared" si="115"/>
        <v>30820</v>
      </c>
      <c r="AK378" s="2521"/>
      <c r="AL378" s="2522"/>
      <c r="AM378" s="2505">
        <v>1</v>
      </c>
      <c r="AN378" s="2506"/>
      <c r="AO378" s="2507"/>
      <c r="AP378" s="2543">
        <f t="shared" si="116"/>
        <v>30820</v>
      </c>
      <c r="AQ378" s="2544"/>
      <c r="AR378" s="2545"/>
      <c r="AS378" s="2555">
        <f ca="1">SUMIF(見積拾!C$96:D$104,F378,見積拾!T$96:T$104)+
SUMIF(内壁・間仕切!A$65:AA$65,F378,内壁・間仕切!A$82:AA$82)+
SUMIF(内壁・間仕切!A$86:AA$86,F378,内壁・間仕切!A$103:AA$103)+
SUMIF(内壁・間仕切!A$107:AA$107,F378,内壁・間仕切!A$124:AA$124)+
SUMIF(内壁・間仕切!A$128:AA$128,F378,内壁・間仕切!A$145:AA$145)</f>
        <v>0</v>
      </c>
      <c r="AT378" s="2556"/>
      <c r="AU378" s="2556"/>
      <c r="AV378" s="2557"/>
      <c r="AW378" s="2520">
        <f t="shared" ca="1" si="117"/>
        <v>0</v>
      </c>
      <c r="AX378" s="2521"/>
      <c r="AY378" s="2521"/>
      <c r="AZ378" s="2522"/>
      <c r="BA378" s="25" t="b">
        <f t="shared" ref="BA378:BA409" ca="1" si="118">AW378&lt;&gt;0</f>
        <v>0</v>
      </c>
      <c r="BB378"/>
    </row>
    <row r="379" spans="1:54" ht="13.5" customHeight="1">
      <c r="B379" s="2681"/>
      <c r="C379" s="2673"/>
      <c r="D379" s="2682"/>
      <c r="E379" s="51" t="s">
        <v>893</v>
      </c>
      <c r="F379" s="2500" t="s">
        <v>1699</v>
      </c>
      <c r="G379" s="2500"/>
      <c r="H379" s="2500"/>
      <c r="I379" s="2500"/>
      <c r="J379" s="2500"/>
      <c r="K379" s="2500"/>
      <c r="L379" s="2500"/>
      <c r="M379" s="2500"/>
      <c r="N379" s="2500"/>
      <c r="O379" s="2500"/>
      <c r="P379" s="2501"/>
      <c r="Q379" s="2542">
        <v>8877</v>
      </c>
      <c r="R379" s="2518"/>
      <c r="S379" s="2518"/>
      <c r="T379" s="2299" t="s">
        <v>1664</v>
      </c>
      <c r="U379" s="2518">
        <v>11678</v>
      </c>
      <c r="V379" s="2518"/>
      <c r="W379" s="2518"/>
      <c r="X379" s="2299" t="s">
        <v>895</v>
      </c>
      <c r="Y379" s="2518">
        <v>842</v>
      </c>
      <c r="Z379" s="2518"/>
      <c r="AA379" s="2518"/>
      <c r="AB379" s="2299" t="s">
        <v>926</v>
      </c>
      <c r="AC379" s="2518"/>
      <c r="AD379" s="2518"/>
      <c r="AE379" s="2518"/>
      <c r="AF379" s="1380" t="s">
        <v>926</v>
      </c>
      <c r="AG379" s="2518"/>
      <c r="AH379" s="2518"/>
      <c r="AI379" s="2519"/>
      <c r="AJ379" s="2520">
        <f t="shared" si="115"/>
        <v>21390</v>
      </c>
      <c r="AK379" s="2521"/>
      <c r="AL379" s="2522"/>
      <c r="AM379" s="2505">
        <v>1</v>
      </c>
      <c r="AN379" s="2506"/>
      <c r="AO379" s="2507"/>
      <c r="AP379" s="2543">
        <f t="shared" si="116"/>
        <v>21390</v>
      </c>
      <c r="AQ379" s="2544"/>
      <c r="AR379" s="2545"/>
      <c r="AS379" s="2555">
        <f ca="1">SUMIF(見積拾!C$96:D$104,F379,見積拾!T$96:T$104)+
SUMIF(内壁・間仕切!A$65:AA$65,F379,内壁・間仕切!A$82:AA$82)+
SUMIF(内壁・間仕切!A$86:AA$86,F379,内壁・間仕切!A$103:AA$103)+
SUMIF(内壁・間仕切!A$107:AA$107,F379,内壁・間仕切!A$124:AA$124)+
SUMIF(内壁・間仕切!A$128:AA$128,F379,内壁・間仕切!A$145:AA$145)</f>
        <v>0</v>
      </c>
      <c r="AT379" s="2556"/>
      <c r="AU379" s="2556"/>
      <c r="AV379" s="2557"/>
      <c r="AW379" s="2520">
        <f t="shared" ca="1" si="117"/>
        <v>0</v>
      </c>
      <c r="AX379" s="2521"/>
      <c r="AY379" s="2521"/>
      <c r="AZ379" s="2522"/>
      <c r="BA379" s="25" t="b">
        <f t="shared" ca="1" si="118"/>
        <v>0</v>
      </c>
      <c r="BB379"/>
    </row>
    <row r="380" spans="1:54" ht="13.5" customHeight="1">
      <c r="B380" s="2681"/>
      <c r="C380" s="2673"/>
      <c r="D380" s="2682"/>
      <c r="E380" s="322" t="s">
        <v>893</v>
      </c>
      <c r="F380" s="2500" t="s">
        <v>1700</v>
      </c>
      <c r="G380" s="2500"/>
      <c r="H380" s="2500"/>
      <c r="I380" s="2500"/>
      <c r="J380" s="2500"/>
      <c r="K380" s="2500"/>
      <c r="L380" s="2500"/>
      <c r="M380" s="2500"/>
      <c r="N380" s="2500"/>
      <c r="O380" s="2500"/>
      <c r="P380" s="2501"/>
      <c r="Q380" s="2542">
        <v>2818</v>
      </c>
      <c r="R380" s="2518"/>
      <c r="S380" s="2518"/>
      <c r="T380" s="2299" t="s">
        <v>1664</v>
      </c>
      <c r="U380" s="2518">
        <v>11678</v>
      </c>
      <c r="V380" s="2518"/>
      <c r="W380" s="2518"/>
      <c r="X380" s="2299" t="s">
        <v>895</v>
      </c>
      <c r="Y380" s="2518">
        <v>842</v>
      </c>
      <c r="Z380" s="2518"/>
      <c r="AA380" s="2518"/>
      <c r="AB380" s="2299" t="s">
        <v>926</v>
      </c>
      <c r="AC380" s="2518"/>
      <c r="AD380" s="2518"/>
      <c r="AE380" s="2518"/>
      <c r="AF380" s="1380" t="s">
        <v>926</v>
      </c>
      <c r="AG380" s="2518"/>
      <c r="AH380" s="2518"/>
      <c r="AI380" s="2519"/>
      <c r="AJ380" s="2520">
        <f t="shared" si="115"/>
        <v>15330</v>
      </c>
      <c r="AK380" s="2521"/>
      <c r="AL380" s="2522"/>
      <c r="AM380" s="2505">
        <v>1</v>
      </c>
      <c r="AN380" s="2506"/>
      <c r="AO380" s="2507"/>
      <c r="AP380" s="2499">
        <f t="shared" si="116"/>
        <v>15330</v>
      </c>
      <c r="AQ380" s="2500"/>
      <c r="AR380" s="2501"/>
      <c r="AS380" s="2555">
        <f ca="1">SUMIF(見積拾!C$96:D$104,F380,見積拾!T$96:T$104)+
SUMIF(内壁・間仕切!A$65:AA$65,F380,内壁・間仕切!A$82:AA$82)+
SUMIF(内壁・間仕切!A$86:AA$86,F380,内壁・間仕切!A$103:AA$103)+
SUMIF(内壁・間仕切!A$107:AA$107,F380,内壁・間仕切!A$124:AA$124)+
SUMIF(内壁・間仕切!A$128:AA$128,F380,内壁・間仕切!A$145:AA$145)</f>
        <v>0</v>
      </c>
      <c r="AT380" s="2556"/>
      <c r="AU380" s="2556"/>
      <c r="AV380" s="2557"/>
      <c r="AW380" s="2520">
        <f t="shared" ca="1" si="117"/>
        <v>0</v>
      </c>
      <c r="AX380" s="2521"/>
      <c r="AY380" s="2521"/>
      <c r="AZ380" s="2522"/>
      <c r="BA380" s="25" t="b">
        <f t="shared" ca="1" si="118"/>
        <v>0</v>
      </c>
      <c r="BB380"/>
    </row>
    <row r="381" spans="1:54" ht="13.5" customHeight="1">
      <c r="B381" s="2681"/>
      <c r="C381" s="2673"/>
      <c r="D381" s="2682"/>
      <c r="E381" s="322" t="s">
        <v>893</v>
      </c>
      <c r="F381" s="2500" t="s">
        <v>1279</v>
      </c>
      <c r="G381" s="2500"/>
      <c r="H381" s="2500"/>
      <c r="I381" s="2500"/>
      <c r="J381" s="2500"/>
      <c r="K381" s="2500"/>
      <c r="L381" s="2500"/>
      <c r="M381" s="2500"/>
      <c r="N381" s="2500"/>
      <c r="O381" s="2500"/>
      <c r="P381" s="2501"/>
      <c r="Q381" s="2542">
        <v>3270</v>
      </c>
      <c r="R381" s="2518"/>
      <c r="S381" s="2518"/>
      <c r="T381" s="2299" t="s">
        <v>1664</v>
      </c>
      <c r="U381" s="2518" t="s">
        <v>1173</v>
      </c>
      <c r="V381" s="2518"/>
      <c r="W381" s="2518"/>
      <c r="X381" s="2299" t="s">
        <v>895</v>
      </c>
      <c r="Y381" s="2518" t="s">
        <v>1174</v>
      </c>
      <c r="Z381" s="2518"/>
      <c r="AA381" s="2518"/>
      <c r="AB381" s="2299" t="s">
        <v>64</v>
      </c>
      <c r="AC381" s="2518"/>
      <c r="AD381" s="2518"/>
      <c r="AE381" s="2518"/>
      <c r="AF381" s="1380" t="s">
        <v>64</v>
      </c>
      <c r="AG381" s="2518"/>
      <c r="AH381" s="2518"/>
      <c r="AI381" s="2519"/>
      <c r="AJ381" s="2520">
        <f t="shared" si="115"/>
        <v>3270</v>
      </c>
      <c r="AK381" s="2521"/>
      <c r="AL381" s="2522"/>
      <c r="AM381" s="2505">
        <v>1</v>
      </c>
      <c r="AN381" s="2506"/>
      <c r="AO381" s="2507"/>
      <c r="AP381" s="2499">
        <f t="shared" si="116"/>
        <v>3270</v>
      </c>
      <c r="AQ381" s="2500"/>
      <c r="AR381" s="2501"/>
      <c r="AS381" s="2555">
        <f ca="1">SUMIF(見積拾!C$96:D$104,F381,見積拾!T$96:T$104)+
SUMIF(内壁・間仕切!A$65:AA$65,F381,内壁・間仕切!A$82:AA$82)+
SUMIF(内壁・間仕切!A$86:AA$86,F381,内壁・間仕切!A$103:AA$103)+
SUMIF(内壁・間仕切!A$107:AA$107,F381,内壁・間仕切!A$124:AA$124)+
SUMIF(内壁・間仕切!A$128:AA$128,F381,内壁・間仕切!A$145:AA$145)</f>
        <v>0</v>
      </c>
      <c r="AT381" s="2556"/>
      <c r="AU381" s="2556"/>
      <c r="AV381" s="2557"/>
      <c r="AW381" s="2520">
        <f t="shared" ca="1" si="117"/>
        <v>0</v>
      </c>
      <c r="AX381" s="2521"/>
      <c r="AY381" s="2521"/>
      <c r="AZ381" s="2522"/>
      <c r="BA381" s="25" t="b">
        <f t="shared" ca="1" si="118"/>
        <v>0</v>
      </c>
      <c r="BB381"/>
    </row>
    <row r="382" spans="1:54" ht="13.5" customHeight="1">
      <c r="B382" s="2681"/>
      <c r="C382" s="2673"/>
      <c r="D382" s="2682"/>
      <c r="E382" s="322" t="s">
        <v>893</v>
      </c>
      <c r="F382" s="2500" t="s">
        <v>1733</v>
      </c>
      <c r="G382" s="2500"/>
      <c r="H382" s="2500"/>
      <c r="I382" s="2500"/>
      <c r="J382" s="2500"/>
      <c r="K382" s="2500"/>
      <c r="L382" s="2500"/>
      <c r="M382" s="2500"/>
      <c r="N382" s="2500"/>
      <c r="O382" s="2500"/>
      <c r="P382" s="2501"/>
      <c r="Q382" s="2542">
        <v>5351</v>
      </c>
      <c r="R382" s="2518"/>
      <c r="S382" s="2518"/>
      <c r="T382" s="2299" t="s">
        <v>1664</v>
      </c>
      <c r="U382" s="2518" t="s">
        <v>1173</v>
      </c>
      <c r="V382" s="2518"/>
      <c r="W382" s="2518"/>
      <c r="X382" s="2299" t="s">
        <v>895</v>
      </c>
      <c r="Y382" s="2518" t="s">
        <v>1174</v>
      </c>
      <c r="Z382" s="2518"/>
      <c r="AA382" s="2518"/>
      <c r="AB382" s="2299" t="s">
        <v>64</v>
      </c>
      <c r="AC382" s="2518"/>
      <c r="AD382" s="2518"/>
      <c r="AE382" s="2518"/>
      <c r="AF382" s="1380" t="s">
        <v>64</v>
      </c>
      <c r="AG382" s="2518"/>
      <c r="AH382" s="2518"/>
      <c r="AI382" s="2519"/>
      <c r="AJ382" s="2520">
        <f t="shared" si="115"/>
        <v>5350</v>
      </c>
      <c r="AK382" s="2521"/>
      <c r="AL382" s="2522"/>
      <c r="AM382" s="2505">
        <v>1</v>
      </c>
      <c r="AN382" s="2506"/>
      <c r="AO382" s="2507"/>
      <c r="AP382" s="2499">
        <f t="shared" si="116"/>
        <v>5350</v>
      </c>
      <c r="AQ382" s="2500"/>
      <c r="AR382" s="2501"/>
      <c r="AS382" s="2555">
        <f ca="1">SUMIF(見積拾!C$96:D$104,F382,見積拾!T$96:T$104)+
SUMIF(内壁・間仕切!A$65:AA$65,F382,内壁・間仕切!A$82:AA$82)+
SUMIF(内壁・間仕切!A$86:AA$86,F382,内壁・間仕切!A$103:AA$103)+
SUMIF(内壁・間仕切!A$107:AA$107,F382,内壁・間仕切!A$124:AA$124)+
SUMIF(内壁・間仕切!A$128:AA$128,F382,内壁・間仕切!A$145:AA$145)</f>
        <v>0</v>
      </c>
      <c r="AT382" s="2556"/>
      <c r="AU382" s="2556"/>
      <c r="AV382" s="2557"/>
      <c r="AW382" s="2520">
        <f t="shared" ca="1" si="117"/>
        <v>0</v>
      </c>
      <c r="AX382" s="2521"/>
      <c r="AY382" s="2521"/>
      <c r="AZ382" s="2522"/>
      <c r="BA382" s="25" t="b">
        <f t="shared" ca="1" si="118"/>
        <v>0</v>
      </c>
      <c r="BB382"/>
    </row>
    <row r="383" spans="1:54" ht="13.5" customHeight="1">
      <c r="B383" s="2681"/>
      <c r="C383" s="2673"/>
      <c r="D383" s="2682"/>
      <c r="E383" s="322" t="s">
        <v>893</v>
      </c>
      <c r="F383" s="2500" t="s">
        <v>1701</v>
      </c>
      <c r="G383" s="2500"/>
      <c r="H383" s="2500"/>
      <c r="I383" s="2500"/>
      <c r="J383" s="2500"/>
      <c r="K383" s="2500"/>
      <c r="L383" s="2500"/>
      <c r="M383" s="2500"/>
      <c r="N383" s="2500"/>
      <c r="O383" s="2500"/>
      <c r="P383" s="2501"/>
      <c r="Q383" s="2542" t="s">
        <v>1174</v>
      </c>
      <c r="R383" s="2518"/>
      <c r="S383" s="2518"/>
      <c r="T383" s="2299" t="s">
        <v>1664</v>
      </c>
      <c r="U383" s="2518">
        <v>4730</v>
      </c>
      <c r="V383" s="2518"/>
      <c r="W383" s="2518"/>
      <c r="X383" s="2299" t="s">
        <v>895</v>
      </c>
      <c r="Y383" s="2518">
        <v>377</v>
      </c>
      <c r="Z383" s="2518"/>
      <c r="AA383" s="2518"/>
      <c r="AB383" s="2299" t="s">
        <v>64</v>
      </c>
      <c r="AC383" s="2518"/>
      <c r="AD383" s="2518"/>
      <c r="AE383" s="2518"/>
      <c r="AF383" s="1380" t="s">
        <v>64</v>
      </c>
      <c r="AG383" s="2518"/>
      <c r="AH383" s="2518"/>
      <c r="AI383" s="2519"/>
      <c r="AJ383" s="2520">
        <f t="shared" si="115"/>
        <v>5100</v>
      </c>
      <c r="AK383" s="2521"/>
      <c r="AL383" s="2522"/>
      <c r="AM383" s="2505">
        <v>1</v>
      </c>
      <c r="AN383" s="2506"/>
      <c r="AO383" s="2507"/>
      <c r="AP383" s="2499">
        <f t="shared" si="116"/>
        <v>5100</v>
      </c>
      <c r="AQ383" s="2500"/>
      <c r="AR383" s="2501"/>
      <c r="AS383" s="2555">
        <f ca="1">SUMIF(見積拾!C$96:D$104,F383,見積拾!T$96:T$104)+
SUMIF(内壁・間仕切!A$65:AA$65,F383,内壁・間仕切!A$82:AA$82)+
SUMIF(内壁・間仕切!A$86:AA$86,F383,内壁・間仕切!A$103:AA$103)+
SUMIF(内壁・間仕切!A$107:AA$107,F383,内壁・間仕切!A$124:AA$124)+
SUMIF(内壁・間仕切!A$128:AA$128,F383,内壁・間仕切!A$145:AA$145)</f>
        <v>0</v>
      </c>
      <c r="AT383" s="2556"/>
      <c r="AU383" s="2556"/>
      <c r="AV383" s="2557"/>
      <c r="AW383" s="2520">
        <f t="shared" ca="1" si="117"/>
        <v>0</v>
      </c>
      <c r="AX383" s="2521"/>
      <c r="AY383" s="2521"/>
      <c r="AZ383" s="2522"/>
      <c r="BA383" s="25" t="b">
        <f t="shared" ca="1" si="118"/>
        <v>0</v>
      </c>
      <c r="BB383"/>
    </row>
    <row r="384" spans="1:54" ht="13.5" customHeight="1">
      <c r="B384" s="2681"/>
      <c r="C384" s="2673"/>
      <c r="D384" s="2682"/>
      <c r="E384" s="322" t="s">
        <v>893</v>
      </c>
      <c r="F384" s="2500" t="s">
        <v>1702</v>
      </c>
      <c r="G384" s="2500"/>
      <c r="H384" s="2500"/>
      <c r="I384" s="2500"/>
      <c r="J384" s="2500"/>
      <c r="K384" s="2500"/>
      <c r="L384" s="2500"/>
      <c r="M384" s="2500"/>
      <c r="N384" s="2500"/>
      <c r="O384" s="2500"/>
      <c r="P384" s="2501"/>
      <c r="Q384" s="2542" t="s">
        <v>1174</v>
      </c>
      <c r="R384" s="2518"/>
      <c r="S384" s="2518"/>
      <c r="T384" s="2299" t="s">
        <v>1664</v>
      </c>
      <c r="U384" s="2518">
        <v>3835</v>
      </c>
      <c r="V384" s="2518"/>
      <c r="W384" s="2518"/>
      <c r="X384" s="2299" t="s">
        <v>895</v>
      </c>
      <c r="Y384" s="2518">
        <v>327</v>
      </c>
      <c r="Z384" s="2518"/>
      <c r="AA384" s="2518"/>
      <c r="AB384" s="2299" t="s">
        <v>64</v>
      </c>
      <c r="AC384" s="2518"/>
      <c r="AD384" s="2518"/>
      <c r="AE384" s="2518"/>
      <c r="AF384" s="1380" t="s">
        <v>64</v>
      </c>
      <c r="AG384" s="2518"/>
      <c r="AH384" s="2518"/>
      <c r="AI384" s="2519"/>
      <c r="AJ384" s="2520">
        <f t="shared" si="115"/>
        <v>4160</v>
      </c>
      <c r="AK384" s="2521"/>
      <c r="AL384" s="2522"/>
      <c r="AM384" s="2505">
        <v>1</v>
      </c>
      <c r="AN384" s="2506"/>
      <c r="AO384" s="2507"/>
      <c r="AP384" s="2499">
        <f t="shared" si="116"/>
        <v>4160</v>
      </c>
      <c r="AQ384" s="2500"/>
      <c r="AR384" s="2501"/>
      <c r="AS384" s="2555">
        <f ca="1">SUMIF(見積拾!C$96:D$104,F384,見積拾!T$96:T$104)+
SUMIF(内壁・間仕切!A$65:AA$65,F384,内壁・間仕切!A$82:AA$82)+
SUMIF(内壁・間仕切!A$86:AA$86,F384,内壁・間仕切!A$103:AA$103)+
SUMIF(内壁・間仕切!A$107:AA$107,F384,内壁・間仕切!A$124:AA$124)+
SUMIF(内壁・間仕切!A$128:AA$128,F384,内壁・間仕切!A$145:AA$145)</f>
        <v>0</v>
      </c>
      <c r="AT384" s="2556"/>
      <c r="AU384" s="2556"/>
      <c r="AV384" s="2557"/>
      <c r="AW384" s="2520">
        <f t="shared" ca="1" si="117"/>
        <v>0</v>
      </c>
      <c r="AX384" s="2521"/>
      <c r="AY384" s="2521"/>
      <c r="AZ384" s="2522"/>
      <c r="BA384" s="25" t="b">
        <f t="shared" ca="1" si="118"/>
        <v>0</v>
      </c>
      <c r="BB384"/>
    </row>
    <row r="385" spans="2:54" ht="13.5" customHeight="1">
      <c r="B385" s="2681"/>
      <c r="C385" s="2673"/>
      <c r="D385" s="2682"/>
      <c r="E385" s="322" t="s">
        <v>893</v>
      </c>
      <c r="F385" s="2500" t="s">
        <v>1734</v>
      </c>
      <c r="G385" s="2500"/>
      <c r="H385" s="2500"/>
      <c r="I385" s="2500"/>
      <c r="J385" s="2500"/>
      <c r="K385" s="2500"/>
      <c r="L385" s="2500"/>
      <c r="M385" s="2500"/>
      <c r="N385" s="2500"/>
      <c r="O385" s="2500"/>
      <c r="P385" s="2501"/>
      <c r="Q385" s="2542">
        <v>7026</v>
      </c>
      <c r="R385" s="2518"/>
      <c r="S385" s="2518"/>
      <c r="T385" s="2299" t="s">
        <v>1664</v>
      </c>
      <c r="U385" s="2518" t="s">
        <v>1173</v>
      </c>
      <c r="V385" s="2518"/>
      <c r="W385" s="2518"/>
      <c r="X385" s="2299" t="s">
        <v>895</v>
      </c>
      <c r="Y385" s="2518">
        <v>442</v>
      </c>
      <c r="Z385" s="2518"/>
      <c r="AA385" s="2518"/>
      <c r="AB385" s="2299" t="s">
        <v>64</v>
      </c>
      <c r="AC385" s="2518"/>
      <c r="AD385" s="2518"/>
      <c r="AE385" s="2518"/>
      <c r="AF385" s="1380" t="s">
        <v>64</v>
      </c>
      <c r="AG385" s="2518"/>
      <c r="AH385" s="2518"/>
      <c r="AI385" s="2519"/>
      <c r="AJ385" s="2520">
        <f t="shared" si="115"/>
        <v>7460</v>
      </c>
      <c r="AK385" s="2521"/>
      <c r="AL385" s="2522"/>
      <c r="AM385" s="2505">
        <v>1</v>
      </c>
      <c r="AN385" s="2506"/>
      <c r="AO385" s="2507"/>
      <c r="AP385" s="2499">
        <f t="shared" si="116"/>
        <v>7460</v>
      </c>
      <c r="AQ385" s="2500"/>
      <c r="AR385" s="2501"/>
      <c r="AS385" s="2555">
        <f ca="1">SUMIF(見積拾!C$96:D$104,F385,見積拾!T$96:T$104)+
SUMIF(内壁・間仕切!A$65:AA$65,F385,内壁・間仕切!A$82:AA$82)+
SUMIF(内壁・間仕切!A$86:AA$86,F385,内壁・間仕切!A$103:AA$103)+
SUMIF(内壁・間仕切!A$107:AA$107,F385,内壁・間仕切!A$124:AA$124)+
SUMIF(内壁・間仕切!A$128:AA$128,F385,内壁・間仕切!A$145:AA$145)</f>
        <v>0</v>
      </c>
      <c r="AT385" s="2556"/>
      <c r="AU385" s="2556"/>
      <c r="AV385" s="2557"/>
      <c r="AW385" s="2520">
        <f t="shared" ca="1" si="117"/>
        <v>0</v>
      </c>
      <c r="AX385" s="2521"/>
      <c r="AY385" s="2521"/>
      <c r="AZ385" s="2522"/>
      <c r="BA385" s="25" t="b">
        <f t="shared" ca="1" si="118"/>
        <v>0</v>
      </c>
      <c r="BB385" s="1923" t="s">
        <v>1956</v>
      </c>
    </row>
    <row r="386" spans="2:54" ht="13.5" customHeight="1">
      <c r="B386" s="2681"/>
      <c r="C386" s="2673"/>
      <c r="D386" s="2682"/>
      <c r="E386" s="322" t="s">
        <v>893</v>
      </c>
      <c r="F386" s="2500" t="s">
        <v>1735</v>
      </c>
      <c r="G386" s="2500"/>
      <c r="H386" s="2500"/>
      <c r="I386" s="2500"/>
      <c r="J386" s="2500"/>
      <c r="K386" s="2500"/>
      <c r="L386" s="2500"/>
      <c r="M386" s="2500"/>
      <c r="N386" s="2500"/>
      <c r="O386" s="2500"/>
      <c r="P386" s="2501"/>
      <c r="Q386" s="2542">
        <v>5236</v>
      </c>
      <c r="R386" s="2518"/>
      <c r="S386" s="2518"/>
      <c r="T386" s="2299" t="s">
        <v>1664</v>
      </c>
      <c r="U386" s="2518" t="s">
        <v>1173</v>
      </c>
      <c r="V386" s="2518"/>
      <c r="W386" s="2518"/>
      <c r="X386" s="2299" t="s">
        <v>895</v>
      </c>
      <c r="Y386" s="2518">
        <v>442</v>
      </c>
      <c r="Z386" s="2518"/>
      <c r="AA386" s="2518"/>
      <c r="AB386" s="2299" t="s">
        <v>903</v>
      </c>
      <c r="AC386" s="2518"/>
      <c r="AD386" s="2518"/>
      <c r="AE386" s="2518"/>
      <c r="AF386" s="1380" t="s">
        <v>903</v>
      </c>
      <c r="AG386" s="2518"/>
      <c r="AH386" s="2518"/>
      <c r="AI386" s="2519"/>
      <c r="AJ386" s="2520">
        <f t="shared" si="115"/>
        <v>5670</v>
      </c>
      <c r="AK386" s="2521"/>
      <c r="AL386" s="2522"/>
      <c r="AM386" s="2505">
        <v>1</v>
      </c>
      <c r="AN386" s="2506"/>
      <c r="AO386" s="2507"/>
      <c r="AP386" s="2499">
        <f t="shared" si="116"/>
        <v>5670</v>
      </c>
      <c r="AQ386" s="2500"/>
      <c r="AR386" s="2501"/>
      <c r="AS386" s="2555">
        <f ca="1">SUMIF(見積拾!C$96:D$104,F386,見積拾!T$96:T$104)+
SUMIF(内壁・間仕切!A$65:AA$65,F386,内壁・間仕切!A$82:AA$82)+
SUMIF(内壁・間仕切!A$86:AA$86,F386,内壁・間仕切!A$103:AA$103)+
SUMIF(内壁・間仕切!A$107:AA$107,F386,内壁・間仕切!A$124:AA$124)+
SUMIF(内壁・間仕切!A$128:AA$128,F386,内壁・間仕切!A$145:AA$145)</f>
        <v>0</v>
      </c>
      <c r="AT386" s="2556"/>
      <c r="AU386" s="2556"/>
      <c r="AV386" s="2557"/>
      <c r="AW386" s="2520">
        <f t="shared" ca="1" si="117"/>
        <v>0</v>
      </c>
      <c r="AX386" s="2521"/>
      <c r="AY386" s="2521"/>
      <c r="AZ386" s="2522"/>
      <c r="BA386" s="25" t="b">
        <f t="shared" ca="1" si="118"/>
        <v>0</v>
      </c>
      <c r="BB386" s="1923" t="s">
        <v>1958</v>
      </c>
    </row>
    <row r="387" spans="2:54" ht="13.5" customHeight="1">
      <c r="B387" s="2681"/>
      <c r="C387" s="2673"/>
      <c r="D387" s="2682"/>
      <c r="E387" s="322" t="s">
        <v>893</v>
      </c>
      <c r="F387" s="2500" t="s">
        <v>2040</v>
      </c>
      <c r="G387" s="2500"/>
      <c r="H387" s="2500"/>
      <c r="I387" s="2500"/>
      <c r="J387" s="2500"/>
      <c r="K387" s="2500"/>
      <c r="L387" s="2500"/>
      <c r="M387" s="2500"/>
      <c r="N387" s="2500"/>
      <c r="O387" s="2500"/>
      <c r="P387" s="2501"/>
      <c r="Q387" s="2542">
        <v>480</v>
      </c>
      <c r="R387" s="2518"/>
      <c r="S387" s="2518"/>
      <c r="T387" s="2299" t="s">
        <v>1664</v>
      </c>
      <c r="U387" s="2518">
        <v>3300</v>
      </c>
      <c r="V387" s="2518"/>
      <c r="W387" s="2518"/>
      <c r="X387" s="2299" t="s">
        <v>895</v>
      </c>
      <c r="Y387" s="2518">
        <v>975</v>
      </c>
      <c r="Z387" s="2518"/>
      <c r="AA387" s="2518"/>
      <c r="AB387" s="2299" t="s">
        <v>903</v>
      </c>
      <c r="AC387" s="2518"/>
      <c r="AD387" s="2518"/>
      <c r="AE387" s="2518"/>
      <c r="AF387" s="1380" t="s">
        <v>903</v>
      </c>
      <c r="AG387" s="2518"/>
      <c r="AH387" s="2518"/>
      <c r="AI387" s="2519"/>
      <c r="AJ387" s="2520">
        <f t="shared" si="115"/>
        <v>4750</v>
      </c>
      <c r="AK387" s="2521"/>
      <c r="AL387" s="2522"/>
      <c r="AM387" s="2505">
        <v>1</v>
      </c>
      <c r="AN387" s="2506"/>
      <c r="AO387" s="2507"/>
      <c r="AP387" s="2499">
        <f t="shared" si="116"/>
        <v>4750</v>
      </c>
      <c r="AQ387" s="2500"/>
      <c r="AR387" s="2501"/>
      <c r="AS387" s="2555">
        <f ca="1">SUMIF(見積拾!C$96:D$104,F387,見積拾!T$96:T$104)+
SUMIF(内壁・間仕切!A$65:AA$65,F387,内壁・間仕切!A$82:AA$82)+
SUMIF(内壁・間仕切!A$86:AA$86,F387,内壁・間仕切!A$103:AA$103)+
SUMIF(内壁・間仕切!A$107:AA$107,F387,内壁・間仕切!A$124:AA$124)+
SUMIF(内壁・間仕切!A$128:AA$128,F387,内壁・間仕切!A$145:AA$145)</f>
        <v>0</v>
      </c>
      <c r="AT387" s="2556"/>
      <c r="AU387" s="2556"/>
      <c r="AV387" s="2557"/>
      <c r="AW387" s="2520">
        <f t="shared" ca="1" si="117"/>
        <v>0</v>
      </c>
      <c r="AX387" s="2521"/>
      <c r="AY387" s="2521"/>
      <c r="AZ387" s="2522"/>
      <c r="BA387" s="25" t="b">
        <f t="shared" ca="1" si="118"/>
        <v>0</v>
      </c>
      <c r="BB387"/>
    </row>
    <row r="388" spans="2:54" ht="13.5" customHeight="1">
      <c r="B388" s="2681"/>
      <c r="C388" s="2673"/>
      <c r="D388" s="2682"/>
      <c r="E388" s="322" t="s">
        <v>893</v>
      </c>
      <c r="F388" s="2500" t="s">
        <v>2050</v>
      </c>
      <c r="G388" s="2500"/>
      <c r="H388" s="2500"/>
      <c r="I388" s="2500"/>
      <c r="J388" s="2500"/>
      <c r="K388" s="2500"/>
      <c r="L388" s="2500"/>
      <c r="M388" s="2500"/>
      <c r="N388" s="2500"/>
      <c r="O388" s="2500"/>
      <c r="P388" s="2501"/>
      <c r="Q388" s="2542">
        <v>750</v>
      </c>
      <c r="R388" s="2518"/>
      <c r="S388" s="2518"/>
      <c r="T388" s="2299" t="s">
        <v>1664</v>
      </c>
      <c r="U388" s="2518">
        <v>3300</v>
      </c>
      <c r="V388" s="2518"/>
      <c r="W388" s="2518"/>
      <c r="X388" s="2299" t="s">
        <v>895</v>
      </c>
      <c r="Y388" s="2518">
        <v>975</v>
      </c>
      <c r="Z388" s="2518"/>
      <c r="AA388" s="2518"/>
      <c r="AB388" s="2299" t="s">
        <v>903</v>
      </c>
      <c r="AC388" s="2518"/>
      <c r="AD388" s="2518"/>
      <c r="AE388" s="2518"/>
      <c r="AF388" s="1380" t="s">
        <v>903</v>
      </c>
      <c r="AG388" s="2518"/>
      <c r="AH388" s="2518"/>
      <c r="AI388" s="2519"/>
      <c r="AJ388" s="2520">
        <f t="shared" si="115"/>
        <v>5020</v>
      </c>
      <c r="AK388" s="2521"/>
      <c r="AL388" s="2522"/>
      <c r="AM388" s="2505">
        <v>1</v>
      </c>
      <c r="AN388" s="2506"/>
      <c r="AO388" s="2507"/>
      <c r="AP388" s="2499">
        <f t="shared" si="116"/>
        <v>5020</v>
      </c>
      <c r="AQ388" s="2500"/>
      <c r="AR388" s="2501"/>
      <c r="AS388" s="2555">
        <f ca="1">SUMIF(見積拾!C$96:D$104,F388,見積拾!T$96:T$104)+
SUMIF(内壁・間仕切!A$65:AA$65,F388,内壁・間仕切!A$82:AA$82)+
SUMIF(内壁・間仕切!A$86:AA$86,F388,内壁・間仕切!A$103:AA$103)+
SUMIF(内壁・間仕切!A$107:AA$107,F388,内壁・間仕切!A$124:AA$124)+
SUMIF(内壁・間仕切!A$128:AA$128,F388,内壁・間仕切!A$145:AA$145)</f>
        <v>0</v>
      </c>
      <c r="AT388" s="2556"/>
      <c r="AU388" s="2556"/>
      <c r="AV388" s="2557"/>
      <c r="AW388" s="2520">
        <f t="shared" ca="1" si="117"/>
        <v>0</v>
      </c>
      <c r="AX388" s="2521"/>
      <c r="AY388" s="2521"/>
      <c r="AZ388" s="2522"/>
      <c r="BA388" s="25" t="b">
        <f t="shared" ca="1" si="118"/>
        <v>0</v>
      </c>
      <c r="BB388" t="s">
        <v>2052</v>
      </c>
    </row>
    <row r="389" spans="2:54" ht="13.5" customHeight="1">
      <c r="B389" s="2681"/>
      <c r="C389" s="2673"/>
      <c r="D389" s="2682"/>
      <c r="E389" s="322" t="s">
        <v>893</v>
      </c>
      <c r="F389" s="2500" t="s">
        <v>2051</v>
      </c>
      <c r="G389" s="2500"/>
      <c r="H389" s="2500"/>
      <c r="I389" s="2500"/>
      <c r="J389" s="2500"/>
      <c r="K389" s="2500"/>
      <c r="L389" s="2500"/>
      <c r="M389" s="2500"/>
      <c r="N389" s="2500"/>
      <c r="O389" s="2500"/>
      <c r="P389" s="2501"/>
      <c r="Q389" s="2542">
        <v>22500</v>
      </c>
      <c r="R389" s="2518"/>
      <c r="S389" s="2518"/>
      <c r="T389" s="2299" t="s">
        <v>1664</v>
      </c>
      <c r="U389" s="2518">
        <v>8525</v>
      </c>
      <c r="V389" s="2518"/>
      <c r="W389" s="2518"/>
      <c r="X389" s="2299" t="s">
        <v>895</v>
      </c>
      <c r="Y389" s="2518">
        <v>975</v>
      </c>
      <c r="Z389" s="2518"/>
      <c r="AA389" s="2518"/>
      <c r="AB389" s="2299" t="s">
        <v>903</v>
      </c>
      <c r="AC389" s="2518"/>
      <c r="AD389" s="2518"/>
      <c r="AE389" s="2518"/>
      <c r="AF389" s="1380" t="s">
        <v>903</v>
      </c>
      <c r="AG389" s="2518"/>
      <c r="AH389" s="2518"/>
      <c r="AI389" s="2519"/>
      <c r="AJ389" s="2520">
        <f t="shared" si="115"/>
        <v>32000</v>
      </c>
      <c r="AK389" s="2521"/>
      <c r="AL389" s="2522"/>
      <c r="AM389" s="2505">
        <v>1</v>
      </c>
      <c r="AN389" s="2506"/>
      <c r="AO389" s="2507"/>
      <c r="AP389" s="2499">
        <f t="shared" si="116"/>
        <v>32000</v>
      </c>
      <c r="AQ389" s="2500"/>
      <c r="AR389" s="2501"/>
      <c r="AS389" s="2555">
        <f ca="1">SUMIF(見積拾!C$96:D$104,F389,見積拾!T$96:T$104)+
SUMIF(内壁・間仕切!A$65:AA$65,F389,内壁・間仕切!A$82:AA$82)+
SUMIF(内壁・間仕切!A$86:AA$86,F389,内壁・間仕切!A$103:AA$103)+
SUMIF(内壁・間仕切!A$107:AA$107,F389,内壁・間仕切!A$124:AA$124)+
SUMIF(内壁・間仕切!A$128:AA$128,F389,内壁・間仕切!A$145:AA$145)</f>
        <v>0</v>
      </c>
      <c r="AT389" s="2556"/>
      <c r="AU389" s="2556"/>
      <c r="AV389" s="2557"/>
      <c r="AW389" s="2520">
        <f t="shared" ca="1" si="117"/>
        <v>0</v>
      </c>
      <c r="AX389" s="2521"/>
      <c r="AY389" s="2521"/>
      <c r="AZ389" s="2522"/>
      <c r="BA389" s="25" t="b">
        <f t="shared" ca="1" si="118"/>
        <v>0</v>
      </c>
      <c r="BB389"/>
    </row>
    <row r="390" spans="2:54" ht="13.5" customHeight="1">
      <c r="B390" s="2681"/>
      <c r="C390" s="2673"/>
      <c r="D390" s="2682"/>
      <c r="E390" s="322" t="s">
        <v>893</v>
      </c>
      <c r="F390" s="2500" t="s">
        <v>2044</v>
      </c>
      <c r="G390" s="2500"/>
      <c r="H390" s="2500"/>
      <c r="I390" s="2500"/>
      <c r="J390" s="2500"/>
      <c r="K390" s="2500"/>
      <c r="L390" s="2500"/>
      <c r="M390" s="2500"/>
      <c r="N390" s="2500"/>
      <c r="O390" s="2500"/>
      <c r="P390" s="2501"/>
      <c r="Q390" s="2542">
        <v>2210</v>
      </c>
      <c r="R390" s="2518"/>
      <c r="S390" s="2518"/>
      <c r="T390" s="2299" t="s">
        <v>1664</v>
      </c>
      <c r="U390" s="2518">
        <v>6875</v>
      </c>
      <c r="V390" s="2518"/>
      <c r="W390" s="2518"/>
      <c r="X390" s="2299" t="s">
        <v>895</v>
      </c>
      <c r="Y390" s="2518">
        <v>975</v>
      </c>
      <c r="Z390" s="2518"/>
      <c r="AA390" s="2518"/>
      <c r="AB390" s="2299" t="s">
        <v>903</v>
      </c>
      <c r="AC390" s="2518"/>
      <c r="AD390" s="2518"/>
      <c r="AE390" s="2518"/>
      <c r="AF390" s="1380" t="s">
        <v>903</v>
      </c>
      <c r="AG390" s="2518"/>
      <c r="AH390" s="2518"/>
      <c r="AI390" s="2519"/>
      <c r="AJ390" s="2520">
        <f t="shared" si="115"/>
        <v>10060</v>
      </c>
      <c r="AK390" s="2521"/>
      <c r="AL390" s="2522"/>
      <c r="AM390" s="2505">
        <v>1</v>
      </c>
      <c r="AN390" s="2506"/>
      <c r="AO390" s="2507"/>
      <c r="AP390" s="2499">
        <f t="shared" si="116"/>
        <v>10060</v>
      </c>
      <c r="AQ390" s="2500"/>
      <c r="AR390" s="2501"/>
      <c r="AS390" s="2555">
        <f ca="1">SUMIF(見積拾!C$96:D$104,F390,見積拾!T$96:T$104)+
SUMIF(内壁・間仕切!A$65:AA$65,F390,内壁・間仕切!A$82:AA$82)+
SUMIF(内壁・間仕切!A$86:AA$86,F390,内壁・間仕切!A$103:AA$103)+
SUMIF(内壁・間仕切!A$107:AA$107,F390,内壁・間仕切!A$124:AA$124)+
SUMIF(内壁・間仕切!A$128:AA$128,F390,内壁・間仕切!A$145:AA$145)</f>
        <v>0</v>
      </c>
      <c r="AT390" s="2556"/>
      <c r="AU390" s="2556"/>
      <c r="AV390" s="2557"/>
      <c r="AW390" s="2520">
        <f t="shared" ca="1" si="117"/>
        <v>0</v>
      </c>
      <c r="AX390" s="2521"/>
      <c r="AY390" s="2521"/>
      <c r="AZ390" s="2522"/>
      <c r="BA390" s="25" t="b">
        <f t="shared" ca="1" si="118"/>
        <v>0</v>
      </c>
      <c r="BB390"/>
    </row>
    <row r="391" spans="2:54" ht="13.5" customHeight="1">
      <c r="B391" s="2681"/>
      <c r="C391" s="2673"/>
      <c r="D391" s="2682"/>
      <c r="E391" s="322" t="s">
        <v>893</v>
      </c>
      <c r="F391" s="2500" t="s">
        <v>2045</v>
      </c>
      <c r="G391" s="2500"/>
      <c r="H391" s="2500"/>
      <c r="I391" s="2500"/>
      <c r="J391" s="2500"/>
      <c r="K391" s="2500"/>
      <c r="L391" s="2500"/>
      <c r="M391" s="2500"/>
      <c r="N391" s="2500"/>
      <c r="O391" s="2500"/>
      <c r="P391" s="2501"/>
      <c r="Q391" s="2542">
        <v>506</v>
      </c>
      <c r="R391" s="2518"/>
      <c r="S391" s="2518"/>
      <c r="T391" s="2299" t="s">
        <v>1664</v>
      </c>
      <c r="U391" s="2518">
        <v>6875</v>
      </c>
      <c r="V391" s="2518"/>
      <c r="W391" s="2518"/>
      <c r="X391" s="2299" t="s">
        <v>895</v>
      </c>
      <c r="Y391" s="2518">
        <v>975</v>
      </c>
      <c r="Z391" s="2518"/>
      <c r="AA391" s="2518"/>
      <c r="AB391" s="2299" t="s">
        <v>903</v>
      </c>
      <c r="AC391" s="2518"/>
      <c r="AD391" s="2518"/>
      <c r="AE391" s="2518"/>
      <c r="AF391" s="1380" t="s">
        <v>903</v>
      </c>
      <c r="AG391" s="2518"/>
      <c r="AH391" s="2518"/>
      <c r="AI391" s="2519"/>
      <c r="AJ391" s="2520">
        <f t="shared" si="115"/>
        <v>8350</v>
      </c>
      <c r="AK391" s="2521"/>
      <c r="AL391" s="2522"/>
      <c r="AM391" s="2505">
        <v>1</v>
      </c>
      <c r="AN391" s="2506"/>
      <c r="AO391" s="2507"/>
      <c r="AP391" s="2499">
        <f t="shared" si="116"/>
        <v>8350</v>
      </c>
      <c r="AQ391" s="2500"/>
      <c r="AR391" s="2501"/>
      <c r="AS391" s="2555">
        <f ca="1">SUMIF(見積拾!C$96:D$104,F391,見積拾!T$96:T$104)+
SUMIF(内壁・間仕切!A$65:AA$65,F391,内壁・間仕切!A$82:AA$82)+
SUMIF(内壁・間仕切!A$86:AA$86,F391,内壁・間仕切!A$103:AA$103)+
SUMIF(内壁・間仕切!A$107:AA$107,F391,内壁・間仕切!A$124:AA$124)+
SUMIF(内壁・間仕切!A$128:AA$128,F391,内壁・間仕切!A$145:AA$145)</f>
        <v>0</v>
      </c>
      <c r="AT391" s="2556"/>
      <c r="AU391" s="2556"/>
      <c r="AV391" s="2557"/>
      <c r="AW391" s="2520">
        <f t="shared" ca="1" si="117"/>
        <v>0</v>
      </c>
      <c r="AX391" s="2521"/>
      <c r="AY391" s="2521"/>
      <c r="AZ391" s="2522"/>
      <c r="BA391" s="25" t="b">
        <f t="shared" ca="1" si="118"/>
        <v>0</v>
      </c>
      <c r="BB391"/>
    </row>
    <row r="392" spans="2:54" ht="13.5" customHeight="1">
      <c r="B392" s="2681"/>
      <c r="C392" s="2673"/>
      <c r="D392" s="2682"/>
      <c r="E392" s="322" t="s">
        <v>893</v>
      </c>
      <c r="F392" s="2500" t="s">
        <v>1709</v>
      </c>
      <c r="G392" s="2500"/>
      <c r="H392" s="2500"/>
      <c r="I392" s="2500"/>
      <c r="J392" s="2500"/>
      <c r="K392" s="2500"/>
      <c r="L392" s="2500"/>
      <c r="M392" s="2500"/>
      <c r="N392" s="2500"/>
      <c r="O392" s="2500"/>
      <c r="P392" s="2501"/>
      <c r="Q392" s="2542">
        <v>24652</v>
      </c>
      <c r="R392" s="2518"/>
      <c r="S392" s="2518"/>
      <c r="T392" s="2299" t="s">
        <v>1664</v>
      </c>
      <c r="U392" s="2518">
        <v>8525</v>
      </c>
      <c r="V392" s="2518"/>
      <c r="W392" s="2518"/>
      <c r="X392" s="2299" t="s">
        <v>895</v>
      </c>
      <c r="Y392" s="2518">
        <v>975</v>
      </c>
      <c r="Z392" s="2518"/>
      <c r="AA392" s="2518"/>
      <c r="AB392" s="2299" t="s">
        <v>903</v>
      </c>
      <c r="AC392" s="2518"/>
      <c r="AD392" s="2518"/>
      <c r="AE392" s="2518"/>
      <c r="AF392" s="1380" t="s">
        <v>903</v>
      </c>
      <c r="AG392" s="2518"/>
      <c r="AH392" s="2518"/>
      <c r="AI392" s="2519"/>
      <c r="AJ392" s="2520">
        <f t="shared" si="115"/>
        <v>34150</v>
      </c>
      <c r="AK392" s="2521"/>
      <c r="AL392" s="2522"/>
      <c r="AM392" s="2505">
        <v>1</v>
      </c>
      <c r="AN392" s="2506"/>
      <c r="AO392" s="2507"/>
      <c r="AP392" s="2499">
        <f t="shared" si="116"/>
        <v>34150</v>
      </c>
      <c r="AQ392" s="2500"/>
      <c r="AR392" s="2501"/>
      <c r="AS392" s="2555">
        <f ca="1">SUMIF(見積拾!C$96:D$104,F392,見積拾!T$96:T$104)+
SUMIF(内壁・間仕切!A$65:AA$65,F392,内壁・間仕切!A$82:AA$82)+
SUMIF(内壁・間仕切!A$86:AA$86,F392,内壁・間仕切!A$103:AA$103)+
SUMIF(内壁・間仕切!A$107:AA$107,F392,内壁・間仕切!A$124:AA$124)+
SUMIF(内壁・間仕切!A$128:AA$128,F392,内壁・間仕切!A$145:AA$145)</f>
        <v>0</v>
      </c>
      <c r="AT392" s="2556"/>
      <c r="AU392" s="2556"/>
      <c r="AV392" s="2557"/>
      <c r="AW392" s="2520">
        <f t="shared" ca="1" si="117"/>
        <v>0</v>
      </c>
      <c r="AX392" s="2521"/>
      <c r="AY392" s="2521"/>
      <c r="AZ392" s="2522"/>
      <c r="BA392" s="25" t="b">
        <f t="shared" ca="1" si="118"/>
        <v>0</v>
      </c>
      <c r="BB392"/>
    </row>
    <row r="393" spans="2:54" ht="13.5" customHeight="1">
      <c r="B393" s="2681"/>
      <c r="C393" s="2673"/>
      <c r="D393" s="2682"/>
      <c r="E393" s="322" t="s">
        <v>893</v>
      </c>
      <c r="F393" s="2500" t="s">
        <v>1737</v>
      </c>
      <c r="G393" s="2500"/>
      <c r="H393" s="2500"/>
      <c r="I393" s="2500"/>
      <c r="J393" s="2500"/>
      <c r="K393" s="2500"/>
      <c r="L393" s="2500"/>
      <c r="M393" s="2500"/>
      <c r="N393" s="2500"/>
      <c r="O393" s="2500"/>
      <c r="P393" s="2501"/>
      <c r="Q393" s="2542">
        <v>7726</v>
      </c>
      <c r="R393" s="2518"/>
      <c r="S393" s="2518"/>
      <c r="T393" s="2299" t="s">
        <v>1664</v>
      </c>
      <c r="U393" s="2518">
        <v>7150</v>
      </c>
      <c r="V393" s="2518"/>
      <c r="W393" s="2518"/>
      <c r="X393" s="2299" t="s">
        <v>895</v>
      </c>
      <c r="Y393" s="2518">
        <v>975</v>
      </c>
      <c r="Z393" s="2518"/>
      <c r="AA393" s="2518"/>
      <c r="AB393" s="2299" t="s">
        <v>903</v>
      </c>
      <c r="AC393" s="2518"/>
      <c r="AD393" s="2518"/>
      <c r="AE393" s="2518"/>
      <c r="AF393" s="1380" t="s">
        <v>903</v>
      </c>
      <c r="AG393" s="2518"/>
      <c r="AH393" s="2518"/>
      <c r="AI393" s="2519"/>
      <c r="AJ393" s="2520">
        <f t="shared" si="115"/>
        <v>15850</v>
      </c>
      <c r="AK393" s="2521"/>
      <c r="AL393" s="2522"/>
      <c r="AM393" s="2505">
        <v>1</v>
      </c>
      <c r="AN393" s="2506"/>
      <c r="AO393" s="2507"/>
      <c r="AP393" s="2499">
        <f t="shared" si="116"/>
        <v>15850</v>
      </c>
      <c r="AQ393" s="2500"/>
      <c r="AR393" s="2501"/>
      <c r="AS393" s="2555">
        <f ca="1">SUMIF(見積拾!C$96:D$104,F393,見積拾!T$96:T$104)+
SUMIF(内壁・間仕切!A$65:AA$65,F393,内壁・間仕切!A$82:AA$82)+
SUMIF(内壁・間仕切!A$86:AA$86,F393,内壁・間仕切!A$103:AA$103)+
SUMIF(内壁・間仕切!A$107:AA$107,F393,内壁・間仕切!A$124:AA$124)+
SUMIF(内壁・間仕切!A$128:AA$128,F393,内壁・間仕切!A$145:AA$145)</f>
        <v>0</v>
      </c>
      <c r="AT393" s="2556"/>
      <c r="AU393" s="2556"/>
      <c r="AV393" s="2557"/>
      <c r="AW393" s="2520">
        <f t="shared" ca="1" si="117"/>
        <v>0</v>
      </c>
      <c r="AX393" s="2521"/>
      <c r="AY393" s="2521"/>
      <c r="AZ393" s="2522"/>
      <c r="BA393" s="25" t="b">
        <f t="shared" ca="1" si="118"/>
        <v>0</v>
      </c>
      <c r="BB393"/>
    </row>
    <row r="394" spans="2:54" ht="13.5" customHeight="1">
      <c r="B394" s="2681"/>
      <c r="C394" s="2673"/>
      <c r="D394" s="2682"/>
      <c r="E394" s="322" t="s">
        <v>893</v>
      </c>
      <c r="F394" s="2500" t="s">
        <v>1738</v>
      </c>
      <c r="G394" s="2500"/>
      <c r="H394" s="2500"/>
      <c r="I394" s="2500"/>
      <c r="J394" s="2500"/>
      <c r="K394" s="2500"/>
      <c r="L394" s="2500"/>
      <c r="M394" s="2500"/>
      <c r="N394" s="2500"/>
      <c r="O394" s="2500"/>
      <c r="P394" s="2501"/>
      <c r="Q394" s="2542">
        <v>8556</v>
      </c>
      <c r="R394" s="2518"/>
      <c r="S394" s="2518"/>
      <c r="T394" s="2299" t="s">
        <v>1664</v>
      </c>
      <c r="U394" s="2518">
        <v>2310</v>
      </c>
      <c r="V394" s="2518"/>
      <c r="W394" s="2518"/>
      <c r="X394" s="2299" t="s">
        <v>895</v>
      </c>
      <c r="Y394" s="2518">
        <v>975</v>
      </c>
      <c r="Z394" s="2518"/>
      <c r="AA394" s="2518"/>
      <c r="AB394" s="2299" t="s">
        <v>903</v>
      </c>
      <c r="AC394" s="2518"/>
      <c r="AD394" s="2518"/>
      <c r="AE394" s="2518"/>
      <c r="AF394" s="1380" t="s">
        <v>903</v>
      </c>
      <c r="AG394" s="2518"/>
      <c r="AH394" s="2518"/>
      <c r="AI394" s="2519"/>
      <c r="AJ394" s="2520">
        <f t="shared" si="115"/>
        <v>11840</v>
      </c>
      <c r="AK394" s="2521"/>
      <c r="AL394" s="2522"/>
      <c r="AM394" s="2505">
        <v>1</v>
      </c>
      <c r="AN394" s="2506"/>
      <c r="AO394" s="2507"/>
      <c r="AP394" s="2499">
        <f t="shared" si="116"/>
        <v>11840</v>
      </c>
      <c r="AQ394" s="2500"/>
      <c r="AR394" s="2501"/>
      <c r="AS394" s="2555">
        <f ca="1">SUMIF(見積拾!C$96:D$104,F394,見積拾!T$96:T$104)+
SUMIF(内壁・間仕切!A$65:AA$65,F394,内壁・間仕切!A$82:AA$82)+
SUMIF(内壁・間仕切!A$86:AA$86,F394,内壁・間仕切!A$103:AA$103)+
SUMIF(内壁・間仕切!A$107:AA$107,F394,内壁・間仕切!A$124:AA$124)+
SUMIF(内壁・間仕切!A$128:AA$128,F394,内壁・間仕切!A$145:AA$145)</f>
        <v>0</v>
      </c>
      <c r="AT394" s="2556"/>
      <c r="AU394" s="2556"/>
      <c r="AV394" s="2557"/>
      <c r="AW394" s="2520">
        <f t="shared" ca="1" si="117"/>
        <v>0</v>
      </c>
      <c r="AX394" s="2521"/>
      <c r="AY394" s="2521"/>
      <c r="AZ394" s="2522"/>
      <c r="BA394" s="25" t="b">
        <f t="shared" ca="1" si="118"/>
        <v>0</v>
      </c>
      <c r="BB394"/>
    </row>
    <row r="395" spans="2:54" ht="13.5" customHeight="1">
      <c r="B395" s="2681"/>
      <c r="C395" s="2673"/>
      <c r="D395" s="2682"/>
      <c r="E395" s="322" t="s">
        <v>893</v>
      </c>
      <c r="F395" s="2500" t="s">
        <v>1711</v>
      </c>
      <c r="G395" s="2500"/>
      <c r="H395" s="2500"/>
      <c r="I395" s="2500"/>
      <c r="J395" s="2500"/>
      <c r="K395" s="2500"/>
      <c r="L395" s="2500"/>
      <c r="M395" s="2500"/>
      <c r="N395" s="2500"/>
      <c r="O395" s="2500"/>
      <c r="P395" s="2501"/>
      <c r="Q395" s="2542">
        <v>5326</v>
      </c>
      <c r="R395" s="2518"/>
      <c r="S395" s="2518"/>
      <c r="T395" s="2299" t="s">
        <v>1664</v>
      </c>
      <c r="U395" s="2518">
        <v>2184</v>
      </c>
      <c r="V395" s="2518"/>
      <c r="W395" s="2518"/>
      <c r="X395" s="2299" t="s">
        <v>895</v>
      </c>
      <c r="Y395" s="2518">
        <v>975</v>
      </c>
      <c r="Z395" s="2518"/>
      <c r="AA395" s="2518"/>
      <c r="AB395" s="2299" t="s">
        <v>903</v>
      </c>
      <c r="AC395" s="2518"/>
      <c r="AD395" s="2518"/>
      <c r="AE395" s="2518"/>
      <c r="AF395" s="1380" t="s">
        <v>903</v>
      </c>
      <c r="AG395" s="2518"/>
      <c r="AH395" s="2518"/>
      <c r="AI395" s="2519"/>
      <c r="AJ395" s="2520">
        <f t="shared" si="115"/>
        <v>8480</v>
      </c>
      <c r="AK395" s="2521"/>
      <c r="AL395" s="2522"/>
      <c r="AM395" s="2505">
        <v>1</v>
      </c>
      <c r="AN395" s="2506"/>
      <c r="AO395" s="2507"/>
      <c r="AP395" s="2499">
        <f t="shared" si="116"/>
        <v>8480</v>
      </c>
      <c r="AQ395" s="2500"/>
      <c r="AR395" s="2501"/>
      <c r="AS395" s="2555">
        <f ca="1">SUMIF(見積拾!C$96:D$104,F395,見積拾!T$96:T$104)+
SUMIF(内壁・間仕切!A$65:AA$65,F395,内壁・間仕切!A$82:AA$82)+
SUMIF(内壁・間仕切!A$86:AA$86,F395,内壁・間仕切!A$103:AA$103)+
SUMIF(内壁・間仕切!A$107:AA$107,F395,内壁・間仕切!A$124:AA$124)+
SUMIF(内壁・間仕切!A$128:AA$128,F395,内壁・間仕切!A$145:AA$145)</f>
        <v>0</v>
      </c>
      <c r="AT395" s="2556"/>
      <c r="AU395" s="2556"/>
      <c r="AV395" s="2557"/>
      <c r="AW395" s="2520">
        <f t="shared" ca="1" si="117"/>
        <v>0</v>
      </c>
      <c r="AX395" s="2521"/>
      <c r="AY395" s="2521"/>
      <c r="AZ395" s="2522"/>
      <c r="BA395" s="25" t="b">
        <f t="shared" ca="1" si="118"/>
        <v>0</v>
      </c>
      <c r="BB395"/>
    </row>
    <row r="396" spans="2:54" ht="13.5" customHeight="1">
      <c r="B396" s="2681"/>
      <c r="C396" s="2673"/>
      <c r="D396" s="2682"/>
      <c r="E396" s="322" t="s">
        <v>893</v>
      </c>
      <c r="F396" s="2500" t="s">
        <v>1712</v>
      </c>
      <c r="G396" s="2500"/>
      <c r="H396" s="2500"/>
      <c r="I396" s="2500"/>
      <c r="J396" s="2500"/>
      <c r="K396" s="2500"/>
      <c r="L396" s="2500"/>
      <c r="M396" s="2500"/>
      <c r="N396" s="2500"/>
      <c r="O396" s="2500"/>
      <c r="P396" s="2501"/>
      <c r="Q396" s="2542">
        <v>2640</v>
      </c>
      <c r="R396" s="2518"/>
      <c r="S396" s="2518"/>
      <c r="T396" s="2299" t="s">
        <v>1664</v>
      </c>
      <c r="U396" s="2518" t="s">
        <v>1173</v>
      </c>
      <c r="V396" s="2518"/>
      <c r="W396" s="2518"/>
      <c r="X396" s="2299" t="s">
        <v>895</v>
      </c>
      <c r="Y396" s="2518">
        <v>975</v>
      </c>
      <c r="Z396" s="2518"/>
      <c r="AA396" s="2518"/>
      <c r="AB396" s="2299" t="s">
        <v>933</v>
      </c>
      <c r="AC396" s="2518"/>
      <c r="AD396" s="2518"/>
      <c r="AE396" s="2518"/>
      <c r="AF396" s="1380" t="s">
        <v>933</v>
      </c>
      <c r="AG396" s="2518"/>
      <c r="AH396" s="2518"/>
      <c r="AI396" s="2519"/>
      <c r="AJ396" s="2520">
        <f t="shared" si="115"/>
        <v>3610</v>
      </c>
      <c r="AK396" s="2521"/>
      <c r="AL396" s="2522"/>
      <c r="AM396" s="2505">
        <v>1</v>
      </c>
      <c r="AN396" s="2506"/>
      <c r="AO396" s="2507"/>
      <c r="AP396" s="2499">
        <f t="shared" si="116"/>
        <v>3610</v>
      </c>
      <c r="AQ396" s="2500"/>
      <c r="AR396" s="2501"/>
      <c r="AS396" s="2555">
        <f ca="1">SUMIF(見積拾!C$96:D$104,F396,見積拾!T$96:T$104)+
SUMIF(内壁・間仕切!A$65:AA$65,F396,内壁・間仕切!A$82:AA$82)+
SUMIF(内壁・間仕切!A$86:AA$86,F396,内壁・間仕切!A$103:AA$103)+
SUMIF(内壁・間仕切!A$107:AA$107,F396,内壁・間仕切!A$124:AA$124)+
SUMIF(内壁・間仕切!A$128:AA$128,F396,内壁・間仕切!A$145:AA$145)</f>
        <v>0</v>
      </c>
      <c r="AT396" s="2556"/>
      <c r="AU396" s="2556"/>
      <c r="AV396" s="2557"/>
      <c r="AW396" s="2520">
        <f t="shared" ca="1" si="117"/>
        <v>0</v>
      </c>
      <c r="AX396" s="2521"/>
      <c r="AY396" s="2521"/>
      <c r="AZ396" s="2522"/>
      <c r="BA396" s="25" t="b">
        <f t="shared" ca="1" si="118"/>
        <v>0</v>
      </c>
      <c r="BB396"/>
    </row>
    <row r="397" spans="2:54" ht="13.5" customHeight="1">
      <c r="B397" s="2681"/>
      <c r="C397" s="2673"/>
      <c r="D397" s="2682"/>
      <c r="E397" s="322" t="s">
        <v>893</v>
      </c>
      <c r="F397" s="2500" t="s">
        <v>2038</v>
      </c>
      <c r="G397" s="2500"/>
      <c r="H397" s="2500"/>
      <c r="I397" s="2500"/>
      <c r="J397" s="2500"/>
      <c r="K397" s="2500"/>
      <c r="L397" s="2500"/>
      <c r="M397" s="2500"/>
      <c r="N397" s="2500"/>
      <c r="O397" s="2500"/>
      <c r="P397" s="2501"/>
      <c r="Q397" s="2542">
        <v>1940</v>
      </c>
      <c r="R397" s="2518"/>
      <c r="S397" s="2518"/>
      <c r="T397" s="2299" t="s">
        <v>1664</v>
      </c>
      <c r="U397" s="2518" t="s">
        <v>1173</v>
      </c>
      <c r="V397" s="2518"/>
      <c r="W397" s="2518"/>
      <c r="X397" s="2299" t="s">
        <v>895</v>
      </c>
      <c r="Y397" s="2518">
        <v>975</v>
      </c>
      <c r="Z397" s="2518"/>
      <c r="AA397" s="2518"/>
      <c r="AB397" s="2299" t="s">
        <v>933</v>
      </c>
      <c r="AC397" s="2518"/>
      <c r="AD397" s="2518"/>
      <c r="AE397" s="2518"/>
      <c r="AF397" s="1380" t="s">
        <v>933</v>
      </c>
      <c r="AG397" s="2518"/>
      <c r="AH397" s="2518"/>
      <c r="AI397" s="2519"/>
      <c r="AJ397" s="2520">
        <f t="shared" si="115"/>
        <v>2910</v>
      </c>
      <c r="AK397" s="2521"/>
      <c r="AL397" s="2522"/>
      <c r="AM397" s="2505">
        <v>1</v>
      </c>
      <c r="AN397" s="2506"/>
      <c r="AO397" s="2507"/>
      <c r="AP397" s="2499">
        <f t="shared" si="116"/>
        <v>2910</v>
      </c>
      <c r="AQ397" s="2500"/>
      <c r="AR397" s="2501"/>
      <c r="AS397" s="2555">
        <f ca="1">SUMIF(見積拾!C$96:D$104,F397,見積拾!T$96:T$104)+
SUMIF(内壁・間仕切!A$65:AA$65,F397,内壁・間仕切!A$82:AA$82)+
SUMIF(内壁・間仕切!A$86:AA$86,F397,内壁・間仕切!A$103:AA$103)+
SUMIF(内壁・間仕切!A$107:AA$107,F397,内壁・間仕切!A$124:AA$124)+
SUMIF(内壁・間仕切!A$128:AA$128,F397,内壁・間仕切!A$145:AA$145)</f>
        <v>0</v>
      </c>
      <c r="AT397" s="2556"/>
      <c r="AU397" s="2556"/>
      <c r="AV397" s="2557"/>
      <c r="AW397" s="2520">
        <f t="shared" ca="1" si="117"/>
        <v>0</v>
      </c>
      <c r="AX397" s="2521"/>
      <c r="AY397" s="2521"/>
      <c r="AZ397" s="2522"/>
      <c r="BA397" s="25" t="b">
        <f t="shared" ca="1" si="118"/>
        <v>0</v>
      </c>
      <c r="BB397"/>
    </row>
    <row r="398" spans="2:54" ht="13.5" customHeight="1">
      <c r="B398" s="2681"/>
      <c r="C398" s="2673"/>
      <c r="D398" s="2682"/>
      <c r="E398" s="322" t="s">
        <v>893</v>
      </c>
      <c r="F398" s="2500" t="s">
        <v>2039</v>
      </c>
      <c r="G398" s="2500"/>
      <c r="H398" s="2500"/>
      <c r="I398" s="2500"/>
      <c r="J398" s="2500"/>
      <c r="K398" s="2500"/>
      <c r="L398" s="2500"/>
      <c r="M398" s="2500"/>
      <c r="N398" s="2500"/>
      <c r="O398" s="2500"/>
      <c r="P398" s="2501"/>
      <c r="Q398" s="2542">
        <v>1937</v>
      </c>
      <c r="R398" s="2518"/>
      <c r="S398" s="2518"/>
      <c r="T398" s="2299" t="s">
        <v>1664</v>
      </c>
      <c r="U398" s="2518">
        <v>1911</v>
      </c>
      <c r="V398" s="2518"/>
      <c r="W398" s="2518"/>
      <c r="X398" s="2299" t="s">
        <v>895</v>
      </c>
      <c r="Y398" s="2518">
        <v>975</v>
      </c>
      <c r="Z398" s="2518"/>
      <c r="AA398" s="2518"/>
      <c r="AB398" s="2299" t="s">
        <v>933</v>
      </c>
      <c r="AC398" s="2518"/>
      <c r="AD398" s="2518"/>
      <c r="AE398" s="2518"/>
      <c r="AF398" s="1380" t="s">
        <v>933</v>
      </c>
      <c r="AG398" s="2518"/>
      <c r="AH398" s="2518"/>
      <c r="AI398" s="2519"/>
      <c r="AJ398" s="2520">
        <f t="shared" si="115"/>
        <v>4820</v>
      </c>
      <c r="AK398" s="2521"/>
      <c r="AL398" s="2522"/>
      <c r="AM398" s="2505">
        <v>1</v>
      </c>
      <c r="AN398" s="2506"/>
      <c r="AO398" s="2507"/>
      <c r="AP398" s="2499">
        <f t="shared" si="116"/>
        <v>4820</v>
      </c>
      <c r="AQ398" s="2500"/>
      <c r="AR398" s="2501"/>
      <c r="AS398" s="2555">
        <f ca="1">SUMIF(見積拾!C$96:D$104,F398,見積拾!T$96:T$104)+
SUMIF(内壁・間仕切!A$65:AA$65,F398,内壁・間仕切!A$82:AA$82)+
SUMIF(内壁・間仕切!A$86:AA$86,F398,内壁・間仕切!A$103:AA$103)+
SUMIF(内壁・間仕切!A$107:AA$107,F398,内壁・間仕切!A$124:AA$124)+
SUMIF(内壁・間仕切!A$128:AA$128,F398,内壁・間仕切!A$145:AA$145)</f>
        <v>0</v>
      </c>
      <c r="AT398" s="2556"/>
      <c r="AU398" s="2556"/>
      <c r="AV398" s="2557"/>
      <c r="AW398" s="2520">
        <f t="shared" ca="1" si="117"/>
        <v>0</v>
      </c>
      <c r="AX398" s="2521"/>
      <c r="AY398" s="2521"/>
      <c r="AZ398" s="2522"/>
      <c r="BA398" s="25" t="b">
        <f t="shared" ca="1" si="118"/>
        <v>0</v>
      </c>
      <c r="BB398"/>
    </row>
    <row r="399" spans="2:54" ht="13.5" customHeight="1">
      <c r="B399" s="2681"/>
      <c r="C399" s="2673"/>
      <c r="D399" s="2682"/>
      <c r="E399" s="322" t="s">
        <v>893</v>
      </c>
      <c r="F399" s="2500" t="s">
        <v>1716</v>
      </c>
      <c r="G399" s="2500"/>
      <c r="H399" s="2500"/>
      <c r="I399" s="2500"/>
      <c r="J399" s="2500"/>
      <c r="K399" s="2500"/>
      <c r="L399" s="2500"/>
      <c r="M399" s="2500"/>
      <c r="N399" s="2500"/>
      <c r="O399" s="2500"/>
      <c r="P399" s="2501"/>
      <c r="Q399" s="2542">
        <v>461</v>
      </c>
      <c r="R399" s="2518"/>
      <c r="S399" s="2518"/>
      <c r="T399" s="2299" t="s">
        <v>1664</v>
      </c>
      <c r="U399" s="2518">
        <v>1258</v>
      </c>
      <c r="V399" s="2518"/>
      <c r="W399" s="2518"/>
      <c r="X399" s="2299" t="s">
        <v>895</v>
      </c>
      <c r="Y399" s="2518">
        <v>975</v>
      </c>
      <c r="Z399" s="2518"/>
      <c r="AA399" s="2518"/>
      <c r="AB399" s="2299" t="s">
        <v>933</v>
      </c>
      <c r="AC399" s="2518"/>
      <c r="AD399" s="2518"/>
      <c r="AE399" s="2518"/>
      <c r="AF399" s="1380" t="s">
        <v>933</v>
      </c>
      <c r="AG399" s="2518"/>
      <c r="AH399" s="2518"/>
      <c r="AI399" s="2519"/>
      <c r="AJ399" s="2520">
        <f t="shared" si="115"/>
        <v>2690</v>
      </c>
      <c r="AK399" s="2521"/>
      <c r="AL399" s="2522"/>
      <c r="AM399" s="2505">
        <v>1</v>
      </c>
      <c r="AN399" s="2506"/>
      <c r="AO399" s="2507"/>
      <c r="AP399" s="2499">
        <f t="shared" si="116"/>
        <v>2690</v>
      </c>
      <c r="AQ399" s="2500"/>
      <c r="AR399" s="2501"/>
      <c r="AS399" s="2555">
        <f ca="1">SUMIF(見積拾!C$96:D$104,F399,見積拾!T$96:T$104)+
SUMIF(内壁・間仕切!A$65:AA$65,F399,内壁・間仕切!A$82:AA$82)+
SUMIF(内壁・間仕切!A$86:AA$86,F399,内壁・間仕切!A$103:AA$103)+
SUMIF(内壁・間仕切!A$107:AA$107,F399,内壁・間仕切!A$124:AA$124)+
SUMIF(内壁・間仕切!A$128:AA$128,F399,内壁・間仕切!A$145:AA$145)</f>
        <v>0</v>
      </c>
      <c r="AT399" s="2556"/>
      <c r="AU399" s="2556"/>
      <c r="AV399" s="2557"/>
      <c r="AW399" s="2520">
        <f t="shared" ca="1" si="117"/>
        <v>0</v>
      </c>
      <c r="AX399" s="2521"/>
      <c r="AY399" s="2521"/>
      <c r="AZ399" s="2522"/>
      <c r="BA399" s="25" t="b">
        <f t="shared" ca="1" si="118"/>
        <v>0</v>
      </c>
      <c r="BB399"/>
    </row>
    <row r="400" spans="2:54" ht="13.5" customHeight="1">
      <c r="B400" s="2681"/>
      <c r="C400" s="2673"/>
      <c r="D400" s="2682"/>
      <c r="E400" s="322" t="s">
        <v>893</v>
      </c>
      <c r="F400" s="2500" t="s">
        <v>1717</v>
      </c>
      <c r="G400" s="2500"/>
      <c r="H400" s="2500"/>
      <c r="I400" s="2500"/>
      <c r="J400" s="2500"/>
      <c r="K400" s="2500"/>
      <c r="L400" s="2500"/>
      <c r="M400" s="2500"/>
      <c r="N400" s="2500"/>
      <c r="O400" s="2500"/>
      <c r="P400" s="2501"/>
      <c r="Q400" s="2542">
        <v>1955</v>
      </c>
      <c r="R400" s="2518"/>
      <c r="S400" s="2518"/>
      <c r="T400" s="2299" t="s">
        <v>1664</v>
      </c>
      <c r="U400" s="2518">
        <v>1258</v>
      </c>
      <c r="V400" s="2518"/>
      <c r="W400" s="2518"/>
      <c r="X400" s="2299" t="s">
        <v>895</v>
      </c>
      <c r="Y400" s="2518">
        <v>975</v>
      </c>
      <c r="Z400" s="2518"/>
      <c r="AA400" s="2518"/>
      <c r="AB400" s="2299" t="s">
        <v>933</v>
      </c>
      <c r="AC400" s="2518"/>
      <c r="AD400" s="2518"/>
      <c r="AE400" s="2518"/>
      <c r="AF400" s="1380" t="s">
        <v>933</v>
      </c>
      <c r="AG400" s="2518"/>
      <c r="AH400" s="2518"/>
      <c r="AI400" s="2519"/>
      <c r="AJ400" s="2520">
        <f t="shared" si="115"/>
        <v>4180</v>
      </c>
      <c r="AK400" s="2521"/>
      <c r="AL400" s="2522"/>
      <c r="AM400" s="2505">
        <v>1</v>
      </c>
      <c r="AN400" s="2506"/>
      <c r="AO400" s="2507"/>
      <c r="AP400" s="2499">
        <f t="shared" si="116"/>
        <v>4180</v>
      </c>
      <c r="AQ400" s="2500"/>
      <c r="AR400" s="2501"/>
      <c r="AS400" s="2555">
        <f ca="1">SUMIF(見積拾!C$96:D$104,F400,見積拾!T$96:T$104)+
SUMIF(内壁・間仕切!A$65:AA$65,F400,内壁・間仕切!A$82:AA$82)+
SUMIF(内壁・間仕切!A$86:AA$86,F400,内壁・間仕切!A$103:AA$103)+
SUMIF(内壁・間仕切!A$107:AA$107,F400,内壁・間仕切!A$124:AA$124)+
SUMIF(内壁・間仕切!A$128:AA$128,F400,内壁・間仕切!A$145:AA$145)</f>
        <v>0</v>
      </c>
      <c r="AT400" s="2556"/>
      <c r="AU400" s="2556"/>
      <c r="AV400" s="2557"/>
      <c r="AW400" s="2520">
        <f t="shared" ca="1" si="117"/>
        <v>0</v>
      </c>
      <c r="AX400" s="2521"/>
      <c r="AY400" s="2521"/>
      <c r="AZ400" s="2522"/>
      <c r="BA400" s="25" t="b">
        <f t="shared" ca="1" si="118"/>
        <v>0</v>
      </c>
      <c r="BB400"/>
    </row>
    <row r="401" spans="2:54" ht="13.5" customHeight="1">
      <c r="B401" s="2681"/>
      <c r="C401" s="2673"/>
      <c r="D401" s="2682"/>
      <c r="E401" s="322" t="s">
        <v>893</v>
      </c>
      <c r="F401" s="2500" t="s">
        <v>1718</v>
      </c>
      <c r="G401" s="2500"/>
      <c r="H401" s="2500"/>
      <c r="I401" s="2500"/>
      <c r="J401" s="2500"/>
      <c r="K401" s="2500"/>
      <c r="L401" s="2500"/>
      <c r="M401" s="2500"/>
      <c r="N401" s="2500"/>
      <c r="O401" s="2500"/>
      <c r="P401" s="2501"/>
      <c r="Q401" s="2542">
        <v>6550</v>
      </c>
      <c r="R401" s="2518"/>
      <c r="S401" s="2518"/>
      <c r="T401" s="2299" t="s">
        <v>1664</v>
      </c>
      <c r="U401" s="2518">
        <v>1258</v>
      </c>
      <c r="V401" s="2518"/>
      <c r="W401" s="2518"/>
      <c r="X401" s="2299" t="s">
        <v>895</v>
      </c>
      <c r="Y401" s="2518">
        <v>975</v>
      </c>
      <c r="Z401" s="2518"/>
      <c r="AA401" s="2518"/>
      <c r="AB401" s="2299" t="s">
        <v>944</v>
      </c>
      <c r="AC401" s="2518"/>
      <c r="AD401" s="2518"/>
      <c r="AE401" s="2518"/>
      <c r="AF401" s="1380" t="s">
        <v>944</v>
      </c>
      <c r="AG401" s="2518"/>
      <c r="AH401" s="2518"/>
      <c r="AI401" s="2519"/>
      <c r="AJ401" s="2520">
        <f t="shared" si="115"/>
        <v>8780</v>
      </c>
      <c r="AK401" s="2521"/>
      <c r="AL401" s="2522"/>
      <c r="AM401" s="2505">
        <v>1</v>
      </c>
      <c r="AN401" s="2506"/>
      <c r="AO401" s="2507"/>
      <c r="AP401" s="2499">
        <f t="shared" si="116"/>
        <v>8780</v>
      </c>
      <c r="AQ401" s="2500"/>
      <c r="AR401" s="2501"/>
      <c r="AS401" s="2555">
        <f ca="1">SUMIF(見積拾!C$96:D$104,F401,見積拾!T$96:T$104)+
SUMIF(内壁・間仕切!A$65:AA$65,F401,内壁・間仕切!A$82:AA$82)+
SUMIF(内壁・間仕切!A$86:AA$86,F401,内壁・間仕切!A$103:AA$103)+
SUMIF(内壁・間仕切!A$107:AA$107,F401,内壁・間仕切!A$124:AA$124)+
SUMIF(内壁・間仕切!A$128:AA$128,F401,内壁・間仕切!A$145:AA$145)</f>
        <v>0</v>
      </c>
      <c r="AT401" s="2556"/>
      <c r="AU401" s="2556"/>
      <c r="AV401" s="2557"/>
      <c r="AW401" s="2520">
        <f t="shared" ca="1" si="117"/>
        <v>0</v>
      </c>
      <c r="AX401" s="2521"/>
      <c r="AY401" s="2521"/>
      <c r="AZ401" s="2522"/>
      <c r="BA401" s="25" t="b">
        <f t="shared" ca="1" si="118"/>
        <v>0</v>
      </c>
      <c r="BB401"/>
    </row>
    <row r="402" spans="2:54" s="1996" customFormat="1" ht="13.5" customHeight="1">
      <c r="B402" s="2681"/>
      <c r="C402" s="2673"/>
      <c r="D402" s="2683"/>
      <c r="E402" s="1994" t="s">
        <v>893</v>
      </c>
      <c r="F402" s="2500" t="s">
        <v>2076</v>
      </c>
      <c r="G402" s="2500"/>
      <c r="H402" s="2500"/>
      <c r="I402" s="2500"/>
      <c r="J402" s="2500"/>
      <c r="K402" s="2500"/>
      <c r="L402" s="2500"/>
      <c r="M402" s="2500"/>
      <c r="N402" s="2500"/>
      <c r="O402" s="2500"/>
      <c r="P402" s="2501"/>
      <c r="Q402" s="2542">
        <v>4022</v>
      </c>
      <c r="R402" s="2518"/>
      <c r="S402" s="2518"/>
      <c r="T402" s="2299" t="s">
        <v>1664</v>
      </c>
      <c r="U402" s="2518" t="s">
        <v>1173</v>
      </c>
      <c r="V402" s="2518"/>
      <c r="W402" s="2518"/>
      <c r="X402" s="2299" t="s">
        <v>895</v>
      </c>
      <c r="Y402" s="2518">
        <v>1795</v>
      </c>
      <c r="Z402" s="2518"/>
      <c r="AA402" s="2518"/>
      <c r="AB402" s="2299" t="s">
        <v>64</v>
      </c>
      <c r="AC402" s="2518"/>
      <c r="AD402" s="2518"/>
      <c r="AE402" s="2518"/>
      <c r="AF402" s="1993" t="s">
        <v>64</v>
      </c>
      <c r="AG402" s="2518"/>
      <c r="AH402" s="2518"/>
      <c r="AI402" s="2519"/>
      <c r="AJ402" s="2520">
        <f t="shared" ref="AJ402" si="119">ROUNDDOWN(SUM(Q402:AI402),-1)</f>
        <v>5810</v>
      </c>
      <c r="AK402" s="2521"/>
      <c r="AL402" s="2522"/>
      <c r="AM402" s="2505">
        <v>1</v>
      </c>
      <c r="AN402" s="2506"/>
      <c r="AO402" s="2507"/>
      <c r="AP402" s="2499">
        <f t="shared" ref="AP402" si="120">INT(AJ402*AM402)</f>
        <v>5810</v>
      </c>
      <c r="AQ402" s="2500"/>
      <c r="AR402" s="2501"/>
      <c r="AS402" s="2555">
        <f ca="1">SUMIF(見積拾!C$96:D$104,F402,見積拾!T$96:T$104)+
SUMIF(内壁・間仕切!A$65:AA$65,F402,内壁・間仕切!A$82:AA$82)+
SUMIF(内壁・間仕切!A$86:AA$86,F402,内壁・間仕切!A$103:AA$103)+
SUMIF(内壁・間仕切!A$107:AA$107,F402,内壁・間仕切!A$124:AA$124)+
SUMIF(内壁・間仕切!A$128:AA$128,F402,内壁・間仕切!A$145:AA$145)</f>
        <v>0</v>
      </c>
      <c r="AT402" s="2556"/>
      <c r="AU402" s="2556"/>
      <c r="AV402" s="2557"/>
      <c r="AW402" s="2520">
        <f t="shared" ref="AW402" ca="1" si="121">INT(AP402*AS402)</f>
        <v>0</v>
      </c>
      <c r="AX402" s="2521"/>
      <c r="AY402" s="2521"/>
      <c r="AZ402" s="2522"/>
      <c r="BA402" s="25" t="b">
        <f t="shared" ref="BA402" ca="1" si="122">AW402&lt;&gt;0</f>
        <v>0</v>
      </c>
    </row>
    <row r="403" spans="2:54" ht="13.5" customHeight="1">
      <c r="B403" s="2681"/>
      <c r="C403" s="2673"/>
      <c r="D403" s="2682"/>
      <c r="E403" s="322" t="s">
        <v>893</v>
      </c>
      <c r="F403" s="2500" t="s">
        <v>1178</v>
      </c>
      <c r="G403" s="2500"/>
      <c r="H403" s="2500"/>
      <c r="I403" s="2500"/>
      <c r="J403" s="2500"/>
      <c r="K403" s="2500"/>
      <c r="L403" s="2500"/>
      <c r="M403" s="2500"/>
      <c r="N403" s="2500"/>
      <c r="O403" s="2500"/>
      <c r="P403" s="2501"/>
      <c r="Q403" s="2542">
        <v>602</v>
      </c>
      <c r="R403" s="2518"/>
      <c r="S403" s="2518"/>
      <c r="T403" s="2299" t="s">
        <v>1664</v>
      </c>
      <c r="U403" s="2518">
        <v>1638</v>
      </c>
      <c r="V403" s="2518"/>
      <c r="W403" s="2518"/>
      <c r="X403" s="2299" t="s">
        <v>895</v>
      </c>
      <c r="Y403" s="2518">
        <v>975</v>
      </c>
      <c r="Z403" s="2518"/>
      <c r="AA403" s="2518"/>
      <c r="AB403" s="2299" t="s">
        <v>944</v>
      </c>
      <c r="AC403" s="2518"/>
      <c r="AD403" s="2518"/>
      <c r="AE403" s="2518"/>
      <c r="AF403" s="1380" t="s">
        <v>944</v>
      </c>
      <c r="AG403" s="2518"/>
      <c r="AH403" s="2518"/>
      <c r="AI403" s="2519"/>
      <c r="AJ403" s="2520">
        <f t="shared" si="115"/>
        <v>3210</v>
      </c>
      <c r="AK403" s="2521"/>
      <c r="AL403" s="2522"/>
      <c r="AM403" s="2505">
        <v>1</v>
      </c>
      <c r="AN403" s="2506"/>
      <c r="AO403" s="2507"/>
      <c r="AP403" s="2499">
        <f t="shared" si="116"/>
        <v>3210</v>
      </c>
      <c r="AQ403" s="2500"/>
      <c r="AR403" s="2501"/>
      <c r="AS403" s="2555">
        <f ca="1">SUMIF(見積拾!C$96:D$104,F403,見積拾!T$96:T$104)+
SUMIF(内壁・間仕切!A$65:AA$65,F403,内壁・間仕切!A$82:AA$82)+
SUMIF(内壁・間仕切!A$86:AA$86,F403,内壁・間仕切!A$103:AA$103)+
SUMIF(内壁・間仕切!A$107:AA$107,F403,内壁・間仕切!A$124:AA$124)+
SUMIF(内壁・間仕切!A$128:AA$128,F403,内壁・間仕切!A$145:AA$145)</f>
        <v>0</v>
      </c>
      <c r="AT403" s="2556"/>
      <c r="AU403" s="2556"/>
      <c r="AV403" s="2557"/>
      <c r="AW403" s="2520">
        <f t="shared" ca="1" si="117"/>
        <v>0</v>
      </c>
      <c r="AX403" s="2521"/>
      <c r="AY403" s="2521"/>
      <c r="AZ403" s="2522"/>
      <c r="BA403" s="25" t="b">
        <f t="shared" ca="1" si="118"/>
        <v>0</v>
      </c>
      <c r="BB403"/>
    </row>
    <row r="404" spans="2:54" ht="13.5" customHeight="1">
      <c r="B404" s="2681"/>
      <c r="C404" s="2673"/>
      <c r="D404" s="2682"/>
      <c r="E404" s="322" t="s">
        <v>893</v>
      </c>
      <c r="F404" s="2500" t="s">
        <v>1740</v>
      </c>
      <c r="G404" s="2500"/>
      <c r="H404" s="2500"/>
      <c r="I404" s="2500"/>
      <c r="J404" s="2500"/>
      <c r="K404" s="2500"/>
      <c r="L404" s="2500"/>
      <c r="M404" s="2500"/>
      <c r="N404" s="2500"/>
      <c r="O404" s="2500"/>
      <c r="P404" s="2501"/>
      <c r="Q404" s="2542">
        <v>1416</v>
      </c>
      <c r="R404" s="2518"/>
      <c r="S404" s="2518"/>
      <c r="T404" s="2299" t="s">
        <v>1664</v>
      </c>
      <c r="U404" s="2518" t="s">
        <v>1173</v>
      </c>
      <c r="V404" s="2518"/>
      <c r="W404" s="2518"/>
      <c r="X404" s="2299" t="s">
        <v>895</v>
      </c>
      <c r="Y404" s="2518">
        <v>975</v>
      </c>
      <c r="Z404" s="2518"/>
      <c r="AA404" s="2518"/>
      <c r="AB404" s="2299" t="s">
        <v>64</v>
      </c>
      <c r="AC404" s="2518"/>
      <c r="AD404" s="2518"/>
      <c r="AE404" s="2518"/>
      <c r="AF404" s="1380" t="s">
        <v>64</v>
      </c>
      <c r="AG404" s="2518"/>
      <c r="AH404" s="2518"/>
      <c r="AI404" s="2519"/>
      <c r="AJ404" s="2520">
        <f t="shared" si="115"/>
        <v>2390</v>
      </c>
      <c r="AK404" s="2521"/>
      <c r="AL404" s="2522"/>
      <c r="AM404" s="2505">
        <v>1</v>
      </c>
      <c r="AN404" s="2506"/>
      <c r="AO404" s="2507"/>
      <c r="AP404" s="2499">
        <f t="shared" si="116"/>
        <v>2390</v>
      </c>
      <c r="AQ404" s="2500"/>
      <c r="AR404" s="2501"/>
      <c r="AS404" s="2555">
        <f ca="1">SUMIF(見積拾!C$96:D$104,F404,見積拾!T$96:T$104)+
SUMIF(内壁・間仕切!A$65:AA$65,F404,内壁・間仕切!A$82:AA$82)+
SUMIF(内壁・間仕切!A$86:AA$86,F404,内壁・間仕切!A$103:AA$103)+
SUMIF(内壁・間仕切!A$107:AA$107,F404,内壁・間仕切!A$124:AA$124)+
SUMIF(内壁・間仕切!A$128:AA$128,F404,内壁・間仕切!A$145:AA$145)</f>
        <v>0</v>
      </c>
      <c r="AT404" s="2556"/>
      <c r="AU404" s="2556"/>
      <c r="AV404" s="2557"/>
      <c r="AW404" s="2520">
        <f t="shared" ca="1" si="117"/>
        <v>0</v>
      </c>
      <c r="AX404" s="2521"/>
      <c r="AY404" s="2521"/>
      <c r="AZ404" s="2522"/>
      <c r="BA404" s="25" t="b">
        <f t="shared" ca="1" si="118"/>
        <v>0</v>
      </c>
      <c r="BB404"/>
    </row>
    <row r="405" spans="2:54" ht="13.5" customHeight="1">
      <c r="B405" s="2681"/>
      <c r="C405" s="2673"/>
      <c r="D405" s="2682"/>
      <c r="E405" s="322" t="s">
        <v>893</v>
      </c>
      <c r="F405" s="2500" t="s">
        <v>1741</v>
      </c>
      <c r="G405" s="2500"/>
      <c r="H405" s="2500"/>
      <c r="I405" s="2500"/>
      <c r="J405" s="2500"/>
      <c r="K405" s="2500"/>
      <c r="L405" s="2500"/>
      <c r="M405" s="2500"/>
      <c r="N405" s="2500"/>
      <c r="O405" s="2500"/>
      <c r="P405" s="2501"/>
      <c r="Q405" s="2542">
        <v>1058</v>
      </c>
      <c r="R405" s="2518"/>
      <c r="S405" s="2518"/>
      <c r="T405" s="2299" t="s">
        <v>1664</v>
      </c>
      <c r="U405" s="2518">
        <v>819</v>
      </c>
      <c r="V405" s="2518"/>
      <c r="W405" s="2518"/>
      <c r="X405" s="2299" t="s">
        <v>895</v>
      </c>
      <c r="Y405" s="2518">
        <v>975</v>
      </c>
      <c r="Z405" s="2518"/>
      <c r="AA405" s="2518"/>
      <c r="AB405" s="2299" t="s">
        <v>922</v>
      </c>
      <c r="AC405" s="2518"/>
      <c r="AD405" s="2518"/>
      <c r="AE405" s="2518"/>
      <c r="AF405" s="1380" t="s">
        <v>922</v>
      </c>
      <c r="AG405" s="2518"/>
      <c r="AH405" s="2518"/>
      <c r="AI405" s="2519"/>
      <c r="AJ405" s="2520">
        <f t="shared" si="115"/>
        <v>2850</v>
      </c>
      <c r="AK405" s="2521"/>
      <c r="AL405" s="2522"/>
      <c r="AM405" s="2505">
        <v>1</v>
      </c>
      <c r="AN405" s="2506"/>
      <c r="AO405" s="2507"/>
      <c r="AP405" s="2499">
        <f t="shared" si="116"/>
        <v>2850</v>
      </c>
      <c r="AQ405" s="2500"/>
      <c r="AR405" s="2501"/>
      <c r="AS405" s="2555">
        <f ca="1">SUMIF(見積拾!C$96:D$104,F405,見積拾!T$96:T$104)+
SUMIF(内壁・間仕切!A$65:AA$65,F405,内壁・間仕切!A$82:AA$82)+
SUMIF(内壁・間仕切!A$86:AA$86,F405,内壁・間仕切!A$103:AA$103)+
SUMIF(内壁・間仕切!A$107:AA$107,F405,内壁・間仕切!A$124:AA$124)+
SUMIF(内壁・間仕切!A$128:AA$128,F405,内壁・間仕切!A$145:AA$145)</f>
        <v>0</v>
      </c>
      <c r="AT405" s="2556"/>
      <c r="AU405" s="2556"/>
      <c r="AV405" s="2557"/>
      <c r="AW405" s="2520">
        <f t="shared" ca="1" si="117"/>
        <v>0</v>
      </c>
      <c r="AX405" s="2521"/>
      <c r="AY405" s="2521"/>
      <c r="AZ405" s="2522"/>
      <c r="BA405" s="25" t="b">
        <f t="shared" ca="1" si="118"/>
        <v>0</v>
      </c>
      <c r="BB405"/>
    </row>
    <row r="406" spans="2:54" ht="13.5" customHeight="1">
      <c r="B406" s="2681"/>
      <c r="C406" s="2673"/>
      <c r="D406" s="2682"/>
      <c r="E406" s="322" t="s">
        <v>893</v>
      </c>
      <c r="F406" s="2500" t="s">
        <v>1715</v>
      </c>
      <c r="G406" s="2500"/>
      <c r="H406" s="2500"/>
      <c r="I406" s="2500"/>
      <c r="J406" s="2500"/>
      <c r="K406" s="2500"/>
      <c r="L406" s="2500"/>
      <c r="M406" s="2500"/>
      <c r="N406" s="2500"/>
      <c r="O406" s="2500"/>
      <c r="P406" s="2501"/>
      <c r="Q406" s="2542">
        <v>2541</v>
      </c>
      <c r="R406" s="2518"/>
      <c r="S406" s="2518"/>
      <c r="T406" s="2299" t="s">
        <v>1664</v>
      </c>
      <c r="U406" s="2518">
        <v>1365</v>
      </c>
      <c r="V406" s="2518"/>
      <c r="W406" s="2518"/>
      <c r="X406" s="2299" t="s">
        <v>895</v>
      </c>
      <c r="Y406" s="2518">
        <v>975</v>
      </c>
      <c r="Z406" s="2518"/>
      <c r="AA406" s="2518"/>
      <c r="AB406" s="2299" t="s">
        <v>937</v>
      </c>
      <c r="AC406" s="2518"/>
      <c r="AD406" s="2518"/>
      <c r="AE406" s="2518"/>
      <c r="AF406" s="1380" t="s">
        <v>937</v>
      </c>
      <c r="AG406" s="2518"/>
      <c r="AH406" s="2518"/>
      <c r="AI406" s="2519"/>
      <c r="AJ406" s="2520">
        <f t="shared" si="115"/>
        <v>4880</v>
      </c>
      <c r="AK406" s="2521"/>
      <c r="AL406" s="2522"/>
      <c r="AM406" s="2505">
        <v>1</v>
      </c>
      <c r="AN406" s="2506"/>
      <c r="AO406" s="2507"/>
      <c r="AP406" s="2499">
        <f t="shared" si="116"/>
        <v>4880</v>
      </c>
      <c r="AQ406" s="2500"/>
      <c r="AR406" s="2501"/>
      <c r="AS406" s="2555">
        <f ca="1">SUMIF(見積拾!C$96:D$104,F406,見積拾!T$96:T$104)+
SUMIF(内壁・間仕切!A$65:AA$65,F406,内壁・間仕切!A$82:AA$82)+
SUMIF(内壁・間仕切!A$86:AA$86,F406,内壁・間仕切!A$103:AA$103)+
SUMIF(内壁・間仕切!A$107:AA$107,F406,内壁・間仕切!A$124:AA$124)+
SUMIF(内壁・間仕切!A$128:AA$128,F406,内壁・間仕切!A$145:AA$145)</f>
        <v>0</v>
      </c>
      <c r="AT406" s="2556"/>
      <c r="AU406" s="2556"/>
      <c r="AV406" s="2557"/>
      <c r="AW406" s="2520">
        <f t="shared" ca="1" si="117"/>
        <v>0</v>
      </c>
      <c r="AX406" s="2521"/>
      <c r="AY406" s="2521"/>
      <c r="AZ406" s="2522"/>
      <c r="BA406" s="25" t="b">
        <f t="shared" ca="1" si="118"/>
        <v>0</v>
      </c>
      <c r="BB406"/>
    </row>
    <row r="407" spans="2:54" ht="13.5" customHeight="1">
      <c r="B407" s="2681"/>
      <c r="C407" s="2673"/>
      <c r="D407" s="2682"/>
      <c r="E407" s="322" t="s">
        <v>893</v>
      </c>
      <c r="F407" s="2500" t="s">
        <v>1742</v>
      </c>
      <c r="G407" s="2500"/>
      <c r="H407" s="2500"/>
      <c r="I407" s="2500"/>
      <c r="J407" s="2500"/>
      <c r="K407" s="2500"/>
      <c r="L407" s="2500"/>
      <c r="M407" s="2500"/>
      <c r="N407" s="2500"/>
      <c r="O407" s="2500"/>
      <c r="P407" s="2501"/>
      <c r="Q407" s="2542">
        <v>920</v>
      </c>
      <c r="R407" s="2518"/>
      <c r="S407" s="2518"/>
      <c r="T407" s="2299" t="s">
        <v>1664</v>
      </c>
      <c r="U407" s="2518" t="s">
        <v>1173</v>
      </c>
      <c r="V407" s="2518"/>
      <c r="W407" s="2518"/>
      <c r="X407" s="2299" t="s">
        <v>895</v>
      </c>
      <c r="Y407" s="2518">
        <v>975</v>
      </c>
      <c r="Z407" s="2518"/>
      <c r="AA407" s="2518"/>
      <c r="AB407" s="2299" t="s">
        <v>64</v>
      </c>
      <c r="AC407" s="2518"/>
      <c r="AD407" s="2518"/>
      <c r="AE407" s="2518"/>
      <c r="AF407" s="1380" t="s">
        <v>64</v>
      </c>
      <c r="AG407" s="2518"/>
      <c r="AH407" s="2518"/>
      <c r="AI407" s="2519"/>
      <c r="AJ407" s="2520">
        <f t="shared" si="115"/>
        <v>1890</v>
      </c>
      <c r="AK407" s="2521"/>
      <c r="AL407" s="2522"/>
      <c r="AM407" s="2505">
        <v>1</v>
      </c>
      <c r="AN407" s="2506"/>
      <c r="AO407" s="2507"/>
      <c r="AP407" s="2499">
        <f t="shared" si="116"/>
        <v>1890</v>
      </c>
      <c r="AQ407" s="2500"/>
      <c r="AR407" s="2501"/>
      <c r="AS407" s="2555">
        <f ca="1">SUMIF(見積拾!C$96:D$104,F407,見積拾!T$96:T$104)+
SUMIF(内壁・間仕切!A$65:AA$65,F407,内壁・間仕切!A$82:AA$82)+
SUMIF(内壁・間仕切!A$86:AA$86,F407,内壁・間仕切!A$103:AA$103)+
SUMIF(内壁・間仕切!A$107:AA$107,F407,内壁・間仕切!A$124:AA$124)+
SUMIF(内壁・間仕切!A$128:AA$128,F407,内壁・間仕切!A$145:AA$145)</f>
        <v>0</v>
      </c>
      <c r="AT407" s="2556"/>
      <c r="AU407" s="2556"/>
      <c r="AV407" s="2557"/>
      <c r="AW407" s="2520">
        <f t="shared" ca="1" si="117"/>
        <v>0</v>
      </c>
      <c r="AX407" s="2521"/>
      <c r="AY407" s="2521"/>
      <c r="AZ407" s="2522"/>
      <c r="BA407" s="25" t="b">
        <f t="shared" ca="1" si="118"/>
        <v>0</v>
      </c>
      <c r="BB407"/>
    </row>
    <row r="408" spans="2:54" ht="13.5" customHeight="1">
      <c r="B408" s="2681"/>
      <c r="C408" s="2673"/>
      <c r="D408" s="2682"/>
      <c r="E408" s="322" t="s">
        <v>893</v>
      </c>
      <c r="F408" s="2500" t="s">
        <v>1743</v>
      </c>
      <c r="G408" s="2500"/>
      <c r="H408" s="2500"/>
      <c r="I408" s="2500"/>
      <c r="J408" s="2500"/>
      <c r="K408" s="2500"/>
      <c r="L408" s="2500"/>
      <c r="M408" s="2500"/>
      <c r="N408" s="2500"/>
      <c r="O408" s="2500"/>
      <c r="P408" s="2501"/>
      <c r="Q408" s="2542">
        <v>1780</v>
      </c>
      <c r="R408" s="2518"/>
      <c r="S408" s="2518"/>
      <c r="T408" s="2299" t="s">
        <v>1664</v>
      </c>
      <c r="U408" s="2518" t="s">
        <v>1173</v>
      </c>
      <c r="V408" s="2518"/>
      <c r="W408" s="2518"/>
      <c r="X408" s="2299" t="s">
        <v>895</v>
      </c>
      <c r="Y408" s="2518" t="s">
        <v>1174</v>
      </c>
      <c r="Z408" s="2518"/>
      <c r="AA408" s="2518"/>
      <c r="AB408" s="2299" t="s">
        <v>928</v>
      </c>
      <c r="AC408" s="2518"/>
      <c r="AD408" s="2518"/>
      <c r="AE408" s="2518"/>
      <c r="AF408" s="1380" t="s">
        <v>928</v>
      </c>
      <c r="AG408" s="2518"/>
      <c r="AH408" s="2518"/>
      <c r="AI408" s="2519"/>
      <c r="AJ408" s="2520">
        <f t="shared" si="115"/>
        <v>1780</v>
      </c>
      <c r="AK408" s="2521"/>
      <c r="AL408" s="2522"/>
      <c r="AM408" s="2505">
        <v>1</v>
      </c>
      <c r="AN408" s="2506"/>
      <c r="AO408" s="2507"/>
      <c r="AP408" s="2499">
        <f t="shared" si="116"/>
        <v>1780</v>
      </c>
      <c r="AQ408" s="2500"/>
      <c r="AR408" s="2501"/>
      <c r="AS408" s="2555">
        <f ca="1">SUMIF(見積拾!C$96:D$104,F408,見積拾!T$96:T$104)+
SUMIF(内壁・間仕切!A$65:AA$65,F408,内壁・間仕切!A$82:AA$82)+
SUMIF(内壁・間仕切!A$86:AA$86,F408,内壁・間仕切!A$103:AA$103)+
SUMIF(内壁・間仕切!A$107:AA$107,F408,内壁・間仕切!A$124:AA$124)+
SUMIF(内壁・間仕切!A$128:AA$128,F408,内壁・間仕切!A$145:AA$145)</f>
        <v>0</v>
      </c>
      <c r="AT408" s="2556"/>
      <c r="AU408" s="2556"/>
      <c r="AV408" s="2557"/>
      <c r="AW408" s="2520">
        <f t="shared" ca="1" si="117"/>
        <v>0</v>
      </c>
      <c r="AX408" s="2521"/>
      <c r="AY408" s="2521"/>
      <c r="AZ408" s="2522"/>
      <c r="BA408" s="25" t="b">
        <f t="shared" ca="1" si="118"/>
        <v>0</v>
      </c>
      <c r="BB408"/>
    </row>
    <row r="409" spans="2:54" ht="13.5" customHeight="1">
      <c r="B409" s="2681"/>
      <c r="C409" s="2673"/>
      <c r="D409" s="2682"/>
      <c r="E409" s="322" t="s">
        <v>893</v>
      </c>
      <c r="F409" s="2500" t="s">
        <v>1744</v>
      </c>
      <c r="G409" s="2500"/>
      <c r="H409" s="2500"/>
      <c r="I409" s="2500"/>
      <c r="J409" s="2500"/>
      <c r="K409" s="2500"/>
      <c r="L409" s="2500"/>
      <c r="M409" s="2500"/>
      <c r="N409" s="2500"/>
      <c r="O409" s="2500"/>
      <c r="P409" s="2501"/>
      <c r="Q409" s="2542">
        <v>6383</v>
      </c>
      <c r="R409" s="2518"/>
      <c r="S409" s="2518"/>
      <c r="T409" s="2299" t="s">
        <v>1664</v>
      </c>
      <c r="U409" s="2518" t="s">
        <v>1173</v>
      </c>
      <c r="V409" s="2518"/>
      <c r="W409" s="2518"/>
      <c r="X409" s="2299" t="s">
        <v>895</v>
      </c>
      <c r="Y409" s="2518">
        <v>975</v>
      </c>
      <c r="Z409" s="2518"/>
      <c r="AA409" s="2518"/>
      <c r="AB409" s="2299" t="s">
        <v>931</v>
      </c>
      <c r="AC409" s="2518"/>
      <c r="AD409" s="2518"/>
      <c r="AE409" s="2518"/>
      <c r="AF409" s="1380" t="s">
        <v>931</v>
      </c>
      <c r="AG409" s="2518"/>
      <c r="AH409" s="2518"/>
      <c r="AI409" s="2519"/>
      <c r="AJ409" s="2520">
        <f t="shared" si="115"/>
        <v>7350</v>
      </c>
      <c r="AK409" s="2521"/>
      <c r="AL409" s="2522"/>
      <c r="AM409" s="2505">
        <v>1</v>
      </c>
      <c r="AN409" s="2506"/>
      <c r="AO409" s="2507"/>
      <c r="AP409" s="2499">
        <f t="shared" si="116"/>
        <v>7350</v>
      </c>
      <c r="AQ409" s="2500"/>
      <c r="AR409" s="2501"/>
      <c r="AS409" s="2555">
        <f ca="1">SUMIF(見積拾!C$96:D$104,F409,見積拾!T$96:T$104)+
SUMIF(内壁・間仕切!A$65:AA$65,F409,内壁・間仕切!A$82:AA$82)+
SUMIF(内壁・間仕切!A$86:AA$86,F409,内壁・間仕切!A$103:AA$103)+
SUMIF(内壁・間仕切!A$107:AA$107,F409,内壁・間仕切!A$124:AA$124)+
SUMIF(内壁・間仕切!A$128:AA$128,F409,内壁・間仕切!A$145:AA$145)</f>
        <v>0</v>
      </c>
      <c r="AT409" s="2556"/>
      <c r="AU409" s="2556"/>
      <c r="AV409" s="2557"/>
      <c r="AW409" s="2520">
        <f t="shared" ca="1" si="117"/>
        <v>0</v>
      </c>
      <c r="AX409" s="2521"/>
      <c r="AY409" s="2521"/>
      <c r="AZ409" s="2522"/>
      <c r="BA409" s="25" t="b">
        <f t="shared" ca="1" si="118"/>
        <v>0</v>
      </c>
      <c r="BB409"/>
    </row>
    <row r="410" spans="2:54" ht="13.5" customHeight="1">
      <c r="B410" s="2681"/>
      <c r="C410" s="2673"/>
      <c r="D410" s="2682"/>
      <c r="E410" s="322" t="s">
        <v>893</v>
      </c>
      <c r="F410" s="2500" t="s">
        <v>1745</v>
      </c>
      <c r="G410" s="2500"/>
      <c r="H410" s="2500"/>
      <c r="I410" s="2500"/>
      <c r="J410" s="2500"/>
      <c r="K410" s="2500"/>
      <c r="L410" s="2500"/>
      <c r="M410" s="2500"/>
      <c r="N410" s="2500"/>
      <c r="O410" s="2500"/>
      <c r="P410" s="2501"/>
      <c r="Q410" s="2542">
        <v>3921</v>
      </c>
      <c r="R410" s="2518"/>
      <c r="S410" s="2518"/>
      <c r="T410" s="2299" t="s">
        <v>1664</v>
      </c>
      <c r="U410" s="2518" t="s">
        <v>1173</v>
      </c>
      <c r="V410" s="2518"/>
      <c r="W410" s="2518"/>
      <c r="X410" s="2299" t="s">
        <v>895</v>
      </c>
      <c r="Y410" s="2518">
        <v>975</v>
      </c>
      <c r="Z410" s="2518"/>
      <c r="AA410" s="2518"/>
      <c r="AB410" s="2299" t="s">
        <v>931</v>
      </c>
      <c r="AC410" s="2518"/>
      <c r="AD410" s="2518"/>
      <c r="AE410" s="2518"/>
      <c r="AF410" s="1380" t="s">
        <v>931</v>
      </c>
      <c r="AG410" s="2518"/>
      <c r="AH410" s="2518"/>
      <c r="AI410" s="2519"/>
      <c r="AJ410" s="2520">
        <f t="shared" ref="AJ410:AJ440" si="123">ROUNDDOWN(SUM(Q410:AI410),-1)</f>
        <v>4890</v>
      </c>
      <c r="AK410" s="2521"/>
      <c r="AL410" s="2522"/>
      <c r="AM410" s="2505">
        <v>1</v>
      </c>
      <c r="AN410" s="2506"/>
      <c r="AO410" s="2507"/>
      <c r="AP410" s="2499">
        <f t="shared" ref="AP410:AP440" si="124">INT(AJ410*AM410)</f>
        <v>4890</v>
      </c>
      <c r="AQ410" s="2500"/>
      <c r="AR410" s="2501"/>
      <c r="AS410" s="2555">
        <f ca="1">SUMIF(見積拾!C$96:D$104,F410,見積拾!T$96:T$104)+
SUMIF(内壁・間仕切!A$65:AA$65,F410,内壁・間仕切!A$82:AA$82)+
SUMIF(内壁・間仕切!A$86:AA$86,F410,内壁・間仕切!A$103:AA$103)+
SUMIF(内壁・間仕切!A$107:AA$107,F410,内壁・間仕切!A$124:AA$124)+
SUMIF(内壁・間仕切!A$128:AA$128,F410,内壁・間仕切!A$145:AA$145)</f>
        <v>0</v>
      </c>
      <c r="AT410" s="2556"/>
      <c r="AU410" s="2556"/>
      <c r="AV410" s="2557"/>
      <c r="AW410" s="2520">
        <f t="shared" ref="AW410:AW440" ca="1" si="125">INT(AP410*AS410)</f>
        <v>0</v>
      </c>
      <c r="AX410" s="2521"/>
      <c r="AY410" s="2521"/>
      <c r="AZ410" s="2522"/>
      <c r="BA410" s="25" t="b">
        <f t="shared" ref="BA410:BA440" ca="1" si="126">AW410&lt;&gt;0</f>
        <v>0</v>
      </c>
      <c r="BB410"/>
    </row>
    <row r="411" spans="2:54" ht="13.5" customHeight="1">
      <c r="B411" s="2681"/>
      <c r="C411" s="2673"/>
      <c r="D411" s="2682"/>
      <c r="E411" s="322" t="s">
        <v>893</v>
      </c>
      <c r="F411" s="2500" t="s">
        <v>1746</v>
      </c>
      <c r="G411" s="2500"/>
      <c r="H411" s="2500"/>
      <c r="I411" s="2500"/>
      <c r="J411" s="2500"/>
      <c r="K411" s="2500"/>
      <c r="L411" s="2500"/>
      <c r="M411" s="2500"/>
      <c r="N411" s="2500"/>
      <c r="O411" s="2500"/>
      <c r="P411" s="2501"/>
      <c r="Q411" s="2542">
        <v>1230</v>
      </c>
      <c r="R411" s="2518"/>
      <c r="S411" s="2518"/>
      <c r="T411" s="2299" t="s">
        <v>1664</v>
      </c>
      <c r="U411" s="2518" t="s">
        <v>1173</v>
      </c>
      <c r="V411" s="2518"/>
      <c r="W411" s="2518"/>
      <c r="X411" s="2299" t="s">
        <v>895</v>
      </c>
      <c r="Y411" s="2518">
        <v>975</v>
      </c>
      <c r="Z411" s="2518"/>
      <c r="AA411" s="2518"/>
      <c r="AB411" s="2299" t="s">
        <v>931</v>
      </c>
      <c r="AC411" s="2518"/>
      <c r="AD411" s="2518"/>
      <c r="AE411" s="2518"/>
      <c r="AF411" s="1380" t="s">
        <v>931</v>
      </c>
      <c r="AG411" s="2518"/>
      <c r="AH411" s="2518"/>
      <c r="AI411" s="2519"/>
      <c r="AJ411" s="2520">
        <f t="shared" si="123"/>
        <v>2200</v>
      </c>
      <c r="AK411" s="2521"/>
      <c r="AL411" s="2522"/>
      <c r="AM411" s="2505">
        <v>1</v>
      </c>
      <c r="AN411" s="2506"/>
      <c r="AO411" s="2507"/>
      <c r="AP411" s="2499">
        <f t="shared" si="124"/>
        <v>2200</v>
      </c>
      <c r="AQ411" s="2500"/>
      <c r="AR411" s="2501"/>
      <c r="AS411" s="2555">
        <f ca="1">SUMIF(見積拾!C$96:D$104,F411,見積拾!T$96:T$104)+
SUMIF(内壁・間仕切!A$65:AA$65,F411,内壁・間仕切!A$82:AA$82)+
SUMIF(内壁・間仕切!A$86:AA$86,F411,内壁・間仕切!A$103:AA$103)+
SUMIF(内壁・間仕切!A$107:AA$107,F411,内壁・間仕切!A$124:AA$124)+
SUMIF(内壁・間仕切!A$128:AA$128,F411,内壁・間仕切!A$145:AA$145)</f>
        <v>0</v>
      </c>
      <c r="AT411" s="2556"/>
      <c r="AU411" s="2556"/>
      <c r="AV411" s="2557"/>
      <c r="AW411" s="2520">
        <f t="shared" ca="1" si="125"/>
        <v>0</v>
      </c>
      <c r="AX411" s="2521"/>
      <c r="AY411" s="2521"/>
      <c r="AZ411" s="2522"/>
      <c r="BA411" s="25" t="b">
        <f t="shared" ca="1" si="126"/>
        <v>0</v>
      </c>
      <c r="BB411"/>
    </row>
    <row r="412" spans="2:54" ht="13.5" customHeight="1">
      <c r="B412" s="2681"/>
      <c r="C412" s="2673"/>
      <c r="D412" s="2682"/>
      <c r="E412" s="322" t="s">
        <v>893</v>
      </c>
      <c r="F412" s="2500" t="s">
        <v>1747</v>
      </c>
      <c r="G412" s="2500"/>
      <c r="H412" s="2500"/>
      <c r="I412" s="2500"/>
      <c r="J412" s="2500"/>
      <c r="K412" s="2500"/>
      <c r="L412" s="2500"/>
      <c r="M412" s="2500"/>
      <c r="N412" s="2500"/>
      <c r="O412" s="2500"/>
      <c r="P412" s="2501"/>
      <c r="Q412" s="2542">
        <v>19273</v>
      </c>
      <c r="R412" s="2518"/>
      <c r="S412" s="2518"/>
      <c r="T412" s="2299" t="s">
        <v>1664</v>
      </c>
      <c r="U412" s="2518">
        <v>1365</v>
      </c>
      <c r="V412" s="2518"/>
      <c r="W412" s="2518"/>
      <c r="X412" s="2299" t="s">
        <v>895</v>
      </c>
      <c r="Y412" s="2518">
        <v>975</v>
      </c>
      <c r="Z412" s="2518"/>
      <c r="AA412" s="2518"/>
      <c r="AB412" s="2299" t="s">
        <v>931</v>
      </c>
      <c r="AC412" s="2518"/>
      <c r="AD412" s="2518"/>
      <c r="AE412" s="2518"/>
      <c r="AF412" s="1380" t="s">
        <v>931</v>
      </c>
      <c r="AG412" s="2518"/>
      <c r="AH412" s="2518"/>
      <c r="AI412" s="2519"/>
      <c r="AJ412" s="2520">
        <f t="shared" si="123"/>
        <v>21610</v>
      </c>
      <c r="AK412" s="2521"/>
      <c r="AL412" s="2522"/>
      <c r="AM412" s="2505">
        <v>1</v>
      </c>
      <c r="AN412" s="2506"/>
      <c r="AO412" s="2507"/>
      <c r="AP412" s="2499">
        <f t="shared" si="124"/>
        <v>21610</v>
      </c>
      <c r="AQ412" s="2500"/>
      <c r="AR412" s="2501"/>
      <c r="AS412" s="2555">
        <f ca="1">SUMIF(見積拾!C$96:D$104,F412,見積拾!T$96:T$104)+
SUMIF(内壁・間仕切!A$65:AA$65,F412,内壁・間仕切!A$82:AA$82)+
SUMIF(内壁・間仕切!A$86:AA$86,F412,内壁・間仕切!A$103:AA$103)+
SUMIF(内壁・間仕切!A$107:AA$107,F412,内壁・間仕切!A$124:AA$124)+
SUMIF(内壁・間仕切!A$128:AA$128,F412,内壁・間仕切!A$145:AA$145)</f>
        <v>0</v>
      </c>
      <c r="AT412" s="2556"/>
      <c r="AU412" s="2556"/>
      <c r="AV412" s="2557"/>
      <c r="AW412" s="2520">
        <f t="shared" ca="1" si="125"/>
        <v>0</v>
      </c>
      <c r="AX412" s="2521"/>
      <c r="AY412" s="2521"/>
      <c r="AZ412" s="2522"/>
      <c r="BA412" s="25" t="b">
        <f t="shared" ca="1" si="126"/>
        <v>0</v>
      </c>
      <c r="BB412"/>
    </row>
    <row r="413" spans="2:54" ht="13.5" customHeight="1">
      <c r="B413" s="2681"/>
      <c r="C413" s="2673"/>
      <c r="D413" s="2682"/>
      <c r="E413" s="322" t="s">
        <v>893</v>
      </c>
      <c r="F413" s="2500" t="s">
        <v>1748</v>
      </c>
      <c r="G413" s="2500"/>
      <c r="H413" s="2500"/>
      <c r="I413" s="2500"/>
      <c r="J413" s="2500"/>
      <c r="K413" s="2500"/>
      <c r="L413" s="2500"/>
      <c r="M413" s="2500"/>
      <c r="N413" s="2500"/>
      <c r="O413" s="2500"/>
      <c r="P413" s="2501"/>
      <c r="Q413" s="2542">
        <v>11496</v>
      </c>
      <c r="R413" s="2518"/>
      <c r="S413" s="2518"/>
      <c r="T413" s="2299" t="s">
        <v>1664</v>
      </c>
      <c r="U413" s="2518">
        <v>1365</v>
      </c>
      <c r="V413" s="2518"/>
      <c r="W413" s="2518"/>
      <c r="X413" s="2299" t="s">
        <v>895</v>
      </c>
      <c r="Y413" s="2518">
        <v>975</v>
      </c>
      <c r="Z413" s="2518"/>
      <c r="AA413" s="2518"/>
      <c r="AB413" s="2299" t="s">
        <v>931</v>
      </c>
      <c r="AC413" s="2518"/>
      <c r="AD413" s="2518"/>
      <c r="AE413" s="2518"/>
      <c r="AF413" s="1380" t="s">
        <v>931</v>
      </c>
      <c r="AG413" s="2518"/>
      <c r="AH413" s="2518"/>
      <c r="AI413" s="2519"/>
      <c r="AJ413" s="2520">
        <f t="shared" si="123"/>
        <v>13830</v>
      </c>
      <c r="AK413" s="2521"/>
      <c r="AL413" s="2522"/>
      <c r="AM413" s="2505">
        <v>1</v>
      </c>
      <c r="AN413" s="2506"/>
      <c r="AO413" s="2507"/>
      <c r="AP413" s="2499">
        <f t="shared" si="124"/>
        <v>13830</v>
      </c>
      <c r="AQ413" s="2500"/>
      <c r="AR413" s="2501"/>
      <c r="AS413" s="2555">
        <f ca="1">SUMIF(見積拾!C$96:D$104,F413,見積拾!T$96:T$104)+
SUMIF(内壁・間仕切!A$65:AA$65,F413,内壁・間仕切!A$82:AA$82)+
SUMIF(内壁・間仕切!A$86:AA$86,F413,内壁・間仕切!A$103:AA$103)+
SUMIF(内壁・間仕切!A$107:AA$107,F413,内壁・間仕切!A$124:AA$124)+
SUMIF(内壁・間仕切!A$128:AA$128,F413,内壁・間仕切!A$145:AA$145)</f>
        <v>0</v>
      </c>
      <c r="AT413" s="2556"/>
      <c r="AU413" s="2556"/>
      <c r="AV413" s="2557"/>
      <c r="AW413" s="2520">
        <f t="shared" ca="1" si="125"/>
        <v>0</v>
      </c>
      <c r="AX413" s="2521"/>
      <c r="AY413" s="2521"/>
      <c r="AZ413" s="2522"/>
      <c r="BA413" s="25" t="b">
        <f t="shared" ca="1" si="126"/>
        <v>0</v>
      </c>
      <c r="BB413"/>
    </row>
    <row r="414" spans="2:54" ht="13.5" customHeight="1">
      <c r="B414" s="2681"/>
      <c r="C414" s="2673"/>
      <c r="D414" s="2682"/>
      <c r="E414" s="322" t="s">
        <v>893</v>
      </c>
      <c r="F414" s="2500" t="s">
        <v>1749</v>
      </c>
      <c r="G414" s="2500"/>
      <c r="H414" s="2500"/>
      <c r="I414" s="2500"/>
      <c r="J414" s="2500"/>
      <c r="K414" s="2500"/>
      <c r="L414" s="2500"/>
      <c r="M414" s="2500"/>
      <c r="N414" s="2500"/>
      <c r="O414" s="2500"/>
      <c r="P414" s="2501"/>
      <c r="Q414" s="2542">
        <v>5071</v>
      </c>
      <c r="R414" s="2518"/>
      <c r="S414" s="2518"/>
      <c r="T414" s="2299" t="s">
        <v>1664</v>
      </c>
      <c r="U414" s="2518">
        <v>1365</v>
      </c>
      <c r="V414" s="2518"/>
      <c r="W414" s="2518"/>
      <c r="X414" s="2299" t="s">
        <v>895</v>
      </c>
      <c r="Y414" s="2518">
        <v>1795</v>
      </c>
      <c r="Z414" s="2518"/>
      <c r="AA414" s="2518"/>
      <c r="AB414" s="2299" t="s">
        <v>926</v>
      </c>
      <c r="AC414" s="2518"/>
      <c r="AD414" s="2518"/>
      <c r="AE414" s="2518"/>
      <c r="AF414" s="1380" t="s">
        <v>926</v>
      </c>
      <c r="AG414" s="2518"/>
      <c r="AH414" s="2518"/>
      <c r="AI414" s="2519"/>
      <c r="AJ414" s="2520">
        <f t="shared" si="123"/>
        <v>8230</v>
      </c>
      <c r="AK414" s="2521"/>
      <c r="AL414" s="2522"/>
      <c r="AM414" s="2505">
        <v>1</v>
      </c>
      <c r="AN414" s="2506"/>
      <c r="AO414" s="2507"/>
      <c r="AP414" s="2499">
        <f t="shared" si="124"/>
        <v>8230</v>
      </c>
      <c r="AQ414" s="2500"/>
      <c r="AR414" s="2501"/>
      <c r="AS414" s="2555">
        <f ca="1">SUMIF(見積拾!C$96:D$104,F414,見積拾!T$96:T$104)+
SUMIF(内壁・間仕切!A$65:AA$65,F414,内壁・間仕切!A$82:AA$82)+
SUMIF(内壁・間仕切!A$86:AA$86,F414,内壁・間仕切!A$103:AA$103)+
SUMIF(内壁・間仕切!A$107:AA$107,F414,内壁・間仕切!A$124:AA$124)+
SUMIF(内壁・間仕切!A$128:AA$128,F414,内壁・間仕切!A$145:AA$145)</f>
        <v>0</v>
      </c>
      <c r="AT414" s="2556"/>
      <c r="AU414" s="2556"/>
      <c r="AV414" s="2557"/>
      <c r="AW414" s="2520">
        <f t="shared" ca="1" si="125"/>
        <v>0</v>
      </c>
      <c r="AX414" s="2521"/>
      <c r="AY414" s="2521"/>
      <c r="AZ414" s="2522"/>
      <c r="BA414" s="25" t="b">
        <f t="shared" ca="1" si="126"/>
        <v>0</v>
      </c>
      <c r="BB414"/>
    </row>
    <row r="415" spans="2:54" ht="13.5" customHeight="1">
      <c r="B415" s="2681"/>
      <c r="C415" s="2673"/>
      <c r="D415" s="2682"/>
      <c r="E415" s="322" t="s">
        <v>893</v>
      </c>
      <c r="F415" s="2500" t="s">
        <v>1750</v>
      </c>
      <c r="G415" s="2500"/>
      <c r="H415" s="2500"/>
      <c r="I415" s="2500"/>
      <c r="J415" s="2500"/>
      <c r="K415" s="2500"/>
      <c r="L415" s="2500"/>
      <c r="M415" s="2500"/>
      <c r="N415" s="2500"/>
      <c r="O415" s="2500"/>
      <c r="P415" s="2501"/>
      <c r="Q415" s="2542">
        <v>2901</v>
      </c>
      <c r="R415" s="2518"/>
      <c r="S415" s="2518"/>
      <c r="T415" s="2299" t="s">
        <v>1664</v>
      </c>
      <c r="U415" s="2518" t="s">
        <v>1173</v>
      </c>
      <c r="V415" s="2518"/>
      <c r="W415" s="2518"/>
      <c r="X415" s="2299" t="s">
        <v>895</v>
      </c>
      <c r="Y415" s="2518">
        <v>1795</v>
      </c>
      <c r="Z415" s="2518"/>
      <c r="AA415" s="2518"/>
      <c r="AB415" s="2299" t="s">
        <v>926</v>
      </c>
      <c r="AC415" s="2518"/>
      <c r="AD415" s="2518"/>
      <c r="AE415" s="2518"/>
      <c r="AF415" s="1380" t="s">
        <v>926</v>
      </c>
      <c r="AG415" s="2518"/>
      <c r="AH415" s="2518"/>
      <c r="AI415" s="2519"/>
      <c r="AJ415" s="2520">
        <f t="shared" si="123"/>
        <v>4690</v>
      </c>
      <c r="AK415" s="2521"/>
      <c r="AL415" s="2522"/>
      <c r="AM415" s="2505">
        <v>1</v>
      </c>
      <c r="AN415" s="2506"/>
      <c r="AO415" s="2507"/>
      <c r="AP415" s="2499">
        <f t="shared" si="124"/>
        <v>4690</v>
      </c>
      <c r="AQ415" s="2500"/>
      <c r="AR415" s="2501"/>
      <c r="AS415" s="2555">
        <f ca="1">SUMIF(見積拾!C$96:D$104,F415,見積拾!T$96:T$104)+
SUMIF(内壁・間仕切!A$65:AA$65,F415,内壁・間仕切!A$82:AA$82)+
SUMIF(内壁・間仕切!A$86:AA$86,F415,内壁・間仕切!A$103:AA$103)+
SUMIF(内壁・間仕切!A$107:AA$107,F415,内壁・間仕切!A$124:AA$124)+
SUMIF(内壁・間仕切!A$128:AA$128,F415,内壁・間仕切!A$145:AA$145)</f>
        <v>0</v>
      </c>
      <c r="AT415" s="2556"/>
      <c r="AU415" s="2556"/>
      <c r="AV415" s="2557"/>
      <c r="AW415" s="2520">
        <f t="shared" ca="1" si="125"/>
        <v>0</v>
      </c>
      <c r="AX415" s="2521"/>
      <c r="AY415" s="2521"/>
      <c r="AZ415" s="2522"/>
      <c r="BA415" s="25" t="b">
        <f t="shared" ca="1" si="126"/>
        <v>0</v>
      </c>
      <c r="BB415"/>
    </row>
    <row r="416" spans="2:54" ht="13.5" customHeight="1">
      <c r="B416" s="2681"/>
      <c r="C416" s="2673"/>
      <c r="D416" s="2682"/>
      <c r="E416" s="322" t="s">
        <v>893</v>
      </c>
      <c r="F416" s="2500" t="s">
        <v>1751</v>
      </c>
      <c r="G416" s="2500"/>
      <c r="H416" s="2500"/>
      <c r="I416" s="2500"/>
      <c r="J416" s="2500"/>
      <c r="K416" s="2500"/>
      <c r="L416" s="2500"/>
      <c r="M416" s="2500"/>
      <c r="N416" s="2500"/>
      <c r="O416" s="2500"/>
      <c r="P416" s="2501"/>
      <c r="Q416" s="2542">
        <v>1181</v>
      </c>
      <c r="R416" s="2518"/>
      <c r="S416" s="2518"/>
      <c r="T416" s="2299" t="s">
        <v>1664</v>
      </c>
      <c r="U416" s="2518" t="s">
        <v>1173</v>
      </c>
      <c r="V416" s="2518"/>
      <c r="W416" s="2518"/>
      <c r="X416" s="2299" t="s">
        <v>895</v>
      </c>
      <c r="Y416" s="2518">
        <v>1795</v>
      </c>
      <c r="Z416" s="2518"/>
      <c r="AA416" s="2518"/>
      <c r="AB416" s="2299" t="s">
        <v>926</v>
      </c>
      <c r="AC416" s="2518"/>
      <c r="AD416" s="2518"/>
      <c r="AE416" s="2518"/>
      <c r="AF416" s="1380" t="s">
        <v>926</v>
      </c>
      <c r="AG416" s="2518"/>
      <c r="AH416" s="2518"/>
      <c r="AI416" s="2519"/>
      <c r="AJ416" s="2520">
        <f t="shared" si="123"/>
        <v>2970</v>
      </c>
      <c r="AK416" s="2521"/>
      <c r="AL416" s="2522"/>
      <c r="AM416" s="2505">
        <v>1</v>
      </c>
      <c r="AN416" s="2506"/>
      <c r="AO416" s="2507"/>
      <c r="AP416" s="2499">
        <f t="shared" si="124"/>
        <v>2970</v>
      </c>
      <c r="AQ416" s="2500"/>
      <c r="AR416" s="2501"/>
      <c r="AS416" s="2555">
        <f ca="1">SUMIF(見積拾!C$96:D$104,F416,見積拾!T$96:T$104)+
SUMIF(内壁・間仕切!A$65:AA$65,F416,内壁・間仕切!A$82:AA$82)+
SUMIF(内壁・間仕切!A$86:AA$86,F416,内壁・間仕切!A$103:AA$103)+
SUMIF(内壁・間仕切!A$107:AA$107,F416,内壁・間仕切!A$124:AA$124)+
SUMIF(内壁・間仕切!A$128:AA$128,F416,内壁・間仕切!A$145:AA$145)</f>
        <v>0</v>
      </c>
      <c r="AT416" s="2556"/>
      <c r="AU416" s="2556"/>
      <c r="AV416" s="2557"/>
      <c r="AW416" s="2520">
        <f t="shared" ca="1" si="125"/>
        <v>0</v>
      </c>
      <c r="AX416" s="2521"/>
      <c r="AY416" s="2521"/>
      <c r="AZ416" s="2522"/>
      <c r="BA416" s="25" t="b">
        <f t="shared" ca="1" si="126"/>
        <v>0</v>
      </c>
      <c r="BB416"/>
    </row>
    <row r="417" spans="2:54" ht="13.5" customHeight="1">
      <c r="B417" s="2681"/>
      <c r="C417" s="2673"/>
      <c r="D417" s="2682"/>
      <c r="E417" s="322" t="s">
        <v>893</v>
      </c>
      <c r="F417" s="2500" t="s">
        <v>1723</v>
      </c>
      <c r="G417" s="2500"/>
      <c r="H417" s="2500"/>
      <c r="I417" s="2500"/>
      <c r="J417" s="2500"/>
      <c r="K417" s="2500"/>
      <c r="L417" s="2500"/>
      <c r="M417" s="2500"/>
      <c r="N417" s="2500"/>
      <c r="O417" s="2500"/>
      <c r="P417" s="2501"/>
      <c r="Q417" s="2542">
        <v>31926</v>
      </c>
      <c r="R417" s="2518"/>
      <c r="S417" s="2518"/>
      <c r="T417" s="2299" t="s">
        <v>1664</v>
      </c>
      <c r="U417" s="2518" t="s">
        <v>1173</v>
      </c>
      <c r="V417" s="2518"/>
      <c r="W417" s="2518"/>
      <c r="X417" s="2299" t="s">
        <v>895</v>
      </c>
      <c r="Y417" s="2518">
        <v>975</v>
      </c>
      <c r="Z417" s="2518"/>
      <c r="AA417" s="2518"/>
      <c r="AB417" s="2299" t="s">
        <v>926</v>
      </c>
      <c r="AC417" s="2299"/>
      <c r="AD417" s="2299"/>
      <c r="AE417" s="2299"/>
      <c r="AF417" s="1380" t="s">
        <v>926</v>
      </c>
      <c r="AG417" s="1380"/>
      <c r="AH417" s="1380"/>
      <c r="AI417" s="1395"/>
      <c r="AJ417" s="2520">
        <f t="shared" si="123"/>
        <v>32900</v>
      </c>
      <c r="AK417" s="2521"/>
      <c r="AL417" s="2522"/>
      <c r="AM417" s="2505">
        <v>1</v>
      </c>
      <c r="AN417" s="2506"/>
      <c r="AO417" s="2507"/>
      <c r="AP417" s="2499">
        <f t="shared" si="124"/>
        <v>32900</v>
      </c>
      <c r="AQ417" s="2500"/>
      <c r="AR417" s="2501"/>
      <c r="AS417" s="2555">
        <f ca="1">SUMIF(見積拾!C$96:D$104,F417,見積拾!T$96:T$104)+
SUMIF(内壁・間仕切!A$65:AA$65,F417,内壁・間仕切!A$82:AA$82)+
SUMIF(内壁・間仕切!A$86:AA$86,F417,内壁・間仕切!A$103:AA$103)+
SUMIF(内壁・間仕切!A$107:AA$107,F417,内壁・間仕切!A$124:AA$124)+
SUMIF(内壁・間仕切!A$128:AA$128,F417,内壁・間仕切!A$145:AA$145)</f>
        <v>0</v>
      </c>
      <c r="AT417" s="2556"/>
      <c r="AU417" s="2556"/>
      <c r="AV417" s="2557"/>
      <c r="AW417" s="2520">
        <f t="shared" ca="1" si="125"/>
        <v>0</v>
      </c>
      <c r="AX417" s="2521"/>
      <c r="AY417" s="2521"/>
      <c r="AZ417" s="2522"/>
      <c r="BA417" s="25" t="b">
        <f t="shared" ca="1" si="126"/>
        <v>0</v>
      </c>
      <c r="BB417"/>
    </row>
    <row r="418" spans="2:54" ht="13.5" customHeight="1">
      <c r="B418" s="2681"/>
      <c r="C418" s="2673"/>
      <c r="D418" s="2682"/>
      <c r="E418" s="322" t="s">
        <v>893</v>
      </c>
      <c r="F418" s="2500" t="s">
        <v>1719</v>
      </c>
      <c r="G418" s="2500"/>
      <c r="H418" s="2500"/>
      <c r="I418" s="2500"/>
      <c r="J418" s="2500"/>
      <c r="K418" s="2500"/>
      <c r="L418" s="2500"/>
      <c r="M418" s="2500"/>
      <c r="N418" s="2500"/>
      <c r="O418" s="2500"/>
      <c r="P418" s="2501"/>
      <c r="Q418" s="2542">
        <v>2437</v>
      </c>
      <c r="R418" s="2518"/>
      <c r="S418" s="2518"/>
      <c r="T418" s="2299" t="s">
        <v>1664</v>
      </c>
      <c r="U418" s="2518">
        <v>2530</v>
      </c>
      <c r="V418" s="2518"/>
      <c r="W418" s="2518"/>
      <c r="X418" s="2299" t="s">
        <v>895</v>
      </c>
      <c r="Y418" s="2518">
        <v>975</v>
      </c>
      <c r="Z418" s="2518"/>
      <c r="AA418" s="2518"/>
      <c r="AB418" s="2299" t="s">
        <v>926</v>
      </c>
      <c r="AC418" s="2299"/>
      <c r="AD418" s="2299"/>
      <c r="AE418" s="2299"/>
      <c r="AF418" s="1380" t="s">
        <v>926</v>
      </c>
      <c r="AG418" s="1380"/>
      <c r="AH418" s="1380"/>
      <c r="AI418" s="1395"/>
      <c r="AJ418" s="2520">
        <f t="shared" si="123"/>
        <v>5940</v>
      </c>
      <c r="AK418" s="2521"/>
      <c r="AL418" s="2522"/>
      <c r="AM418" s="2505">
        <v>1</v>
      </c>
      <c r="AN418" s="2506"/>
      <c r="AO418" s="2507"/>
      <c r="AP418" s="2499">
        <f t="shared" si="124"/>
        <v>5940</v>
      </c>
      <c r="AQ418" s="2500"/>
      <c r="AR418" s="2501"/>
      <c r="AS418" s="2555">
        <f ca="1">SUMIF(見積拾!C$96:D$104,F418,見積拾!T$96:T$104)+
SUMIF(内壁・間仕切!A$65:AA$65,F418,内壁・間仕切!A$82:AA$82)+
SUMIF(内壁・間仕切!A$86:AA$86,F418,内壁・間仕切!A$103:AA$103)+
SUMIF(内壁・間仕切!A$107:AA$107,F418,内壁・間仕切!A$124:AA$124)+
SUMIF(内壁・間仕切!A$128:AA$128,F418,内壁・間仕切!A$145:AA$145)</f>
        <v>0</v>
      </c>
      <c r="AT418" s="2556"/>
      <c r="AU418" s="2556"/>
      <c r="AV418" s="2557"/>
      <c r="AW418" s="2520">
        <f t="shared" ca="1" si="125"/>
        <v>0</v>
      </c>
      <c r="AX418" s="2521"/>
      <c r="AY418" s="2521"/>
      <c r="AZ418" s="2522"/>
      <c r="BA418" s="25" t="b">
        <f t="shared" ca="1" si="126"/>
        <v>0</v>
      </c>
      <c r="BB418"/>
    </row>
    <row r="419" spans="2:54" ht="13.5" customHeight="1">
      <c r="B419" s="2681"/>
      <c r="C419" s="2673"/>
      <c r="D419" s="2682"/>
      <c r="E419" s="322" t="s">
        <v>893</v>
      </c>
      <c r="F419" s="2500" t="s">
        <v>1726</v>
      </c>
      <c r="G419" s="2500"/>
      <c r="H419" s="2500"/>
      <c r="I419" s="2500"/>
      <c r="J419" s="2500"/>
      <c r="K419" s="2500"/>
      <c r="L419" s="2500"/>
      <c r="M419" s="2500"/>
      <c r="N419" s="2500"/>
      <c r="O419" s="2500"/>
      <c r="P419" s="2501"/>
      <c r="Q419" s="2542">
        <v>3270</v>
      </c>
      <c r="R419" s="2518"/>
      <c r="S419" s="2518"/>
      <c r="T419" s="2299" t="s">
        <v>1664</v>
      </c>
      <c r="U419" s="2518" t="s">
        <v>1173</v>
      </c>
      <c r="V419" s="2518"/>
      <c r="W419" s="2518"/>
      <c r="X419" s="2299" t="s">
        <v>895</v>
      </c>
      <c r="Y419" s="2518" t="s">
        <v>1174</v>
      </c>
      <c r="Z419" s="2518"/>
      <c r="AA419" s="2518"/>
      <c r="AB419" s="2299" t="s">
        <v>926</v>
      </c>
      <c r="AC419" s="2299"/>
      <c r="AD419" s="2299"/>
      <c r="AE419" s="2299"/>
      <c r="AF419" s="1380" t="s">
        <v>926</v>
      </c>
      <c r="AG419" s="1380"/>
      <c r="AH419" s="1380"/>
      <c r="AI419" s="1395"/>
      <c r="AJ419" s="2520">
        <f t="shared" si="123"/>
        <v>3270</v>
      </c>
      <c r="AK419" s="2521"/>
      <c r="AL419" s="2522"/>
      <c r="AM419" s="2505">
        <v>1</v>
      </c>
      <c r="AN419" s="2506"/>
      <c r="AO419" s="2507"/>
      <c r="AP419" s="2499">
        <f t="shared" si="124"/>
        <v>3270</v>
      </c>
      <c r="AQ419" s="2500"/>
      <c r="AR419" s="2501"/>
      <c r="AS419" s="2555">
        <f ca="1">SUMIF(見積拾!C$96:D$104,F419,見積拾!T$96:T$104)+
SUMIF(内壁・間仕切!A$65:AA$65,F419,内壁・間仕切!A$82:AA$82)+
SUMIF(内壁・間仕切!A$86:AA$86,F419,内壁・間仕切!A$103:AA$103)+
SUMIF(内壁・間仕切!A$107:AA$107,F419,内壁・間仕切!A$124:AA$124)+
SUMIF(内壁・間仕切!A$128:AA$128,F419,内壁・間仕切!A$145:AA$145)</f>
        <v>0</v>
      </c>
      <c r="AT419" s="2556"/>
      <c r="AU419" s="2556"/>
      <c r="AV419" s="2557"/>
      <c r="AW419" s="2520">
        <f t="shared" ca="1" si="125"/>
        <v>0</v>
      </c>
      <c r="AX419" s="2521"/>
      <c r="AY419" s="2521"/>
      <c r="AZ419" s="2522"/>
      <c r="BA419" s="25" t="b">
        <f t="shared" ca="1" si="126"/>
        <v>0</v>
      </c>
      <c r="BB419"/>
    </row>
    <row r="420" spans="2:54" ht="13.5" customHeight="1">
      <c r="B420" s="2681"/>
      <c r="C420" s="2673"/>
      <c r="D420" s="2682"/>
      <c r="E420" s="322" t="s">
        <v>893</v>
      </c>
      <c r="F420" s="2500" t="s">
        <v>1752</v>
      </c>
      <c r="G420" s="2500"/>
      <c r="H420" s="2500"/>
      <c r="I420" s="2500"/>
      <c r="J420" s="2500"/>
      <c r="K420" s="2500"/>
      <c r="L420" s="2500"/>
      <c r="M420" s="2500"/>
      <c r="N420" s="2500"/>
      <c r="O420" s="2500"/>
      <c r="P420" s="2501"/>
      <c r="Q420" s="2542">
        <v>5351</v>
      </c>
      <c r="R420" s="2518"/>
      <c r="S420" s="2518"/>
      <c r="T420" s="2299" t="s">
        <v>1664</v>
      </c>
      <c r="U420" s="2518" t="s">
        <v>1173</v>
      </c>
      <c r="V420" s="2518"/>
      <c r="W420" s="2518"/>
      <c r="X420" s="2299" t="s">
        <v>895</v>
      </c>
      <c r="Y420" s="2518" t="s">
        <v>1174</v>
      </c>
      <c r="Z420" s="2518"/>
      <c r="AA420" s="2518"/>
      <c r="AB420" s="2299" t="s">
        <v>926</v>
      </c>
      <c r="AC420" s="2299"/>
      <c r="AD420" s="2299"/>
      <c r="AE420" s="2299"/>
      <c r="AF420" s="1380" t="s">
        <v>926</v>
      </c>
      <c r="AG420" s="1380"/>
      <c r="AH420" s="1380"/>
      <c r="AI420" s="1395"/>
      <c r="AJ420" s="2520">
        <f t="shared" si="123"/>
        <v>5350</v>
      </c>
      <c r="AK420" s="2521"/>
      <c r="AL420" s="2522"/>
      <c r="AM420" s="2505">
        <v>1</v>
      </c>
      <c r="AN420" s="2506"/>
      <c r="AO420" s="2507"/>
      <c r="AP420" s="2499">
        <f t="shared" si="124"/>
        <v>5350</v>
      </c>
      <c r="AQ420" s="2500"/>
      <c r="AR420" s="2501"/>
      <c r="AS420" s="2555">
        <f ca="1">SUMIF(見積拾!C$96:D$104,F420,見積拾!T$96:T$104)+
SUMIF(内壁・間仕切!A$65:AA$65,F420,内壁・間仕切!A$82:AA$82)+
SUMIF(内壁・間仕切!A$86:AA$86,F420,内壁・間仕切!A$103:AA$103)+
SUMIF(内壁・間仕切!A$107:AA$107,F420,内壁・間仕切!A$124:AA$124)+
SUMIF(内壁・間仕切!A$128:AA$128,F420,内壁・間仕切!A$145:AA$145)</f>
        <v>0</v>
      </c>
      <c r="AT420" s="2556"/>
      <c r="AU420" s="2556"/>
      <c r="AV420" s="2557"/>
      <c r="AW420" s="2520">
        <f t="shared" ca="1" si="125"/>
        <v>0</v>
      </c>
      <c r="AX420" s="2521"/>
      <c r="AY420" s="2521"/>
      <c r="AZ420" s="2522"/>
      <c r="BA420" s="25" t="b">
        <f t="shared" ca="1" si="126"/>
        <v>0</v>
      </c>
      <c r="BB420"/>
    </row>
    <row r="421" spans="2:54" ht="13.5" customHeight="1">
      <c r="B421" s="2681"/>
      <c r="C421" s="2673"/>
      <c r="D421" s="2682"/>
      <c r="E421" s="322" t="s">
        <v>893</v>
      </c>
      <c r="F421" s="2500" t="s">
        <v>1753</v>
      </c>
      <c r="G421" s="2500"/>
      <c r="H421" s="2500"/>
      <c r="I421" s="2500"/>
      <c r="J421" s="2500"/>
      <c r="K421" s="2500"/>
      <c r="L421" s="2500"/>
      <c r="M421" s="2500"/>
      <c r="N421" s="2500"/>
      <c r="O421" s="2500"/>
      <c r="P421" s="2501"/>
      <c r="Q421" s="2542">
        <v>7026</v>
      </c>
      <c r="R421" s="2518"/>
      <c r="S421" s="2518"/>
      <c r="T421" s="2299" t="s">
        <v>1664</v>
      </c>
      <c r="U421" s="2518" t="s">
        <v>1173</v>
      </c>
      <c r="V421" s="2518"/>
      <c r="W421" s="2518"/>
      <c r="X421" s="2299" t="s">
        <v>895</v>
      </c>
      <c r="Y421" s="2518">
        <v>442</v>
      </c>
      <c r="Z421" s="2518"/>
      <c r="AA421" s="2518"/>
      <c r="AB421" s="2299" t="s">
        <v>926</v>
      </c>
      <c r="AC421" s="2299"/>
      <c r="AD421" s="2299"/>
      <c r="AE421" s="2299"/>
      <c r="AF421" s="1380" t="s">
        <v>926</v>
      </c>
      <c r="AG421" s="1380"/>
      <c r="AH421" s="1380"/>
      <c r="AI421" s="1395"/>
      <c r="AJ421" s="2520">
        <f t="shared" si="123"/>
        <v>7460</v>
      </c>
      <c r="AK421" s="2521"/>
      <c r="AL421" s="2522"/>
      <c r="AM421" s="2505">
        <v>1</v>
      </c>
      <c r="AN421" s="2506"/>
      <c r="AO421" s="2507"/>
      <c r="AP421" s="2499">
        <f t="shared" si="124"/>
        <v>7460</v>
      </c>
      <c r="AQ421" s="2500"/>
      <c r="AR421" s="2501"/>
      <c r="AS421" s="2555">
        <f ca="1">SUMIF(見積拾!C$96:D$104,F421,見積拾!T$96:T$104)+
SUMIF(内壁・間仕切!A$65:AA$65,F421,内壁・間仕切!A$82:AA$82)+
SUMIF(内壁・間仕切!A$86:AA$86,F421,内壁・間仕切!A$103:AA$103)+
SUMIF(内壁・間仕切!A$107:AA$107,F421,内壁・間仕切!A$124:AA$124)+
SUMIF(内壁・間仕切!A$128:AA$128,F421,内壁・間仕切!A$145:AA$145)</f>
        <v>0</v>
      </c>
      <c r="AT421" s="2556"/>
      <c r="AU421" s="2556"/>
      <c r="AV421" s="2557"/>
      <c r="AW421" s="2520">
        <f t="shared" ca="1" si="125"/>
        <v>0</v>
      </c>
      <c r="AX421" s="2521"/>
      <c r="AY421" s="2521"/>
      <c r="AZ421" s="2522"/>
      <c r="BA421" s="25" t="b">
        <f t="shared" ca="1" si="126"/>
        <v>0</v>
      </c>
      <c r="BB421"/>
    </row>
    <row r="422" spans="2:54" ht="13.5" customHeight="1">
      <c r="B422" s="2681"/>
      <c r="C422" s="2673"/>
      <c r="D422" s="2682"/>
      <c r="E422" s="322" t="s">
        <v>893</v>
      </c>
      <c r="F422" s="2500" t="s">
        <v>1754</v>
      </c>
      <c r="G422" s="2500"/>
      <c r="H422" s="2500"/>
      <c r="I422" s="2500"/>
      <c r="J422" s="2500"/>
      <c r="K422" s="2500"/>
      <c r="L422" s="2500"/>
      <c r="M422" s="2500"/>
      <c r="N422" s="2500"/>
      <c r="O422" s="2500"/>
      <c r="P422" s="2501"/>
      <c r="Q422" s="2542">
        <v>5236</v>
      </c>
      <c r="R422" s="2518"/>
      <c r="S422" s="2518"/>
      <c r="T422" s="2299" t="s">
        <v>1664</v>
      </c>
      <c r="U422" s="2518" t="s">
        <v>1173</v>
      </c>
      <c r="V422" s="2518"/>
      <c r="W422" s="2518"/>
      <c r="X422" s="2299" t="s">
        <v>895</v>
      </c>
      <c r="Y422" s="2518">
        <v>442</v>
      </c>
      <c r="Z422" s="2518"/>
      <c r="AA422" s="2518"/>
      <c r="AB422" s="2299" t="s">
        <v>905</v>
      </c>
      <c r="AC422" s="2299"/>
      <c r="AD422" s="2299"/>
      <c r="AE422" s="2299"/>
      <c r="AF422" s="1380" t="s">
        <v>905</v>
      </c>
      <c r="AG422" s="1380"/>
      <c r="AH422" s="1380"/>
      <c r="AI422" s="1395"/>
      <c r="AJ422" s="2520">
        <f t="shared" si="123"/>
        <v>5670</v>
      </c>
      <c r="AK422" s="2521"/>
      <c r="AL422" s="2522"/>
      <c r="AM422" s="2505">
        <v>1</v>
      </c>
      <c r="AN422" s="2506"/>
      <c r="AO422" s="2507"/>
      <c r="AP422" s="2499">
        <f t="shared" si="124"/>
        <v>5670</v>
      </c>
      <c r="AQ422" s="2500"/>
      <c r="AR422" s="2501"/>
      <c r="AS422" s="2555">
        <f ca="1">SUMIF(見積拾!C$96:D$104,F422,見積拾!T$96:T$104)+
SUMIF(内壁・間仕切!A$65:AA$65,F422,内壁・間仕切!A$82:AA$82)+
SUMIF(内壁・間仕切!A$86:AA$86,F422,内壁・間仕切!A$103:AA$103)+
SUMIF(内壁・間仕切!A$107:AA$107,F422,内壁・間仕切!A$124:AA$124)+
SUMIF(内壁・間仕切!A$128:AA$128,F422,内壁・間仕切!A$145:AA$145)</f>
        <v>0</v>
      </c>
      <c r="AT422" s="2556"/>
      <c r="AU422" s="2556"/>
      <c r="AV422" s="2557"/>
      <c r="AW422" s="2520">
        <f t="shared" ca="1" si="125"/>
        <v>0</v>
      </c>
      <c r="AX422" s="2521"/>
      <c r="AY422" s="2521"/>
      <c r="AZ422" s="2522"/>
      <c r="BA422" s="25" t="b">
        <f t="shared" ca="1" si="126"/>
        <v>0</v>
      </c>
      <c r="BB422"/>
    </row>
    <row r="423" spans="2:54" ht="13.5" customHeight="1">
      <c r="B423" s="2681"/>
      <c r="C423" s="2673"/>
      <c r="D423" s="2682"/>
      <c r="E423" s="322" t="s">
        <v>893</v>
      </c>
      <c r="F423" s="2500" t="s">
        <v>1755</v>
      </c>
      <c r="G423" s="2500"/>
      <c r="H423" s="2500"/>
      <c r="I423" s="2500"/>
      <c r="J423" s="2500"/>
      <c r="K423" s="2500"/>
      <c r="L423" s="2500"/>
      <c r="M423" s="2500"/>
      <c r="N423" s="2500"/>
      <c r="O423" s="2500"/>
      <c r="P423" s="2501"/>
      <c r="Q423" s="2542">
        <v>750</v>
      </c>
      <c r="R423" s="2518"/>
      <c r="S423" s="2518"/>
      <c r="T423" s="2299" t="s">
        <v>1664</v>
      </c>
      <c r="U423" s="2518">
        <v>3300</v>
      </c>
      <c r="V423" s="2518"/>
      <c r="W423" s="2518"/>
      <c r="X423" s="2299" t="s">
        <v>895</v>
      </c>
      <c r="Y423" s="2518" t="s">
        <v>1174</v>
      </c>
      <c r="Z423" s="2518"/>
      <c r="AA423" s="2518"/>
      <c r="AB423" s="2299" t="s">
        <v>905</v>
      </c>
      <c r="AC423" s="2299"/>
      <c r="AD423" s="2299"/>
      <c r="AE423" s="2299"/>
      <c r="AF423" s="1380" t="s">
        <v>905</v>
      </c>
      <c r="AG423" s="1380"/>
      <c r="AH423" s="1380"/>
      <c r="AI423" s="1395"/>
      <c r="AJ423" s="2520">
        <f t="shared" si="123"/>
        <v>4050</v>
      </c>
      <c r="AK423" s="2521"/>
      <c r="AL423" s="2522"/>
      <c r="AM423" s="2505">
        <v>1</v>
      </c>
      <c r="AN423" s="2506"/>
      <c r="AO423" s="2507"/>
      <c r="AP423" s="2499">
        <f t="shared" si="124"/>
        <v>4050</v>
      </c>
      <c r="AQ423" s="2500"/>
      <c r="AR423" s="2501"/>
      <c r="AS423" s="2555">
        <f ca="1">SUMIF(見積拾!C$96:D$104,F423,見積拾!T$96:T$104)+
SUMIF(内壁・間仕切!A$65:AA$65,F423,内壁・間仕切!A$82:AA$82)+
SUMIF(内壁・間仕切!A$86:AA$86,F423,内壁・間仕切!A$103:AA$103)+
SUMIF(内壁・間仕切!A$107:AA$107,F423,内壁・間仕切!A$124:AA$124)+
SUMIF(内壁・間仕切!A$128:AA$128,F423,内壁・間仕切!A$145:AA$145)</f>
        <v>0</v>
      </c>
      <c r="AT423" s="2556"/>
      <c r="AU423" s="2556"/>
      <c r="AV423" s="2557"/>
      <c r="AW423" s="2520">
        <f t="shared" ca="1" si="125"/>
        <v>0</v>
      </c>
      <c r="AX423" s="2521"/>
      <c r="AY423" s="2521"/>
      <c r="AZ423" s="2522"/>
      <c r="BA423" s="25" t="b">
        <f t="shared" ca="1" si="126"/>
        <v>0</v>
      </c>
      <c r="BB423"/>
    </row>
    <row r="424" spans="2:54" ht="13.5" customHeight="1">
      <c r="B424" s="2681"/>
      <c r="C424" s="2673"/>
      <c r="D424" s="2682"/>
      <c r="E424" s="322" t="s">
        <v>893</v>
      </c>
      <c r="F424" s="2500" t="s">
        <v>1729</v>
      </c>
      <c r="G424" s="2500"/>
      <c r="H424" s="2500"/>
      <c r="I424" s="2500"/>
      <c r="J424" s="2500"/>
      <c r="K424" s="2500"/>
      <c r="L424" s="2500"/>
      <c r="M424" s="2500"/>
      <c r="N424" s="2500"/>
      <c r="O424" s="2500"/>
      <c r="P424" s="2501"/>
      <c r="Q424" s="2542">
        <v>506</v>
      </c>
      <c r="R424" s="2518"/>
      <c r="S424" s="2518"/>
      <c r="T424" s="2299" t="s">
        <v>1664</v>
      </c>
      <c r="U424" s="2518">
        <v>6875</v>
      </c>
      <c r="V424" s="2518"/>
      <c r="W424" s="2518"/>
      <c r="X424" s="2299" t="s">
        <v>895</v>
      </c>
      <c r="Y424" s="2518" t="s">
        <v>1174</v>
      </c>
      <c r="Z424" s="2518"/>
      <c r="AA424" s="2518"/>
      <c r="AB424" s="2299" t="s">
        <v>928</v>
      </c>
      <c r="AC424" s="2299"/>
      <c r="AD424" s="2299"/>
      <c r="AE424" s="2299"/>
      <c r="AF424" s="1380" t="s">
        <v>928</v>
      </c>
      <c r="AG424" s="1380"/>
      <c r="AH424" s="1380"/>
      <c r="AI424" s="1395"/>
      <c r="AJ424" s="2520">
        <f t="shared" si="123"/>
        <v>7380</v>
      </c>
      <c r="AK424" s="2521"/>
      <c r="AL424" s="2522"/>
      <c r="AM424" s="2505">
        <v>1</v>
      </c>
      <c r="AN424" s="2506"/>
      <c r="AO424" s="2507"/>
      <c r="AP424" s="2499">
        <f t="shared" si="124"/>
        <v>7380</v>
      </c>
      <c r="AQ424" s="2500"/>
      <c r="AR424" s="2501"/>
      <c r="AS424" s="2555">
        <f ca="1">SUMIF(見積拾!C$96:D$104,F424,見積拾!T$96:T$104)+
SUMIF(内壁・間仕切!A$65:AA$65,F424,内壁・間仕切!A$82:AA$82)+
SUMIF(内壁・間仕切!A$86:AA$86,F424,内壁・間仕切!A$103:AA$103)+
SUMIF(内壁・間仕切!A$107:AA$107,F424,内壁・間仕切!A$124:AA$124)+
SUMIF(内壁・間仕切!A$128:AA$128,F424,内壁・間仕切!A$145:AA$145)</f>
        <v>0</v>
      </c>
      <c r="AT424" s="2556"/>
      <c r="AU424" s="2556"/>
      <c r="AV424" s="2557"/>
      <c r="AW424" s="2520">
        <f t="shared" ca="1" si="125"/>
        <v>0</v>
      </c>
      <c r="AX424" s="2521"/>
      <c r="AY424" s="2521"/>
      <c r="AZ424" s="2522"/>
      <c r="BA424" s="25" t="b">
        <f t="shared" ca="1" si="126"/>
        <v>0</v>
      </c>
      <c r="BB424"/>
    </row>
    <row r="425" spans="2:54" ht="13.5" customHeight="1">
      <c r="B425" s="2681"/>
      <c r="C425" s="2673"/>
      <c r="D425" s="2682"/>
      <c r="E425" s="322" t="s">
        <v>893</v>
      </c>
      <c r="F425" s="2500" t="s">
        <v>1756</v>
      </c>
      <c r="G425" s="2500"/>
      <c r="H425" s="2500"/>
      <c r="I425" s="2500"/>
      <c r="J425" s="2500"/>
      <c r="K425" s="2500"/>
      <c r="L425" s="2500"/>
      <c r="M425" s="2500"/>
      <c r="N425" s="2500"/>
      <c r="O425" s="2500"/>
      <c r="P425" s="2501"/>
      <c r="Q425" s="2542">
        <v>24652</v>
      </c>
      <c r="R425" s="2518"/>
      <c r="S425" s="2518"/>
      <c r="T425" s="2299" t="s">
        <v>1664</v>
      </c>
      <c r="U425" s="2518">
        <v>8525</v>
      </c>
      <c r="V425" s="2518"/>
      <c r="W425" s="2518"/>
      <c r="X425" s="2299" t="s">
        <v>895</v>
      </c>
      <c r="Y425" s="2518" t="s">
        <v>1174</v>
      </c>
      <c r="Z425" s="2518"/>
      <c r="AA425" s="2518"/>
      <c r="AB425" s="2299" t="s">
        <v>928</v>
      </c>
      <c r="AC425" s="2299"/>
      <c r="AD425" s="2299"/>
      <c r="AE425" s="2299"/>
      <c r="AF425" s="1380" t="s">
        <v>928</v>
      </c>
      <c r="AG425" s="1380"/>
      <c r="AH425" s="1380"/>
      <c r="AI425" s="1395"/>
      <c r="AJ425" s="2520">
        <f t="shared" si="123"/>
        <v>33170</v>
      </c>
      <c r="AK425" s="2521"/>
      <c r="AL425" s="2522"/>
      <c r="AM425" s="2505">
        <v>1</v>
      </c>
      <c r="AN425" s="2506"/>
      <c r="AO425" s="2507"/>
      <c r="AP425" s="2499">
        <f t="shared" si="124"/>
        <v>33170</v>
      </c>
      <c r="AQ425" s="2500"/>
      <c r="AR425" s="2501"/>
      <c r="AS425" s="2555">
        <f ca="1">SUMIF(見積拾!C$96:D$104,F425,見積拾!T$96:T$104)+
SUMIF(内壁・間仕切!A$65:AA$65,F425,内壁・間仕切!A$82:AA$82)+
SUMIF(内壁・間仕切!A$86:AA$86,F425,内壁・間仕切!A$103:AA$103)+
SUMIF(内壁・間仕切!A$107:AA$107,F425,内壁・間仕切!A$124:AA$124)+
SUMIF(内壁・間仕切!A$128:AA$128,F425,内壁・間仕切!A$145:AA$145)</f>
        <v>0</v>
      </c>
      <c r="AT425" s="2556"/>
      <c r="AU425" s="2556"/>
      <c r="AV425" s="2557"/>
      <c r="AW425" s="2520">
        <f t="shared" ca="1" si="125"/>
        <v>0</v>
      </c>
      <c r="AX425" s="2521"/>
      <c r="AY425" s="2521"/>
      <c r="AZ425" s="2522"/>
      <c r="BA425" s="25" t="b">
        <f t="shared" ca="1" si="126"/>
        <v>0</v>
      </c>
      <c r="BB425"/>
    </row>
    <row r="426" spans="2:54" ht="13.5" customHeight="1">
      <c r="B426" s="2681"/>
      <c r="C426" s="2673"/>
      <c r="D426" s="2682"/>
      <c r="E426" s="322" t="s">
        <v>893</v>
      </c>
      <c r="F426" s="2500" t="s">
        <v>1730</v>
      </c>
      <c r="G426" s="2500"/>
      <c r="H426" s="2500"/>
      <c r="I426" s="2500"/>
      <c r="J426" s="2500"/>
      <c r="K426" s="2500"/>
      <c r="L426" s="2500"/>
      <c r="M426" s="2500"/>
      <c r="N426" s="2500"/>
      <c r="O426" s="2500"/>
      <c r="P426" s="2501"/>
      <c r="Q426" s="2542">
        <v>7726</v>
      </c>
      <c r="R426" s="2518"/>
      <c r="S426" s="2518"/>
      <c r="T426" s="2299" t="s">
        <v>1664</v>
      </c>
      <c r="U426" s="2518">
        <v>7150</v>
      </c>
      <c r="V426" s="2518"/>
      <c r="W426" s="2518"/>
      <c r="X426" s="2299" t="s">
        <v>895</v>
      </c>
      <c r="Y426" s="2518" t="s">
        <v>1174</v>
      </c>
      <c r="Z426" s="2518"/>
      <c r="AA426" s="2518"/>
      <c r="AB426" s="2299" t="s">
        <v>928</v>
      </c>
      <c r="AC426" s="2299"/>
      <c r="AD426" s="2299"/>
      <c r="AE426" s="2299"/>
      <c r="AF426" s="1380" t="s">
        <v>928</v>
      </c>
      <c r="AG426" s="1380"/>
      <c r="AH426" s="1380"/>
      <c r="AI426" s="1395"/>
      <c r="AJ426" s="2520">
        <f t="shared" si="123"/>
        <v>14870</v>
      </c>
      <c r="AK426" s="2521"/>
      <c r="AL426" s="2522"/>
      <c r="AM426" s="2505">
        <v>1</v>
      </c>
      <c r="AN426" s="2506"/>
      <c r="AO426" s="2507"/>
      <c r="AP426" s="2499">
        <f t="shared" si="124"/>
        <v>14870</v>
      </c>
      <c r="AQ426" s="2500"/>
      <c r="AR426" s="2501"/>
      <c r="AS426" s="2555">
        <f ca="1">SUMIF(見積拾!C$96:D$104,F426,見積拾!T$96:T$104)+
SUMIF(内壁・間仕切!A$65:AA$65,F426,内壁・間仕切!A$82:AA$82)+
SUMIF(内壁・間仕切!A$86:AA$86,F426,内壁・間仕切!A$103:AA$103)+
SUMIF(内壁・間仕切!A$107:AA$107,F426,内壁・間仕切!A$124:AA$124)+
SUMIF(内壁・間仕切!A$128:AA$128,F426,内壁・間仕切!A$145:AA$145)</f>
        <v>0</v>
      </c>
      <c r="AT426" s="2556"/>
      <c r="AU426" s="2556"/>
      <c r="AV426" s="2557"/>
      <c r="AW426" s="2520">
        <f t="shared" ca="1" si="125"/>
        <v>0</v>
      </c>
      <c r="AX426" s="2521"/>
      <c r="AY426" s="2521"/>
      <c r="AZ426" s="2522"/>
      <c r="BA426" s="25" t="b">
        <f t="shared" ca="1" si="126"/>
        <v>0</v>
      </c>
      <c r="BB426"/>
    </row>
    <row r="427" spans="2:54" ht="13.5" customHeight="1">
      <c r="B427" s="2681"/>
      <c r="C427" s="2673"/>
      <c r="D427" s="2682"/>
      <c r="E427" s="322" t="s">
        <v>893</v>
      </c>
      <c r="F427" s="2500" t="s">
        <v>1731</v>
      </c>
      <c r="G427" s="2500"/>
      <c r="H427" s="2500"/>
      <c r="I427" s="2500"/>
      <c r="J427" s="2500"/>
      <c r="K427" s="2500"/>
      <c r="L427" s="2500"/>
      <c r="M427" s="2500"/>
      <c r="N427" s="2500"/>
      <c r="O427" s="2500"/>
      <c r="P427" s="2501"/>
      <c r="Q427" s="2542">
        <v>2640</v>
      </c>
      <c r="R427" s="2518"/>
      <c r="S427" s="2518"/>
      <c r="T427" s="2299" t="s">
        <v>1664</v>
      </c>
      <c r="U427" s="2518" t="s">
        <v>1173</v>
      </c>
      <c r="V427" s="2518"/>
      <c r="W427" s="2518"/>
      <c r="X427" s="2299" t="s">
        <v>895</v>
      </c>
      <c r="Y427" s="2518" t="s">
        <v>1174</v>
      </c>
      <c r="Z427" s="2518"/>
      <c r="AA427" s="2518"/>
      <c r="AB427" s="2299" t="s">
        <v>937</v>
      </c>
      <c r="AC427" s="2299"/>
      <c r="AD427" s="2299"/>
      <c r="AE427" s="2299"/>
      <c r="AF427" s="1380" t="s">
        <v>937</v>
      </c>
      <c r="AG427" s="1380"/>
      <c r="AH427" s="1380"/>
      <c r="AI427" s="1395"/>
      <c r="AJ427" s="2520">
        <f t="shared" si="123"/>
        <v>2640</v>
      </c>
      <c r="AK427" s="2521"/>
      <c r="AL427" s="2522"/>
      <c r="AM427" s="2505">
        <v>1</v>
      </c>
      <c r="AN427" s="2506"/>
      <c r="AO427" s="2507"/>
      <c r="AP427" s="2499">
        <f t="shared" si="124"/>
        <v>2640</v>
      </c>
      <c r="AQ427" s="2500"/>
      <c r="AR427" s="2501"/>
      <c r="AS427" s="2555">
        <f ca="1">SUMIF(見積拾!C$96:D$104,F427,見積拾!T$96:T$104)+
SUMIF(内壁・間仕切!A$65:AA$65,F427,内壁・間仕切!A$82:AA$82)+
SUMIF(内壁・間仕切!A$86:AA$86,F427,内壁・間仕切!A$103:AA$103)+
SUMIF(内壁・間仕切!A$107:AA$107,F427,内壁・間仕切!A$124:AA$124)+
SUMIF(内壁・間仕切!A$128:AA$128,F427,内壁・間仕切!A$145:AA$145)</f>
        <v>0</v>
      </c>
      <c r="AT427" s="2556"/>
      <c r="AU427" s="2556"/>
      <c r="AV427" s="2557"/>
      <c r="AW427" s="2520">
        <f t="shared" ca="1" si="125"/>
        <v>0</v>
      </c>
      <c r="AX427" s="2521"/>
      <c r="AY427" s="2521"/>
      <c r="AZ427" s="2522"/>
      <c r="BA427" s="25" t="b">
        <f t="shared" ca="1" si="126"/>
        <v>0</v>
      </c>
      <c r="BB427"/>
    </row>
    <row r="428" spans="2:54" ht="13.5" customHeight="1">
      <c r="B428" s="2681"/>
      <c r="C428" s="2673"/>
      <c r="D428" s="2682"/>
      <c r="E428" s="322" t="s">
        <v>893</v>
      </c>
      <c r="F428" s="2500" t="s">
        <v>1757</v>
      </c>
      <c r="G428" s="2500"/>
      <c r="H428" s="2500"/>
      <c r="I428" s="2500"/>
      <c r="J428" s="2500"/>
      <c r="K428" s="2500"/>
      <c r="L428" s="2500"/>
      <c r="M428" s="2500"/>
      <c r="N428" s="2500"/>
      <c r="O428" s="2500"/>
      <c r="P428" s="2501"/>
      <c r="Q428" s="2542">
        <v>1940</v>
      </c>
      <c r="R428" s="2518"/>
      <c r="S428" s="2518"/>
      <c r="T428" s="2299" t="s">
        <v>1664</v>
      </c>
      <c r="U428" s="2518" t="s">
        <v>1173</v>
      </c>
      <c r="V428" s="2518"/>
      <c r="W428" s="2518"/>
      <c r="X428" s="2299" t="s">
        <v>895</v>
      </c>
      <c r="Y428" s="2518" t="s">
        <v>1174</v>
      </c>
      <c r="Z428" s="2518"/>
      <c r="AA428" s="2518"/>
      <c r="AB428" s="2299" t="s">
        <v>932</v>
      </c>
      <c r="AC428" s="2299"/>
      <c r="AD428" s="2299"/>
      <c r="AE428" s="2299"/>
      <c r="AF428" s="1380" t="s">
        <v>932</v>
      </c>
      <c r="AG428" s="1380"/>
      <c r="AH428" s="1380"/>
      <c r="AI428" s="1395"/>
      <c r="AJ428" s="2520">
        <f t="shared" si="123"/>
        <v>1940</v>
      </c>
      <c r="AK428" s="2521"/>
      <c r="AL428" s="2522"/>
      <c r="AM428" s="2505">
        <v>1</v>
      </c>
      <c r="AN428" s="2506"/>
      <c r="AO428" s="2507"/>
      <c r="AP428" s="2499">
        <f t="shared" si="124"/>
        <v>1940</v>
      </c>
      <c r="AQ428" s="2500"/>
      <c r="AR428" s="2501"/>
      <c r="AS428" s="2555">
        <f ca="1">SUMIF(見積拾!C$96:D$104,F428,見積拾!T$96:T$104)+
SUMIF(内壁・間仕切!A$65:AA$65,F428,内壁・間仕切!A$82:AA$82)+
SUMIF(内壁・間仕切!A$86:AA$86,F428,内壁・間仕切!A$103:AA$103)+
SUMIF(内壁・間仕切!A$107:AA$107,F428,内壁・間仕切!A$124:AA$124)+
SUMIF(内壁・間仕切!A$128:AA$128,F428,内壁・間仕切!A$145:AA$145)</f>
        <v>0</v>
      </c>
      <c r="AT428" s="2556"/>
      <c r="AU428" s="2556"/>
      <c r="AV428" s="2557"/>
      <c r="AW428" s="2520">
        <f t="shared" ca="1" si="125"/>
        <v>0</v>
      </c>
      <c r="AX428" s="2521"/>
      <c r="AY428" s="2521"/>
      <c r="AZ428" s="2522"/>
      <c r="BA428" s="25" t="b">
        <f t="shared" ca="1" si="126"/>
        <v>0</v>
      </c>
      <c r="BB428"/>
    </row>
    <row r="429" spans="2:54" ht="13.5" customHeight="1">
      <c r="B429" s="2681"/>
      <c r="C429" s="2673"/>
      <c r="D429" s="2682"/>
      <c r="E429" s="322" t="s">
        <v>893</v>
      </c>
      <c r="F429" s="2500" t="s">
        <v>1758</v>
      </c>
      <c r="G429" s="2500"/>
      <c r="H429" s="2500"/>
      <c r="I429" s="2500"/>
      <c r="J429" s="2500"/>
      <c r="K429" s="2500"/>
      <c r="L429" s="2500"/>
      <c r="M429" s="2500"/>
      <c r="N429" s="2500"/>
      <c r="O429" s="2500"/>
      <c r="P429" s="2501"/>
      <c r="Q429" s="2542">
        <v>1937</v>
      </c>
      <c r="R429" s="2518"/>
      <c r="S429" s="2518"/>
      <c r="T429" s="2299" t="s">
        <v>1664</v>
      </c>
      <c r="U429" s="2518">
        <v>1911</v>
      </c>
      <c r="V429" s="2518"/>
      <c r="W429" s="2518"/>
      <c r="X429" s="2299" t="s">
        <v>895</v>
      </c>
      <c r="Y429" s="2518" t="s">
        <v>1174</v>
      </c>
      <c r="Z429" s="2518"/>
      <c r="AA429" s="2518"/>
      <c r="AB429" s="2299" t="s">
        <v>932</v>
      </c>
      <c r="AC429" s="2299"/>
      <c r="AD429" s="2299"/>
      <c r="AE429" s="2299"/>
      <c r="AF429" s="1380" t="s">
        <v>932</v>
      </c>
      <c r="AG429" s="1380"/>
      <c r="AH429" s="1380"/>
      <c r="AI429" s="1395"/>
      <c r="AJ429" s="2520">
        <f t="shared" si="123"/>
        <v>3840</v>
      </c>
      <c r="AK429" s="2521"/>
      <c r="AL429" s="2522"/>
      <c r="AM429" s="2505">
        <v>1</v>
      </c>
      <c r="AN429" s="2506"/>
      <c r="AO429" s="2507"/>
      <c r="AP429" s="2499">
        <f t="shared" si="124"/>
        <v>3840</v>
      </c>
      <c r="AQ429" s="2500"/>
      <c r="AR429" s="2501"/>
      <c r="AS429" s="2555">
        <f ca="1">SUMIF(見積拾!C$96:D$104,F429,見積拾!T$96:T$104)+
SUMIF(内壁・間仕切!A$65:AA$65,F429,内壁・間仕切!A$82:AA$82)+
SUMIF(内壁・間仕切!A$86:AA$86,F429,内壁・間仕切!A$103:AA$103)+
SUMIF(内壁・間仕切!A$107:AA$107,F429,内壁・間仕切!A$124:AA$124)+
SUMIF(内壁・間仕切!A$128:AA$128,F429,内壁・間仕切!A$145:AA$145)</f>
        <v>0</v>
      </c>
      <c r="AT429" s="2556"/>
      <c r="AU429" s="2556"/>
      <c r="AV429" s="2557"/>
      <c r="AW429" s="2520">
        <f t="shared" ca="1" si="125"/>
        <v>0</v>
      </c>
      <c r="AX429" s="2521"/>
      <c r="AY429" s="2521"/>
      <c r="AZ429" s="2522"/>
      <c r="BA429" s="25" t="b">
        <f t="shared" ca="1" si="126"/>
        <v>0</v>
      </c>
      <c r="BB429"/>
    </row>
    <row r="430" spans="2:54" s="1847" customFormat="1" ht="13.5" customHeight="1">
      <c r="B430" s="2681"/>
      <c r="C430" s="2673"/>
      <c r="D430" s="2683"/>
      <c r="E430" s="1840" t="s">
        <v>893</v>
      </c>
      <c r="F430" s="2500" t="s">
        <v>1759</v>
      </c>
      <c r="G430" s="2500"/>
      <c r="H430" s="2500"/>
      <c r="I430" s="2500"/>
      <c r="J430" s="2500"/>
      <c r="K430" s="2500"/>
      <c r="L430" s="2500"/>
      <c r="M430" s="2500"/>
      <c r="N430" s="2500"/>
      <c r="O430" s="2500"/>
      <c r="P430" s="2501"/>
      <c r="Q430" s="2542">
        <v>461</v>
      </c>
      <c r="R430" s="2518"/>
      <c r="S430" s="2518"/>
      <c r="T430" s="2299" t="s">
        <v>1664</v>
      </c>
      <c r="U430" s="2518">
        <v>1258</v>
      </c>
      <c r="V430" s="2518"/>
      <c r="W430" s="2518"/>
      <c r="X430" s="2299" t="s">
        <v>895</v>
      </c>
      <c r="Y430" s="2518" t="s">
        <v>1174</v>
      </c>
      <c r="Z430" s="2518"/>
      <c r="AA430" s="2518"/>
      <c r="AB430" s="2299" t="s">
        <v>64</v>
      </c>
      <c r="AC430" s="2299"/>
      <c r="AD430" s="2299"/>
      <c r="AE430" s="2299"/>
      <c r="AF430" s="1838" t="s">
        <v>64</v>
      </c>
      <c r="AG430" s="1838"/>
      <c r="AH430" s="1838"/>
      <c r="AI430" s="1839"/>
      <c r="AJ430" s="2520">
        <f t="shared" ref="AJ430:AJ431" si="127">ROUNDDOWN(SUM(Q430:AI430),-1)</f>
        <v>1710</v>
      </c>
      <c r="AK430" s="2521"/>
      <c r="AL430" s="2522"/>
      <c r="AM430" s="2505">
        <v>1</v>
      </c>
      <c r="AN430" s="2506"/>
      <c r="AO430" s="2507"/>
      <c r="AP430" s="2499">
        <f t="shared" ref="AP430:AP431" si="128">INT(AJ430*AM430)</f>
        <v>1710</v>
      </c>
      <c r="AQ430" s="2500"/>
      <c r="AR430" s="2501"/>
      <c r="AS430" s="2555">
        <f ca="1">SUMIF(見積拾!C$96:D$104,F430,見積拾!T$96:T$104)+
SUMIF(内壁・間仕切!A$65:AA$65,F430,内壁・間仕切!A$82:AA$82)+
SUMIF(内壁・間仕切!A$86:AA$86,F430,内壁・間仕切!A$103:AA$103)+
SUMIF(内壁・間仕切!A$107:AA$107,F430,内壁・間仕切!A$124:AA$124)+
SUMIF(内壁・間仕切!A$128:AA$128,F430,内壁・間仕切!A$145:AA$145)</f>
        <v>0</v>
      </c>
      <c r="AT430" s="2556"/>
      <c r="AU430" s="2556"/>
      <c r="AV430" s="2557"/>
      <c r="AW430" s="2520">
        <f t="shared" ref="AW430:AW431" ca="1" si="129">INT(AP430*AS430)</f>
        <v>0</v>
      </c>
      <c r="AX430" s="2521"/>
      <c r="AY430" s="2521"/>
      <c r="AZ430" s="2522"/>
      <c r="BA430" s="25" t="b">
        <f t="shared" ref="BA430:BA431" ca="1" si="130">AW430&lt;&gt;0</f>
        <v>0</v>
      </c>
    </row>
    <row r="431" spans="2:54" s="1847" customFormat="1" ht="13.5" customHeight="1">
      <c r="B431" s="2681"/>
      <c r="C431" s="2673"/>
      <c r="D431" s="2683"/>
      <c r="E431" s="1840" t="s">
        <v>893</v>
      </c>
      <c r="F431" s="2500" t="s">
        <v>1760</v>
      </c>
      <c r="G431" s="2500"/>
      <c r="H431" s="2500"/>
      <c r="I431" s="2500"/>
      <c r="J431" s="2500"/>
      <c r="K431" s="2500"/>
      <c r="L431" s="2500"/>
      <c r="M431" s="2500"/>
      <c r="N431" s="2500"/>
      <c r="O431" s="2500"/>
      <c r="P431" s="2501"/>
      <c r="Q431" s="2542">
        <v>1955</v>
      </c>
      <c r="R431" s="2518"/>
      <c r="S431" s="2518"/>
      <c r="T431" s="2299" t="s">
        <v>1664</v>
      </c>
      <c r="U431" s="2518">
        <v>1258</v>
      </c>
      <c r="V431" s="2518"/>
      <c r="W431" s="2518"/>
      <c r="X431" s="2299" t="s">
        <v>895</v>
      </c>
      <c r="Y431" s="2518" t="s">
        <v>1174</v>
      </c>
      <c r="Z431" s="2518"/>
      <c r="AA431" s="2518"/>
      <c r="AB431" s="2299" t="s">
        <v>64</v>
      </c>
      <c r="AC431" s="2299"/>
      <c r="AD431" s="2299"/>
      <c r="AE431" s="2299"/>
      <c r="AF431" s="1838" t="s">
        <v>64</v>
      </c>
      <c r="AG431" s="1838"/>
      <c r="AH431" s="1838"/>
      <c r="AI431" s="1839"/>
      <c r="AJ431" s="2520">
        <f t="shared" si="127"/>
        <v>3210</v>
      </c>
      <c r="AK431" s="2521"/>
      <c r="AL431" s="2522"/>
      <c r="AM431" s="2505">
        <v>1</v>
      </c>
      <c r="AN431" s="2506"/>
      <c r="AO431" s="2507"/>
      <c r="AP431" s="2499">
        <f t="shared" si="128"/>
        <v>3210</v>
      </c>
      <c r="AQ431" s="2500"/>
      <c r="AR431" s="2501"/>
      <c r="AS431" s="2555">
        <f ca="1">SUMIF(見積拾!C$96:D$104,F431,見積拾!T$96:T$104)+
SUMIF(内壁・間仕切!A$65:AA$65,F431,内壁・間仕切!A$82:AA$82)+
SUMIF(内壁・間仕切!A$86:AA$86,F431,内壁・間仕切!A$103:AA$103)+
SUMIF(内壁・間仕切!A$107:AA$107,F431,内壁・間仕切!A$124:AA$124)+
SUMIF(内壁・間仕切!A$128:AA$128,F431,内壁・間仕切!A$145:AA$145)</f>
        <v>0</v>
      </c>
      <c r="AT431" s="2556"/>
      <c r="AU431" s="2556"/>
      <c r="AV431" s="2557"/>
      <c r="AW431" s="2520">
        <f t="shared" ca="1" si="129"/>
        <v>0</v>
      </c>
      <c r="AX431" s="2521"/>
      <c r="AY431" s="2521"/>
      <c r="AZ431" s="2522"/>
      <c r="BA431" s="25" t="b">
        <f t="shared" ca="1" si="130"/>
        <v>0</v>
      </c>
    </row>
    <row r="432" spans="2:54" ht="13.5" customHeight="1">
      <c r="B432" s="2681"/>
      <c r="C432" s="2673"/>
      <c r="D432" s="2682"/>
      <c r="E432" s="322" t="s">
        <v>893</v>
      </c>
      <c r="F432" s="2500" t="s">
        <v>1761</v>
      </c>
      <c r="G432" s="2500"/>
      <c r="H432" s="2500"/>
      <c r="I432" s="2500"/>
      <c r="J432" s="2500"/>
      <c r="K432" s="2500"/>
      <c r="L432" s="2500"/>
      <c r="M432" s="2500"/>
      <c r="N432" s="2500"/>
      <c r="O432" s="2500"/>
      <c r="P432" s="2501"/>
      <c r="Q432" s="2542">
        <v>6550</v>
      </c>
      <c r="R432" s="2518"/>
      <c r="S432" s="2518"/>
      <c r="T432" s="2299" t="s">
        <v>1664</v>
      </c>
      <c r="U432" s="2518">
        <v>1258</v>
      </c>
      <c r="V432" s="2518"/>
      <c r="W432" s="2518"/>
      <c r="X432" s="2299" t="s">
        <v>895</v>
      </c>
      <c r="Y432" s="2518" t="s">
        <v>1174</v>
      </c>
      <c r="Z432" s="2518"/>
      <c r="AA432" s="2518"/>
      <c r="AB432" s="2299" t="s">
        <v>932</v>
      </c>
      <c r="AC432" s="2299"/>
      <c r="AD432" s="2299"/>
      <c r="AE432" s="2299"/>
      <c r="AF432" s="1380" t="s">
        <v>932</v>
      </c>
      <c r="AG432" s="1380"/>
      <c r="AH432" s="1380"/>
      <c r="AI432" s="1395"/>
      <c r="AJ432" s="2520">
        <f t="shared" si="123"/>
        <v>7800</v>
      </c>
      <c r="AK432" s="2521"/>
      <c r="AL432" s="2522"/>
      <c r="AM432" s="2505">
        <v>1</v>
      </c>
      <c r="AN432" s="2506"/>
      <c r="AO432" s="2507"/>
      <c r="AP432" s="2499">
        <f t="shared" si="124"/>
        <v>7800</v>
      </c>
      <c r="AQ432" s="2500"/>
      <c r="AR432" s="2501"/>
      <c r="AS432" s="2555">
        <f ca="1">SUMIF(見積拾!C$96:D$104,F432,見積拾!T$96:T$104)+
SUMIF(内壁・間仕切!A$65:AA$65,F432,内壁・間仕切!A$82:AA$82)+
SUMIF(内壁・間仕切!A$86:AA$86,F432,内壁・間仕切!A$103:AA$103)+
SUMIF(内壁・間仕切!A$107:AA$107,F432,内壁・間仕切!A$124:AA$124)+
SUMIF(内壁・間仕切!A$128:AA$128,F432,内壁・間仕切!A$145:AA$145)</f>
        <v>0</v>
      </c>
      <c r="AT432" s="2556"/>
      <c r="AU432" s="2556"/>
      <c r="AV432" s="2557"/>
      <c r="AW432" s="2520">
        <f t="shared" ca="1" si="125"/>
        <v>0</v>
      </c>
      <c r="AX432" s="2521"/>
      <c r="AY432" s="2521"/>
      <c r="AZ432" s="2522"/>
      <c r="BA432" s="25" t="b">
        <f t="shared" ca="1" si="126"/>
        <v>0</v>
      </c>
      <c r="BB432"/>
    </row>
    <row r="433" spans="2:54" s="1996" customFormat="1" ht="13.5" customHeight="1">
      <c r="B433" s="2681"/>
      <c r="C433" s="2673"/>
      <c r="D433" s="2683"/>
      <c r="E433" s="1994" t="s">
        <v>893</v>
      </c>
      <c r="F433" s="2500" t="s">
        <v>2077</v>
      </c>
      <c r="G433" s="2500"/>
      <c r="H433" s="2500"/>
      <c r="I433" s="2500"/>
      <c r="J433" s="2500"/>
      <c r="K433" s="2500"/>
      <c r="L433" s="2500"/>
      <c r="M433" s="2500"/>
      <c r="N433" s="2500"/>
      <c r="O433" s="2500"/>
      <c r="P433" s="2501"/>
      <c r="Q433" s="2542">
        <v>4022</v>
      </c>
      <c r="R433" s="2518"/>
      <c r="S433" s="2518"/>
      <c r="T433" s="2299" t="s">
        <v>1664</v>
      </c>
      <c r="U433" s="2518" t="s">
        <v>1173</v>
      </c>
      <c r="V433" s="2518"/>
      <c r="W433" s="2518"/>
      <c r="X433" s="2299" t="s">
        <v>895</v>
      </c>
      <c r="Y433" s="2518" t="s">
        <v>1174</v>
      </c>
      <c r="Z433" s="2518"/>
      <c r="AA433" s="2518"/>
      <c r="AB433" s="2299" t="s">
        <v>64</v>
      </c>
      <c r="AC433" s="2299"/>
      <c r="AD433" s="2299"/>
      <c r="AE433" s="2299"/>
      <c r="AF433" s="1993" t="s">
        <v>64</v>
      </c>
      <c r="AG433" s="1993"/>
      <c r="AH433" s="1993"/>
      <c r="AI433" s="1995"/>
      <c r="AJ433" s="2520">
        <f t="shared" ref="AJ433" si="131">ROUNDDOWN(SUM(Q433:AI433),-1)</f>
        <v>4020</v>
      </c>
      <c r="AK433" s="2521"/>
      <c r="AL433" s="2522"/>
      <c r="AM433" s="2505">
        <v>1</v>
      </c>
      <c r="AN433" s="2506"/>
      <c r="AO433" s="2507"/>
      <c r="AP433" s="2499">
        <f t="shared" ref="AP433" si="132">INT(AJ433*AM433)</f>
        <v>4020</v>
      </c>
      <c r="AQ433" s="2500"/>
      <c r="AR433" s="2501"/>
      <c r="AS433" s="2555">
        <f ca="1">SUMIF(見積拾!C$96:D$104,F433,見積拾!T$96:T$104)+
SUMIF(内壁・間仕切!A$65:AA$65,F433,内壁・間仕切!A$82:AA$82)+
SUMIF(内壁・間仕切!A$86:AA$86,F433,内壁・間仕切!A$103:AA$103)+
SUMIF(内壁・間仕切!A$107:AA$107,F433,内壁・間仕切!A$124:AA$124)+
SUMIF(内壁・間仕切!A$128:AA$128,F433,内壁・間仕切!A$145:AA$145)</f>
        <v>0</v>
      </c>
      <c r="AT433" s="2556"/>
      <c r="AU433" s="2556"/>
      <c r="AV433" s="2557"/>
      <c r="AW433" s="2520">
        <f t="shared" ref="AW433" ca="1" si="133">INT(AP433*AS433)</f>
        <v>0</v>
      </c>
      <c r="AX433" s="2521"/>
      <c r="AY433" s="2521"/>
      <c r="AZ433" s="2522"/>
      <c r="BA433" s="25" t="b">
        <f t="shared" ref="BA433" ca="1" si="134">AW433&lt;&gt;0</f>
        <v>0</v>
      </c>
    </row>
    <row r="434" spans="2:54" ht="13.5" customHeight="1">
      <c r="B434" s="2681"/>
      <c r="C434" s="2673"/>
      <c r="D434" s="2682"/>
      <c r="E434" s="322" t="s">
        <v>893</v>
      </c>
      <c r="F434" s="2500" t="s">
        <v>1179</v>
      </c>
      <c r="G434" s="2500"/>
      <c r="H434" s="2500"/>
      <c r="I434" s="2500"/>
      <c r="J434" s="2500"/>
      <c r="K434" s="2500"/>
      <c r="L434" s="2500"/>
      <c r="M434" s="2500"/>
      <c r="N434" s="2500"/>
      <c r="O434" s="2500"/>
      <c r="P434" s="2501"/>
      <c r="Q434" s="2542">
        <v>602</v>
      </c>
      <c r="R434" s="2518"/>
      <c r="S434" s="2518"/>
      <c r="T434" s="2299" t="s">
        <v>1664</v>
      </c>
      <c r="U434" s="2518">
        <v>1638</v>
      </c>
      <c r="V434" s="2518"/>
      <c r="W434" s="2518"/>
      <c r="X434" s="2299" t="s">
        <v>895</v>
      </c>
      <c r="Y434" s="2518" t="s">
        <v>1174</v>
      </c>
      <c r="Z434" s="2518"/>
      <c r="AA434" s="2518"/>
      <c r="AB434" s="2299" t="s">
        <v>905</v>
      </c>
      <c r="AC434" s="2299"/>
      <c r="AD434" s="2299"/>
      <c r="AE434" s="2299"/>
      <c r="AF434" s="1380" t="s">
        <v>905</v>
      </c>
      <c r="AG434" s="1380"/>
      <c r="AH434" s="1380"/>
      <c r="AI434" s="1395"/>
      <c r="AJ434" s="2520">
        <f t="shared" si="123"/>
        <v>2240</v>
      </c>
      <c r="AK434" s="2521"/>
      <c r="AL434" s="2522"/>
      <c r="AM434" s="2505">
        <v>1</v>
      </c>
      <c r="AN434" s="2506"/>
      <c r="AO434" s="2507"/>
      <c r="AP434" s="2499">
        <f t="shared" si="124"/>
        <v>2240</v>
      </c>
      <c r="AQ434" s="2500"/>
      <c r="AR434" s="2501"/>
      <c r="AS434" s="2555">
        <f ca="1">SUMIF(見積拾!C$96:D$104,F434,見積拾!T$96:T$104)+
SUMIF(内壁・間仕切!A$65:AA$65,F434,内壁・間仕切!A$82:AA$82)+
SUMIF(内壁・間仕切!A$86:AA$86,F434,内壁・間仕切!A$103:AA$103)+
SUMIF(内壁・間仕切!A$107:AA$107,F434,内壁・間仕切!A$124:AA$124)+
SUMIF(内壁・間仕切!A$128:AA$128,F434,内壁・間仕切!A$145:AA$145)</f>
        <v>0</v>
      </c>
      <c r="AT434" s="2556"/>
      <c r="AU434" s="2556"/>
      <c r="AV434" s="2557"/>
      <c r="AW434" s="2520">
        <f t="shared" ca="1" si="125"/>
        <v>0</v>
      </c>
      <c r="AX434" s="2521"/>
      <c r="AY434" s="2521"/>
      <c r="AZ434" s="2522"/>
      <c r="BA434" s="25" t="b">
        <f t="shared" ca="1" si="126"/>
        <v>0</v>
      </c>
      <c r="BB434"/>
    </row>
    <row r="435" spans="2:54" ht="13.5" customHeight="1">
      <c r="B435" s="2681"/>
      <c r="C435" s="2673"/>
      <c r="D435" s="2682"/>
      <c r="E435" s="322" t="s">
        <v>893</v>
      </c>
      <c r="F435" s="2500" t="s">
        <v>1762</v>
      </c>
      <c r="G435" s="2500"/>
      <c r="H435" s="2500"/>
      <c r="I435" s="2500"/>
      <c r="J435" s="2500"/>
      <c r="K435" s="2500"/>
      <c r="L435" s="2500"/>
      <c r="M435" s="2500"/>
      <c r="N435" s="2500"/>
      <c r="O435" s="2500"/>
      <c r="P435" s="2501"/>
      <c r="Q435" s="2542">
        <v>2541</v>
      </c>
      <c r="R435" s="2518"/>
      <c r="S435" s="2518"/>
      <c r="T435" s="2299" t="s">
        <v>1664</v>
      </c>
      <c r="U435" s="2518">
        <v>1365</v>
      </c>
      <c r="V435" s="2518"/>
      <c r="W435" s="2518"/>
      <c r="X435" s="2299" t="s">
        <v>895</v>
      </c>
      <c r="Y435" s="2518" t="s">
        <v>1174</v>
      </c>
      <c r="Z435" s="2518"/>
      <c r="AA435" s="2518"/>
      <c r="AB435" s="2299" t="s">
        <v>905</v>
      </c>
      <c r="AC435" s="2299"/>
      <c r="AD435" s="2299"/>
      <c r="AE435" s="2299"/>
      <c r="AF435" s="1380" t="s">
        <v>905</v>
      </c>
      <c r="AG435" s="1380"/>
      <c r="AH435" s="1380"/>
      <c r="AI435" s="1395"/>
      <c r="AJ435" s="2520">
        <f t="shared" si="123"/>
        <v>3900</v>
      </c>
      <c r="AK435" s="2521"/>
      <c r="AL435" s="2522"/>
      <c r="AM435" s="2505">
        <v>1</v>
      </c>
      <c r="AN435" s="2506"/>
      <c r="AO435" s="2507"/>
      <c r="AP435" s="2499">
        <f t="shared" si="124"/>
        <v>3900</v>
      </c>
      <c r="AQ435" s="2500"/>
      <c r="AR435" s="2501"/>
      <c r="AS435" s="2555">
        <f ca="1">SUMIF(見積拾!C$96:D$104,F435,見積拾!T$96:T$104)+
SUMIF(内壁・間仕切!A$65:AA$65,F435,内壁・間仕切!A$82:AA$82)+
SUMIF(内壁・間仕切!A$86:AA$86,F435,内壁・間仕切!A$103:AA$103)+
SUMIF(内壁・間仕切!A$107:AA$107,F435,内壁・間仕切!A$124:AA$124)+
SUMIF(内壁・間仕切!A$128:AA$128,F435,内壁・間仕切!A$145:AA$145)</f>
        <v>0</v>
      </c>
      <c r="AT435" s="2556"/>
      <c r="AU435" s="2556"/>
      <c r="AV435" s="2557"/>
      <c r="AW435" s="2520">
        <f t="shared" ca="1" si="125"/>
        <v>0</v>
      </c>
      <c r="AX435" s="2521"/>
      <c r="AY435" s="2521"/>
      <c r="AZ435" s="2522"/>
      <c r="BA435" s="25" t="b">
        <f t="shared" ca="1" si="126"/>
        <v>0</v>
      </c>
      <c r="BB435"/>
    </row>
    <row r="436" spans="2:54" ht="13.5" customHeight="1">
      <c r="B436" s="2681"/>
      <c r="C436" s="2673"/>
      <c r="D436" s="2682"/>
      <c r="E436" s="322" t="s">
        <v>893</v>
      </c>
      <c r="F436" s="2500" t="s">
        <v>1763</v>
      </c>
      <c r="G436" s="2500"/>
      <c r="H436" s="2500"/>
      <c r="I436" s="2500"/>
      <c r="J436" s="2500"/>
      <c r="K436" s="2500"/>
      <c r="L436" s="2500"/>
      <c r="M436" s="2500"/>
      <c r="N436" s="2500"/>
      <c r="O436" s="2500"/>
      <c r="P436" s="2501"/>
      <c r="Q436" s="2542">
        <v>920</v>
      </c>
      <c r="R436" s="2518"/>
      <c r="S436" s="2518"/>
      <c r="T436" s="2299" t="s">
        <v>1664</v>
      </c>
      <c r="U436" s="2518" t="s">
        <v>1173</v>
      </c>
      <c r="V436" s="2518"/>
      <c r="W436" s="2518"/>
      <c r="X436" s="2299" t="s">
        <v>895</v>
      </c>
      <c r="Y436" s="2518" t="s">
        <v>1174</v>
      </c>
      <c r="Z436" s="2518"/>
      <c r="AA436" s="2518"/>
      <c r="AB436" s="2299" t="s">
        <v>905</v>
      </c>
      <c r="AC436" s="2518"/>
      <c r="AD436" s="2518"/>
      <c r="AE436" s="2518"/>
      <c r="AF436" s="1380" t="s">
        <v>905</v>
      </c>
      <c r="AG436" s="2518"/>
      <c r="AH436" s="2518"/>
      <c r="AI436" s="2519"/>
      <c r="AJ436" s="2520">
        <f t="shared" si="123"/>
        <v>920</v>
      </c>
      <c r="AK436" s="2521"/>
      <c r="AL436" s="2522"/>
      <c r="AM436" s="2505">
        <v>1</v>
      </c>
      <c r="AN436" s="2506"/>
      <c r="AO436" s="2507"/>
      <c r="AP436" s="2499">
        <f t="shared" si="124"/>
        <v>920</v>
      </c>
      <c r="AQ436" s="2500"/>
      <c r="AR436" s="2501"/>
      <c r="AS436" s="2555">
        <f ca="1">SUMIF(見積拾!C$96:D$104,F436,見積拾!T$96:T$104)+
SUMIF(内壁・間仕切!A$65:AA$65,F436,内壁・間仕切!A$82:AA$82)+
SUMIF(内壁・間仕切!A$86:AA$86,F436,内壁・間仕切!A$103:AA$103)+
SUMIF(内壁・間仕切!A$107:AA$107,F436,内壁・間仕切!A$124:AA$124)+
SUMIF(内壁・間仕切!A$128:AA$128,F436,内壁・間仕切!A$145:AA$145)</f>
        <v>0</v>
      </c>
      <c r="AT436" s="2556"/>
      <c r="AU436" s="2556"/>
      <c r="AV436" s="2557"/>
      <c r="AW436" s="2520">
        <f t="shared" ca="1" si="125"/>
        <v>0</v>
      </c>
      <c r="AX436" s="2521"/>
      <c r="AY436" s="2521"/>
      <c r="AZ436" s="2522"/>
      <c r="BA436" s="25" t="b">
        <f t="shared" ca="1" si="126"/>
        <v>0</v>
      </c>
      <c r="BB436"/>
    </row>
    <row r="437" spans="2:54" ht="13.5" customHeight="1">
      <c r="B437" s="2681"/>
      <c r="C437" s="2673"/>
      <c r="D437" s="2682"/>
      <c r="E437" s="322" t="s">
        <v>893</v>
      </c>
      <c r="F437" s="2500" t="s">
        <v>1764</v>
      </c>
      <c r="G437" s="2500"/>
      <c r="H437" s="2500"/>
      <c r="I437" s="2500"/>
      <c r="J437" s="2500"/>
      <c r="K437" s="2500"/>
      <c r="L437" s="2500"/>
      <c r="M437" s="2500"/>
      <c r="N437" s="2500"/>
      <c r="O437" s="2500"/>
      <c r="P437" s="2501"/>
      <c r="Q437" s="2542">
        <v>1780</v>
      </c>
      <c r="R437" s="2518"/>
      <c r="S437" s="2518"/>
      <c r="T437" s="2299" t="s">
        <v>1664</v>
      </c>
      <c r="U437" s="2518" t="s">
        <v>1173</v>
      </c>
      <c r="V437" s="2518"/>
      <c r="W437" s="2518"/>
      <c r="X437" s="2299" t="s">
        <v>895</v>
      </c>
      <c r="Y437" s="2518" t="s">
        <v>1174</v>
      </c>
      <c r="Z437" s="2518"/>
      <c r="AA437" s="2518"/>
      <c r="AB437" s="2299" t="s">
        <v>905</v>
      </c>
      <c r="AC437" s="2518"/>
      <c r="AD437" s="2518"/>
      <c r="AE437" s="2518"/>
      <c r="AF437" s="1380" t="s">
        <v>905</v>
      </c>
      <c r="AG437" s="2518"/>
      <c r="AH437" s="2518"/>
      <c r="AI437" s="2519"/>
      <c r="AJ437" s="2520">
        <f t="shared" si="123"/>
        <v>1780</v>
      </c>
      <c r="AK437" s="2521"/>
      <c r="AL437" s="2522"/>
      <c r="AM437" s="2505">
        <v>1</v>
      </c>
      <c r="AN437" s="2506"/>
      <c r="AO437" s="2507"/>
      <c r="AP437" s="2499">
        <f t="shared" si="124"/>
        <v>1780</v>
      </c>
      <c r="AQ437" s="2500"/>
      <c r="AR437" s="2501"/>
      <c r="AS437" s="2555">
        <f ca="1">SUMIF(見積拾!C$96:D$104,F437,見積拾!T$96:T$104)+
SUMIF(内壁・間仕切!A$65:AA$65,F437,内壁・間仕切!A$82:AA$82)+
SUMIF(内壁・間仕切!A$86:AA$86,F437,内壁・間仕切!A$103:AA$103)+
SUMIF(内壁・間仕切!A$107:AA$107,F437,内壁・間仕切!A$124:AA$124)+
SUMIF(内壁・間仕切!A$128:AA$128,F437,内壁・間仕切!A$145:AA$145)</f>
        <v>0</v>
      </c>
      <c r="AT437" s="2556"/>
      <c r="AU437" s="2556"/>
      <c r="AV437" s="2557"/>
      <c r="AW437" s="2520">
        <f t="shared" ca="1" si="125"/>
        <v>0</v>
      </c>
      <c r="AX437" s="2521"/>
      <c r="AY437" s="2521"/>
      <c r="AZ437" s="2522"/>
      <c r="BA437" s="25" t="b">
        <f t="shared" ca="1" si="126"/>
        <v>0</v>
      </c>
      <c r="BB437"/>
    </row>
    <row r="438" spans="2:54" ht="13.5" customHeight="1">
      <c r="B438" s="2681"/>
      <c r="C438" s="2673"/>
      <c r="D438" s="2682"/>
      <c r="E438" s="322" t="s">
        <v>893</v>
      </c>
      <c r="F438" s="2500" t="s">
        <v>1765</v>
      </c>
      <c r="G438" s="2500"/>
      <c r="H438" s="2500"/>
      <c r="I438" s="2500"/>
      <c r="J438" s="2500"/>
      <c r="K438" s="2500"/>
      <c r="L438" s="2500"/>
      <c r="M438" s="2500"/>
      <c r="N438" s="2500"/>
      <c r="O438" s="2500"/>
      <c r="P438" s="2501"/>
      <c r="Q438" s="2542">
        <v>6383</v>
      </c>
      <c r="R438" s="2518"/>
      <c r="S438" s="2518"/>
      <c r="T438" s="2299" t="s">
        <v>1664</v>
      </c>
      <c r="U438" s="2518" t="s">
        <v>1173</v>
      </c>
      <c r="V438" s="2518"/>
      <c r="W438" s="2518"/>
      <c r="X438" s="2299" t="s">
        <v>895</v>
      </c>
      <c r="Y438" s="2518" t="s">
        <v>1174</v>
      </c>
      <c r="Z438" s="2518"/>
      <c r="AA438" s="2518"/>
      <c r="AB438" s="2299" t="s">
        <v>905</v>
      </c>
      <c r="AC438" s="2518"/>
      <c r="AD438" s="2518"/>
      <c r="AE438" s="2518"/>
      <c r="AF438" s="1380" t="s">
        <v>905</v>
      </c>
      <c r="AG438" s="2518"/>
      <c r="AH438" s="2518"/>
      <c r="AI438" s="2519"/>
      <c r="AJ438" s="2520">
        <f t="shared" si="123"/>
        <v>6380</v>
      </c>
      <c r="AK438" s="2521"/>
      <c r="AL438" s="2522"/>
      <c r="AM438" s="2505">
        <v>1</v>
      </c>
      <c r="AN438" s="2506"/>
      <c r="AO438" s="2507"/>
      <c r="AP438" s="2499">
        <f t="shared" si="124"/>
        <v>6380</v>
      </c>
      <c r="AQ438" s="2500"/>
      <c r="AR438" s="2501"/>
      <c r="AS438" s="2555">
        <f ca="1">SUMIF(見積拾!C$96:D$104,F438,見積拾!T$96:T$104)+
SUMIF(内壁・間仕切!A$65:AA$65,F438,内壁・間仕切!A$82:AA$82)+
SUMIF(内壁・間仕切!A$86:AA$86,F438,内壁・間仕切!A$103:AA$103)+
SUMIF(内壁・間仕切!A$107:AA$107,F438,内壁・間仕切!A$124:AA$124)+
SUMIF(内壁・間仕切!A$128:AA$128,F438,内壁・間仕切!A$145:AA$145)</f>
        <v>0</v>
      </c>
      <c r="AT438" s="2556"/>
      <c r="AU438" s="2556"/>
      <c r="AV438" s="2557"/>
      <c r="AW438" s="2520">
        <f t="shared" ca="1" si="125"/>
        <v>0</v>
      </c>
      <c r="AX438" s="2521"/>
      <c r="AY438" s="2521"/>
      <c r="AZ438" s="2522"/>
      <c r="BA438" s="25" t="b">
        <f t="shared" ca="1" si="126"/>
        <v>0</v>
      </c>
      <c r="BB438"/>
    </row>
    <row r="439" spans="2:54" ht="13.5" customHeight="1">
      <c r="B439" s="2681"/>
      <c r="C439" s="2673"/>
      <c r="D439" s="2682"/>
      <c r="E439" s="322" t="s">
        <v>893</v>
      </c>
      <c r="F439" s="2500" t="s">
        <v>1766</v>
      </c>
      <c r="G439" s="2500"/>
      <c r="H439" s="2500"/>
      <c r="I439" s="2500"/>
      <c r="J439" s="2500"/>
      <c r="K439" s="2500"/>
      <c r="L439" s="2500"/>
      <c r="M439" s="2500"/>
      <c r="N439" s="2500"/>
      <c r="O439" s="2500"/>
      <c r="P439" s="2501"/>
      <c r="Q439" s="2542">
        <v>3921</v>
      </c>
      <c r="R439" s="2518"/>
      <c r="S439" s="2518"/>
      <c r="T439" s="2299" t="s">
        <v>1664</v>
      </c>
      <c r="U439" s="2518" t="s">
        <v>1173</v>
      </c>
      <c r="V439" s="2518"/>
      <c r="W439" s="2518"/>
      <c r="X439" s="2299" t="s">
        <v>895</v>
      </c>
      <c r="Y439" s="2518" t="s">
        <v>1174</v>
      </c>
      <c r="Z439" s="2518"/>
      <c r="AA439" s="2518"/>
      <c r="AB439" s="2299" t="s">
        <v>905</v>
      </c>
      <c r="AC439" s="2518"/>
      <c r="AD439" s="2518"/>
      <c r="AE439" s="2518"/>
      <c r="AF439" s="1380" t="s">
        <v>905</v>
      </c>
      <c r="AG439" s="2518"/>
      <c r="AH439" s="2518"/>
      <c r="AI439" s="2519"/>
      <c r="AJ439" s="2520">
        <f t="shared" si="123"/>
        <v>3920</v>
      </c>
      <c r="AK439" s="2521"/>
      <c r="AL439" s="2522"/>
      <c r="AM439" s="2505">
        <v>1</v>
      </c>
      <c r="AN439" s="2506"/>
      <c r="AO439" s="2507"/>
      <c r="AP439" s="2499">
        <f t="shared" si="124"/>
        <v>3920</v>
      </c>
      <c r="AQ439" s="2500"/>
      <c r="AR439" s="2501"/>
      <c r="AS439" s="2555">
        <f ca="1">SUMIF(見積拾!C$96:D$104,F439,見積拾!T$96:T$104)+
SUMIF(内壁・間仕切!A$65:AA$65,F439,内壁・間仕切!A$82:AA$82)+
SUMIF(内壁・間仕切!A$86:AA$86,F439,内壁・間仕切!A$103:AA$103)+
SUMIF(内壁・間仕切!A$107:AA$107,F439,内壁・間仕切!A$124:AA$124)+
SUMIF(内壁・間仕切!A$128:AA$128,F439,内壁・間仕切!A$145:AA$145)</f>
        <v>0</v>
      </c>
      <c r="AT439" s="2556"/>
      <c r="AU439" s="2556"/>
      <c r="AV439" s="2557"/>
      <c r="AW439" s="2520">
        <f t="shared" ca="1" si="125"/>
        <v>0</v>
      </c>
      <c r="AX439" s="2521"/>
      <c r="AY439" s="2521"/>
      <c r="AZ439" s="2522"/>
      <c r="BA439" s="25" t="b">
        <f t="shared" ca="1" si="126"/>
        <v>0</v>
      </c>
      <c r="BB439"/>
    </row>
    <row r="440" spans="2:54" ht="13.5" customHeight="1">
      <c r="B440" s="2681"/>
      <c r="C440" s="2673"/>
      <c r="D440" s="2682"/>
      <c r="E440" s="322" t="s">
        <v>893</v>
      </c>
      <c r="F440" s="2500" t="s">
        <v>1767</v>
      </c>
      <c r="G440" s="2500"/>
      <c r="H440" s="2500"/>
      <c r="I440" s="2500"/>
      <c r="J440" s="2500"/>
      <c r="K440" s="2500"/>
      <c r="L440" s="2500"/>
      <c r="M440" s="2500"/>
      <c r="N440" s="2500"/>
      <c r="O440" s="2500"/>
      <c r="P440" s="2501"/>
      <c r="Q440" s="2542">
        <v>1230</v>
      </c>
      <c r="R440" s="2518"/>
      <c r="S440" s="2518"/>
      <c r="T440" s="2299" t="s">
        <v>1664</v>
      </c>
      <c r="U440" s="2518" t="s">
        <v>1173</v>
      </c>
      <c r="V440" s="2518"/>
      <c r="W440" s="2518"/>
      <c r="X440" s="2299" t="s">
        <v>895</v>
      </c>
      <c r="Y440" s="2518" t="s">
        <v>1174</v>
      </c>
      <c r="Z440" s="2518"/>
      <c r="AA440" s="2518"/>
      <c r="AB440" s="2299" t="s">
        <v>905</v>
      </c>
      <c r="AC440" s="2518"/>
      <c r="AD440" s="2518"/>
      <c r="AE440" s="2518"/>
      <c r="AF440" s="1380" t="s">
        <v>905</v>
      </c>
      <c r="AG440" s="2518"/>
      <c r="AH440" s="2518"/>
      <c r="AI440" s="2519"/>
      <c r="AJ440" s="2520">
        <f t="shared" si="123"/>
        <v>1230</v>
      </c>
      <c r="AK440" s="2521"/>
      <c r="AL440" s="2522"/>
      <c r="AM440" s="2505">
        <v>1</v>
      </c>
      <c r="AN440" s="2506"/>
      <c r="AO440" s="2507"/>
      <c r="AP440" s="2499">
        <f t="shared" si="124"/>
        <v>1230</v>
      </c>
      <c r="AQ440" s="2500"/>
      <c r="AR440" s="2501"/>
      <c r="AS440" s="2555">
        <f ca="1">SUMIF(見積拾!C$96:D$104,F440,見積拾!T$96:T$104)+
SUMIF(内壁・間仕切!A$65:AA$65,F440,内壁・間仕切!A$82:AA$82)+
SUMIF(内壁・間仕切!A$86:AA$86,F440,内壁・間仕切!A$103:AA$103)+
SUMIF(内壁・間仕切!A$107:AA$107,F440,内壁・間仕切!A$124:AA$124)+
SUMIF(内壁・間仕切!A$128:AA$128,F440,内壁・間仕切!A$145:AA$145)</f>
        <v>0</v>
      </c>
      <c r="AT440" s="2556"/>
      <c r="AU440" s="2556"/>
      <c r="AV440" s="2557"/>
      <c r="AW440" s="2520">
        <f t="shared" ca="1" si="125"/>
        <v>0</v>
      </c>
      <c r="AX440" s="2521"/>
      <c r="AY440" s="2521"/>
      <c r="AZ440" s="2522"/>
      <c r="BA440" s="25" t="b">
        <f t="shared" ca="1" si="126"/>
        <v>0</v>
      </c>
      <c r="BB440"/>
    </row>
    <row r="441" spans="2:54" ht="13.5" customHeight="1">
      <c r="B441" s="2681"/>
      <c r="C441" s="2673"/>
      <c r="D441" s="2682"/>
      <c r="E441" s="322" t="s">
        <v>893</v>
      </c>
      <c r="F441" s="2500" t="s">
        <v>1768</v>
      </c>
      <c r="G441" s="2500"/>
      <c r="H441" s="2500"/>
      <c r="I441" s="2500"/>
      <c r="J441" s="2500"/>
      <c r="K441" s="2500"/>
      <c r="L441" s="2500"/>
      <c r="M441" s="2500"/>
      <c r="N441" s="2500"/>
      <c r="O441" s="2500"/>
      <c r="P441" s="2501"/>
      <c r="Q441" s="2542">
        <v>5071</v>
      </c>
      <c r="R441" s="2518"/>
      <c r="S441" s="2518"/>
      <c r="T441" s="2299" t="s">
        <v>1664</v>
      </c>
      <c r="U441" s="2518">
        <v>1365</v>
      </c>
      <c r="V441" s="2518"/>
      <c r="W441" s="2518"/>
      <c r="X441" s="2299" t="s">
        <v>895</v>
      </c>
      <c r="Y441" s="2518" t="s">
        <v>1174</v>
      </c>
      <c r="Z441" s="2518"/>
      <c r="AA441" s="2518"/>
      <c r="AB441" s="2299" t="s">
        <v>905</v>
      </c>
      <c r="AC441" s="2518"/>
      <c r="AD441" s="2518"/>
      <c r="AE441" s="2518"/>
      <c r="AF441" s="1380" t="s">
        <v>905</v>
      </c>
      <c r="AG441" s="2518"/>
      <c r="AH441" s="2518"/>
      <c r="AI441" s="2519"/>
      <c r="AJ441" s="2520">
        <f t="shared" ref="AJ441:AJ459" si="135">ROUNDDOWN(SUM(Q441:AI441),-1)</f>
        <v>6430</v>
      </c>
      <c r="AK441" s="2521"/>
      <c r="AL441" s="2522"/>
      <c r="AM441" s="2505">
        <v>1</v>
      </c>
      <c r="AN441" s="2506"/>
      <c r="AO441" s="2507"/>
      <c r="AP441" s="2499">
        <f t="shared" ref="AP441:AP459" si="136">INT(AJ441*AM441)</f>
        <v>6430</v>
      </c>
      <c r="AQ441" s="2500"/>
      <c r="AR441" s="2501"/>
      <c r="AS441" s="2555">
        <f ca="1">SUMIF(見積拾!C$96:D$104,F441,見積拾!T$96:T$104)+
SUMIF(内壁・間仕切!A$65:AA$65,F441,内壁・間仕切!A$82:AA$82)+
SUMIF(内壁・間仕切!A$86:AA$86,F441,内壁・間仕切!A$103:AA$103)+
SUMIF(内壁・間仕切!A$107:AA$107,F441,内壁・間仕切!A$124:AA$124)+
SUMIF(内壁・間仕切!A$128:AA$128,F441,内壁・間仕切!A$145:AA$145)</f>
        <v>0</v>
      </c>
      <c r="AT441" s="2556"/>
      <c r="AU441" s="2556"/>
      <c r="AV441" s="2557"/>
      <c r="AW441" s="2520">
        <f t="shared" ref="AW441:AW459" ca="1" si="137">INT(AP441*AS441)</f>
        <v>0</v>
      </c>
      <c r="AX441" s="2521"/>
      <c r="AY441" s="2521"/>
      <c r="AZ441" s="2522"/>
      <c r="BA441" s="25" t="b">
        <f t="shared" ref="BA441:BA459" ca="1" si="138">AW441&lt;&gt;0</f>
        <v>0</v>
      </c>
      <c r="BB441"/>
    </row>
    <row r="442" spans="2:54" ht="13.5" customHeight="1">
      <c r="B442" s="2681"/>
      <c r="C442" s="2673"/>
      <c r="D442" s="2682"/>
      <c r="E442" s="322" t="s">
        <v>893</v>
      </c>
      <c r="F442" s="2500" t="s">
        <v>1769</v>
      </c>
      <c r="G442" s="2500"/>
      <c r="H442" s="2500"/>
      <c r="I442" s="2500"/>
      <c r="J442" s="2500"/>
      <c r="K442" s="2500"/>
      <c r="L442" s="2500"/>
      <c r="M442" s="2500"/>
      <c r="N442" s="2500"/>
      <c r="O442" s="2500"/>
      <c r="P442" s="2501"/>
      <c r="Q442" s="2542">
        <v>2901</v>
      </c>
      <c r="R442" s="2518"/>
      <c r="S442" s="2518"/>
      <c r="T442" s="2299" t="s">
        <v>1664</v>
      </c>
      <c r="U442" s="2518" t="s">
        <v>1173</v>
      </c>
      <c r="V442" s="2518"/>
      <c r="W442" s="2518"/>
      <c r="X442" s="2299" t="s">
        <v>895</v>
      </c>
      <c r="Y442" s="2518" t="s">
        <v>1174</v>
      </c>
      <c r="Z442" s="2518"/>
      <c r="AA442" s="2518"/>
      <c r="AB442" s="2299" t="s">
        <v>905</v>
      </c>
      <c r="AC442" s="2518"/>
      <c r="AD442" s="2518"/>
      <c r="AE442" s="2518"/>
      <c r="AF442" s="1380" t="s">
        <v>905</v>
      </c>
      <c r="AG442" s="2518"/>
      <c r="AH442" s="2518"/>
      <c r="AI442" s="2519"/>
      <c r="AJ442" s="2520">
        <f t="shared" si="135"/>
        <v>2900</v>
      </c>
      <c r="AK442" s="2521"/>
      <c r="AL442" s="2522"/>
      <c r="AM442" s="2505">
        <v>1</v>
      </c>
      <c r="AN442" s="2506"/>
      <c r="AO442" s="2507"/>
      <c r="AP442" s="2499">
        <f t="shared" si="136"/>
        <v>2900</v>
      </c>
      <c r="AQ442" s="2500"/>
      <c r="AR442" s="2501"/>
      <c r="AS442" s="2555">
        <f ca="1">SUMIF(見積拾!C$96:D$104,F442,見積拾!T$96:T$104)+
SUMIF(内壁・間仕切!A$65:AA$65,F442,内壁・間仕切!A$82:AA$82)+
SUMIF(内壁・間仕切!A$86:AA$86,F442,内壁・間仕切!A$103:AA$103)+
SUMIF(内壁・間仕切!A$107:AA$107,F442,内壁・間仕切!A$124:AA$124)+
SUMIF(内壁・間仕切!A$128:AA$128,F442,内壁・間仕切!A$145:AA$145)</f>
        <v>0</v>
      </c>
      <c r="AT442" s="2556"/>
      <c r="AU442" s="2556"/>
      <c r="AV442" s="2557"/>
      <c r="AW442" s="2520">
        <f t="shared" ca="1" si="137"/>
        <v>0</v>
      </c>
      <c r="AX442" s="2521"/>
      <c r="AY442" s="2521"/>
      <c r="AZ442" s="2522"/>
      <c r="BA442" s="25" t="b">
        <f t="shared" ca="1" si="138"/>
        <v>0</v>
      </c>
      <c r="BB442"/>
    </row>
    <row r="443" spans="2:54" ht="13.5" customHeight="1">
      <c r="B443" s="2681"/>
      <c r="C443" s="2673"/>
      <c r="D443" s="2682"/>
      <c r="E443" s="322" t="s">
        <v>893</v>
      </c>
      <c r="F443" s="2500" t="s">
        <v>1770</v>
      </c>
      <c r="G443" s="2500"/>
      <c r="H443" s="2500"/>
      <c r="I443" s="2500"/>
      <c r="J443" s="2500"/>
      <c r="K443" s="2500"/>
      <c r="L443" s="2500"/>
      <c r="M443" s="2500"/>
      <c r="N443" s="2500"/>
      <c r="O443" s="2500"/>
      <c r="P443" s="2501"/>
      <c r="Q443" s="2542">
        <v>1181</v>
      </c>
      <c r="R443" s="2518"/>
      <c r="S443" s="2518"/>
      <c r="T443" s="2299" t="s">
        <v>1664</v>
      </c>
      <c r="U443" s="2518" t="s">
        <v>1173</v>
      </c>
      <c r="V443" s="2518"/>
      <c r="W443" s="2518"/>
      <c r="X443" s="2299" t="s">
        <v>895</v>
      </c>
      <c r="Y443" s="2518" t="s">
        <v>1174</v>
      </c>
      <c r="Z443" s="2518"/>
      <c r="AA443" s="2518"/>
      <c r="AB443" s="2299" t="s">
        <v>945</v>
      </c>
      <c r="AC443" s="2518"/>
      <c r="AD443" s="2518"/>
      <c r="AE443" s="2518"/>
      <c r="AF443" s="1380" t="s">
        <v>945</v>
      </c>
      <c r="AG443" s="2518"/>
      <c r="AH443" s="2518"/>
      <c r="AI443" s="2519"/>
      <c r="AJ443" s="2520">
        <f t="shared" si="135"/>
        <v>1180</v>
      </c>
      <c r="AK443" s="2521"/>
      <c r="AL443" s="2522"/>
      <c r="AM443" s="2505">
        <v>1</v>
      </c>
      <c r="AN443" s="2506"/>
      <c r="AO443" s="2507"/>
      <c r="AP443" s="2499">
        <f t="shared" si="136"/>
        <v>1180</v>
      </c>
      <c r="AQ443" s="2500"/>
      <c r="AR443" s="2501"/>
      <c r="AS443" s="2555">
        <f ca="1">SUMIF(見積拾!C$96:D$104,F443,見積拾!T$96:T$104)+
SUMIF(内壁・間仕切!A$65:AA$65,F443,内壁・間仕切!A$82:AA$82)+
SUMIF(内壁・間仕切!A$86:AA$86,F443,内壁・間仕切!A$103:AA$103)+
SUMIF(内壁・間仕切!A$107:AA$107,F443,内壁・間仕切!A$124:AA$124)+
SUMIF(内壁・間仕切!A$128:AA$128,F443,内壁・間仕切!A$145:AA$145)</f>
        <v>0</v>
      </c>
      <c r="AT443" s="2556"/>
      <c r="AU443" s="2556"/>
      <c r="AV443" s="2557"/>
      <c r="AW443" s="2520">
        <f t="shared" ca="1" si="137"/>
        <v>0</v>
      </c>
      <c r="AX443" s="2521"/>
      <c r="AY443" s="2521"/>
      <c r="AZ443" s="2522"/>
      <c r="BA443" s="25" t="b">
        <f t="shared" ca="1" si="138"/>
        <v>0</v>
      </c>
      <c r="BB443"/>
    </row>
    <row r="444" spans="2:54" ht="13.5" customHeight="1">
      <c r="B444" s="2681"/>
      <c r="C444" s="2673"/>
      <c r="D444" s="2682"/>
      <c r="E444" s="2089" t="s">
        <v>893</v>
      </c>
      <c r="F444" s="2500" t="s">
        <v>1771</v>
      </c>
      <c r="G444" s="2500"/>
      <c r="H444" s="2500"/>
      <c r="I444" s="2500"/>
      <c r="J444" s="2500"/>
      <c r="K444" s="2500"/>
      <c r="L444" s="2500"/>
      <c r="M444" s="2500"/>
      <c r="N444" s="2500"/>
      <c r="O444" s="2500"/>
      <c r="P444" s="2501"/>
      <c r="Q444" s="2542">
        <v>2437</v>
      </c>
      <c r="R444" s="2518"/>
      <c r="S444" s="2518"/>
      <c r="T444" s="2299" t="s">
        <v>1664</v>
      </c>
      <c r="U444" s="2518">
        <v>2530</v>
      </c>
      <c r="V444" s="2518"/>
      <c r="W444" s="2518"/>
      <c r="X444" s="2299" t="s">
        <v>895</v>
      </c>
      <c r="Y444" s="2518" t="s">
        <v>1174</v>
      </c>
      <c r="Z444" s="2518"/>
      <c r="AA444" s="2518"/>
      <c r="AB444" s="1388" t="s">
        <v>64</v>
      </c>
      <c r="AC444" s="2518"/>
      <c r="AD444" s="2518"/>
      <c r="AE444" s="2518"/>
      <c r="AF444" s="1388" t="s">
        <v>64</v>
      </c>
      <c r="AG444" s="2518"/>
      <c r="AH444" s="2518"/>
      <c r="AI444" s="2519"/>
      <c r="AJ444" s="2543">
        <f t="shared" ref="AJ444:AJ446" si="139">ROUNDDOWN(SUM(Q444:AI444),-1)</f>
        <v>4960</v>
      </c>
      <c r="AK444" s="2544"/>
      <c r="AL444" s="2545"/>
      <c r="AM444" s="2505">
        <v>1</v>
      </c>
      <c r="AN444" s="2506"/>
      <c r="AO444" s="2507"/>
      <c r="AP444" s="2499">
        <f t="shared" ref="AP444:AP446" si="140">INT(AJ444*AM444)</f>
        <v>4960</v>
      </c>
      <c r="AQ444" s="2500"/>
      <c r="AR444" s="2501"/>
      <c r="AS444" s="2555">
        <f ca="1">SUMIF(見積拾!C$96:D$104,F444,見積拾!T$96:T$104)+
SUMIF(内壁・間仕切!A$65:AA$65,F444,内壁・間仕切!A$82:AA$82)+
SUMIF(内壁・間仕切!A$86:AA$86,F444,内壁・間仕切!A$103:AA$103)+
SUMIF(内壁・間仕切!A$107:AA$107,F444,内壁・間仕切!A$124:AA$124)+
SUMIF(内壁・間仕切!A$128:AA$128,F444,内壁・間仕切!A$145:AA$145)</f>
        <v>0</v>
      </c>
      <c r="AT444" s="2556"/>
      <c r="AU444" s="2556"/>
      <c r="AV444" s="2557"/>
      <c r="AW444" s="2520">
        <f t="shared" ref="AW444:AW446" ca="1" si="141">INT(AP444*AS444)</f>
        <v>0</v>
      </c>
      <c r="AX444" s="2521"/>
      <c r="AY444" s="2521"/>
      <c r="AZ444" s="2522"/>
      <c r="BA444" s="25" t="b">
        <f t="shared" ref="BA444:BA446" ca="1" si="142">AW444&lt;&gt;0</f>
        <v>0</v>
      </c>
      <c r="BB444"/>
    </row>
    <row r="445" spans="2:54" ht="13.5" customHeight="1">
      <c r="B445" s="2681"/>
      <c r="C445" s="2673"/>
      <c r="D445" s="2682"/>
      <c r="E445" s="327" t="s">
        <v>392</v>
      </c>
      <c r="F445" s="2527" t="s">
        <v>898</v>
      </c>
      <c r="G445" s="2527"/>
      <c r="H445" s="2527"/>
      <c r="I445" s="2527"/>
      <c r="J445" s="2527"/>
      <c r="K445" s="2527"/>
      <c r="L445" s="2527"/>
      <c r="M445" s="2527"/>
      <c r="N445" s="2527"/>
      <c r="O445" s="2527"/>
      <c r="P445" s="2786"/>
      <c r="Q445" s="2724"/>
      <c r="R445" s="2527"/>
      <c r="S445" s="2527"/>
      <c r="T445" s="1388" t="s">
        <v>64</v>
      </c>
      <c r="U445" s="2527"/>
      <c r="V445" s="2527"/>
      <c r="W445" s="2527"/>
      <c r="X445" s="1388" t="s">
        <v>64</v>
      </c>
      <c r="Y445" s="2527"/>
      <c r="Z445" s="2527"/>
      <c r="AA445" s="2527"/>
      <c r="AB445" s="1388" t="s">
        <v>64</v>
      </c>
      <c r="AC445" s="2527"/>
      <c r="AD445" s="2527"/>
      <c r="AE445" s="2527"/>
      <c r="AF445" s="1388" t="s">
        <v>64</v>
      </c>
      <c r="AG445" s="2527"/>
      <c r="AH445" s="2527"/>
      <c r="AI445" s="2786"/>
      <c r="AJ445" s="2543">
        <f t="shared" si="139"/>
        <v>0</v>
      </c>
      <c r="AK445" s="2544"/>
      <c r="AL445" s="2545"/>
      <c r="AM445" s="2505">
        <v>1</v>
      </c>
      <c r="AN445" s="2506"/>
      <c r="AO445" s="2507"/>
      <c r="AP445" s="2499">
        <f t="shared" si="140"/>
        <v>0</v>
      </c>
      <c r="AQ445" s="2500"/>
      <c r="AR445" s="2501"/>
      <c r="AS445" s="2555">
        <f ca="1">SUMIF(見積拾!C$96:D$104,F445,見積拾!T$96:T$104)+
SUMIF(内壁・間仕切!A$65:AA$65,F445,内壁・間仕切!A$82:AA$82)+
SUMIF(内壁・間仕切!A$86:AA$86,F445,内壁・間仕切!A$103:AA$103)+
SUMIF(内壁・間仕切!A$107:AA$107,F445,内壁・間仕切!A$124:AA$124)+
SUMIF(内壁・間仕切!A$128:AA$128,F445,内壁・間仕切!A$145:AA$145)</f>
        <v>0</v>
      </c>
      <c r="AT445" s="2556"/>
      <c r="AU445" s="2556"/>
      <c r="AV445" s="2557"/>
      <c r="AW445" s="2520">
        <f t="shared" ca="1" si="141"/>
        <v>0</v>
      </c>
      <c r="AX445" s="2521"/>
      <c r="AY445" s="2521"/>
      <c r="AZ445" s="2522"/>
      <c r="BA445" s="25" t="b">
        <f t="shared" ca="1" si="142"/>
        <v>0</v>
      </c>
      <c r="BB445"/>
    </row>
    <row r="446" spans="2:54" ht="13.5" customHeight="1">
      <c r="B446" s="2681"/>
      <c r="C446" s="2673"/>
      <c r="D446" s="2682"/>
      <c r="E446" s="327" t="s">
        <v>392</v>
      </c>
      <c r="F446" s="2527" t="s">
        <v>898</v>
      </c>
      <c r="G446" s="2527"/>
      <c r="H446" s="2527"/>
      <c r="I446" s="2527"/>
      <c r="J446" s="2527"/>
      <c r="K446" s="2527"/>
      <c r="L446" s="2527"/>
      <c r="M446" s="2527"/>
      <c r="N446" s="2527"/>
      <c r="O446" s="2527"/>
      <c r="P446" s="2786"/>
      <c r="Q446" s="2724"/>
      <c r="R446" s="2527"/>
      <c r="S446" s="2527"/>
      <c r="T446" s="1388" t="s">
        <v>64</v>
      </c>
      <c r="U446" s="2527"/>
      <c r="V446" s="2527"/>
      <c r="W446" s="2527"/>
      <c r="X446" s="1388" t="s">
        <v>64</v>
      </c>
      <c r="Y446" s="2527"/>
      <c r="Z446" s="2527"/>
      <c r="AA446" s="2527"/>
      <c r="AB446" s="1388" t="s">
        <v>64</v>
      </c>
      <c r="AC446" s="2527"/>
      <c r="AD446" s="2527"/>
      <c r="AE446" s="2527"/>
      <c r="AF446" s="1388" t="s">
        <v>64</v>
      </c>
      <c r="AG446" s="2527"/>
      <c r="AH446" s="2527"/>
      <c r="AI446" s="2786"/>
      <c r="AJ446" s="2543">
        <f t="shared" si="139"/>
        <v>0</v>
      </c>
      <c r="AK446" s="2544"/>
      <c r="AL446" s="2545"/>
      <c r="AM446" s="2505">
        <v>1</v>
      </c>
      <c r="AN446" s="2506"/>
      <c r="AO446" s="2507"/>
      <c r="AP446" s="2499">
        <f t="shared" si="140"/>
        <v>0</v>
      </c>
      <c r="AQ446" s="2500"/>
      <c r="AR446" s="2501"/>
      <c r="AS446" s="2555">
        <f ca="1">SUMIF(見積拾!C$96:D$104,F446,見積拾!T$96:T$104)+
SUMIF(内壁・間仕切!A$65:AA$65,F446,内壁・間仕切!A$82:AA$82)+
SUMIF(内壁・間仕切!A$86:AA$86,F446,内壁・間仕切!A$103:AA$103)+
SUMIF(内壁・間仕切!A$107:AA$107,F446,内壁・間仕切!A$124:AA$124)+
SUMIF(内壁・間仕切!A$128:AA$128,F446,内壁・間仕切!A$145:AA$145)</f>
        <v>0</v>
      </c>
      <c r="AT446" s="2556"/>
      <c r="AU446" s="2556"/>
      <c r="AV446" s="2557"/>
      <c r="AW446" s="2520">
        <f t="shared" ca="1" si="141"/>
        <v>0</v>
      </c>
      <c r="AX446" s="2521"/>
      <c r="AY446" s="2521"/>
      <c r="AZ446" s="2522"/>
      <c r="BA446" s="25" t="b">
        <f t="shared" ca="1" si="142"/>
        <v>0</v>
      </c>
      <c r="BB446"/>
    </row>
    <row r="447" spans="2:54" ht="13.5" customHeight="1">
      <c r="B447" s="2681"/>
      <c r="C447" s="2673"/>
      <c r="D447" s="2682"/>
      <c r="E447" s="327" t="s">
        <v>392</v>
      </c>
      <c r="F447" s="2527" t="s">
        <v>898</v>
      </c>
      <c r="G447" s="2527"/>
      <c r="H447" s="2527"/>
      <c r="I447" s="2527"/>
      <c r="J447" s="2527"/>
      <c r="K447" s="2527"/>
      <c r="L447" s="2527"/>
      <c r="M447" s="2527"/>
      <c r="N447" s="2527"/>
      <c r="O447" s="2527"/>
      <c r="P447" s="2786"/>
      <c r="Q447" s="2724"/>
      <c r="R447" s="2527"/>
      <c r="S447" s="2527"/>
      <c r="T447" s="1388" t="s">
        <v>907</v>
      </c>
      <c r="U447" s="2527"/>
      <c r="V447" s="2527"/>
      <c r="W447" s="2527"/>
      <c r="X447" s="1388" t="s">
        <v>907</v>
      </c>
      <c r="Y447" s="2527"/>
      <c r="Z447" s="2527"/>
      <c r="AA447" s="2527"/>
      <c r="AB447" s="1388" t="s">
        <v>907</v>
      </c>
      <c r="AC447" s="2527"/>
      <c r="AD447" s="2527"/>
      <c r="AE447" s="2527"/>
      <c r="AF447" s="1388" t="s">
        <v>907</v>
      </c>
      <c r="AG447" s="2527"/>
      <c r="AH447" s="2527"/>
      <c r="AI447" s="2786"/>
      <c r="AJ447" s="2543">
        <f t="shared" si="135"/>
        <v>0</v>
      </c>
      <c r="AK447" s="2544"/>
      <c r="AL447" s="2545"/>
      <c r="AM447" s="2505">
        <v>1</v>
      </c>
      <c r="AN447" s="2506"/>
      <c r="AO447" s="2507"/>
      <c r="AP447" s="2499">
        <f t="shared" si="136"/>
        <v>0</v>
      </c>
      <c r="AQ447" s="2500"/>
      <c r="AR447" s="2501"/>
      <c r="AS447" s="2555">
        <f ca="1">SUMIF(見積拾!C$96:D$104,F447,見積拾!T$96:T$104)+
SUMIF(内壁・間仕切!A$65:AA$65,F447,内壁・間仕切!A$82:AA$82)+
SUMIF(内壁・間仕切!A$86:AA$86,F447,内壁・間仕切!A$103:AA$103)+
SUMIF(内壁・間仕切!A$107:AA$107,F447,内壁・間仕切!A$124:AA$124)+
SUMIF(内壁・間仕切!A$128:AA$128,F447,内壁・間仕切!A$145:AA$145)</f>
        <v>0</v>
      </c>
      <c r="AT447" s="2556"/>
      <c r="AU447" s="2556"/>
      <c r="AV447" s="2557"/>
      <c r="AW447" s="2520">
        <f t="shared" ca="1" si="137"/>
        <v>0</v>
      </c>
      <c r="AX447" s="2521"/>
      <c r="AY447" s="2521"/>
      <c r="AZ447" s="2522"/>
      <c r="BA447" s="25" t="b">
        <f t="shared" ca="1" si="138"/>
        <v>0</v>
      </c>
      <c r="BB447"/>
    </row>
    <row r="448" spans="2:54" ht="13.5" customHeight="1">
      <c r="B448" s="2681"/>
      <c r="C448" s="2673"/>
      <c r="D448" s="2682"/>
      <c r="E448" s="327" t="s">
        <v>918</v>
      </c>
      <c r="F448" s="2527" t="s">
        <v>898</v>
      </c>
      <c r="G448" s="2527"/>
      <c r="H448" s="2527"/>
      <c r="I448" s="2527"/>
      <c r="J448" s="2527"/>
      <c r="K448" s="2527"/>
      <c r="L448" s="2527"/>
      <c r="M448" s="2527"/>
      <c r="N448" s="2527"/>
      <c r="O448" s="2527"/>
      <c r="P448" s="2786"/>
      <c r="Q448" s="2724"/>
      <c r="R448" s="2527"/>
      <c r="S448" s="2527"/>
      <c r="T448" s="1388" t="s">
        <v>907</v>
      </c>
      <c r="U448" s="2527"/>
      <c r="V448" s="2527"/>
      <c r="W448" s="2527"/>
      <c r="X448" s="1388" t="s">
        <v>907</v>
      </c>
      <c r="Y448" s="2527"/>
      <c r="Z448" s="2527"/>
      <c r="AA448" s="2527"/>
      <c r="AB448" s="1388" t="s">
        <v>907</v>
      </c>
      <c r="AC448" s="2527"/>
      <c r="AD448" s="2527"/>
      <c r="AE448" s="2527"/>
      <c r="AF448" s="1388" t="s">
        <v>907</v>
      </c>
      <c r="AG448" s="2527"/>
      <c r="AH448" s="2527"/>
      <c r="AI448" s="2786"/>
      <c r="AJ448" s="2543">
        <f t="shared" si="135"/>
        <v>0</v>
      </c>
      <c r="AK448" s="2544"/>
      <c r="AL448" s="2545"/>
      <c r="AM448" s="2505">
        <v>1</v>
      </c>
      <c r="AN448" s="2506"/>
      <c r="AO448" s="2507"/>
      <c r="AP448" s="2499">
        <f t="shared" si="136"/>
        <v>0</v>
      </c>
      <c r="AQ448" s="2500"/>
      <c r="AR448" s="2501"/>
      <c r="AS448" s="2555">
        <f ca="1">SUMIF(見積拾!C$96:D$104,F448,見積拾!T$96:T$104)+
SUMIF(内壁・間仕切!A$65:AA$65,F448,内壁・間仕切!A$82:AA$82)+
SUMIF(内壁・間仕切!A$86:AA$86,F448,内壁・間仕切!A$103:AA$103)+
SUMIF(内壁・間仕切!A$107:AA$107,F448,内壁・間仕切!A$124:AA$124)+
SUMIF(内壁・間仕切!A$128:AA$128,F448,内壁・間仕切!A$145:AA$145)</f>
        <v>0</v>
      </c>
      <c r="AT448" s="2556"/>
      <c r="AU448" s="2556"/>
      <c r="AV448" s="2557"/>
      <c r="AW448" s="2520">
        <f t="shared" ca="1" si="137"/>
        <v>0</v>
      </c>
      <c r="AX448" s="2521"/>
      <c r="AY448" s="2521"/>
      <c r="AZ448" s="2522"/>
      <c r="BA448" s="25" t="b">
        <f t="shared" ca="1" si="138"/>
        <v>0</v>
      </c>
      <c r="BB448"/>
    </row>
    <row r="449" spans="2:54" ht="13.5" customHeight="1">
      <c r="B449" s="2681"/>
      <c r="C449" s="2673"/>
      <c r="D449" s="2682"/>
      <c r="E449" s="328" t="s">
        <v>918</v>
      </c>
      <c r="F449" s="2693" t="s">
        <v>898</v>
      </c>
      <c r="G449" s="2693"/>
      <c r="H449" s="2693"/>
      <c r="I449" s="2693"/>
      <c r="J449" s="2693"/>
      <c r="K449" s="2693"/>
      <c r="L449" s="2693"/>
      <c r="M449" s="2693"/>
      <c r="N449" s="2693"/>
      <c r="O449" s="2693"/>
      <c r="P449" s="3114"/>
      <c r="Q449" s="3083"/>
      <c r="R449" s="2693"/>
      <c r="S449" s="2693"/>
      <c r="T449" s="1389" t="s">
        <v>907</v>
      </c>
      <c r="U449" s="2693"/>
      <c r="V449" s="2693"/>
      <c r="W449" s="2693"/>
      <c r="X449" s="1389" t="s">
        <v>907</v>
      </c>
      <c r="Y449" s="2693"/>
      <c r="Z449" s="2693"/>
      <c r="AA449" s="2693"/>
      <c r="AB449" s="1389" t="s">
        <v>907</v>
      </c>
      <c r="AC449" s="2693"/>
      <c r="AD449" s="2693"/>
      <c r="AE449" s="2693"/>
      <c r="AF449" s="1389" t="s">
        <v>907</v>
      </c>
      <c r="AG449" s="2693"/>
      <c r="AH449" s="2693"/>
      <c r="AI449" s="3114"/>
      <c r="AJ449" s="2662">
        <f t="shared" si="135"/>
        <v>0</v>
      </c>
      <c r="AK449" s="2663"/>
      <c r="AL449" s="2664"/>
      <c r="AM449" s="2558">
        <v>1</v>
      </c>
      <c r="AN449" s="2559"/>
      <c r="AO449" s="2560"/>
      <c r="AP449" s="2662">
        <f t="shared" si="136"/>
        <v>0</v>
      </c>
      <c r="AQ449" s="2663"/>
      <c r="AR449" s="2664"/>
      <c r="AS449" s="2555">
        <f ca="1">SUMIF(見積拾!C$96:D$104,F449,見積拾!T$96:T$104)+
SUMIF(内壁・間仕切!A$65:AA$65,F449,内壁・間仕切!A$82:AA$82)+
SUMIF(内壁・間仕切!A$86:AA$86,F449,内壁・間仕切!A$103:AA$103)+
SUMIF(内壁・間仕切!A$107:AA$107,F449,内壁・間仕切!A$124:AA$124)+
SUMIF(内壁・間仕切!A$128:AA$128,F449,内壁・間仕切!A$145:AA$145)</f>
        <v>0</v>
      </c>
      <c r="AT449" s="2556"/>
      <c r="AU449" s="2556"/>
      <c r="AV449" s="2557"/>
      <c r="AW449" s="2665">
        <f t="shared" ca="1" si="137"/>
        <v>0</v>
      </c>
      <c r="AX449" s="2666"/>
      <c r="AY449" s="2666"/>
      <c r="AZ449" s="2667"/>
      <c r="BA449" s="25" t="b">
        <f t="shared" ca="1" si="138"/>
        <v>0</v>
      </c>
      <c r="BB449"/>
    </row>
    <row r="450" spans="2:54" ht="13.5" customHeight="1">
      <c r="B450" s="2681"/>
      <c r="C450" s="2673"/>
      <c r="D450" s="2682"/>
      <c r="E450" s="2789" t="s">
        <v>1271</v>
      </c>
      <c r="F450" s="2790"/>
      <c r="G450" s="335" t="s">
        <v>893</v>
      </c>
      <c r="H450" s="3093" t="s">
        <v>940</v>
      </c>
      <c r="I450" s="3093"/>
      <c r="J450" s="3093"/>
      <c r="K450" s="3093"/>
      <c r="L450" s="3093"/>
      <c r="M450" s="3093"/>
      <c r="N450" s="3093"/>
      <c r="O450" s="3093"/>
      <c r="P450" s="3094"/>
      <c r="Q450" s="2787">
        <v>2900</v>
      </c>
      <c r="R450" s="2728"/>
      <c r="S450" s="2728"/>
      <c r="T450" s="336" t="s">
        <v>64</v>
      </c>
      <c r="U450" s="2690" t="s">
        <v>1173</v>
      </c>
      <c r="V450" s="2690"/>
      <c r="W450" s="2690"/>
      <c r="X450" s="336" t="s">
        <v>64</v>
      </c>
      <c r="Y450" s="2690" t="s">
        <v>1174</v>
      </c>
      <c r="Z450" s="2690"/>
      <c r="AA450" s="2690"/>
      <c r="AB450" s="336" t="s">
        <v>64</v>
      </c>
      <c r="AC450" s="2728"/>
      <c r="AD450" s="2728"/>
      <c r="AE450" s="2728"/>
      <c r="AF450" s="336" t="s">
        <v>64</v>
      </c>
      <c r="AG450" s="2728"/>
      <c r="AH450" s="2728"/>
      <c r="AI450" s="2728"/>
      <c r="AJ450" s="2609">
        <f t="shared" si="135"/>
        <v>2900</v>
      </c>
      <c r="AK450" s="2610"/>
      <c r="AL450" s="2611"/>
      <c r="AM450" s="2644">
        <v>1</v>
      </c>
      <c r="AN450" s="2645"/>
      <c r="AO450" s="2692"/>
      <c r="AP450" s="2651">
        <f t="shared" si="136"/>
        <v>2900</v>
      </c>
      <c r="AQ450" s="2652"/>
      <c r="AR450" s="2653"/>
      <c r="AS450" s="3084">
        <f>+SUMIF(見積拾!D$105:D$109,H450,見積拾!T$105:T$109)+
SUMIF(内壁・間仕切!A$66:AA$66,H450,内壁・間仕切!A$82:AA$82)+SUMIF(内壁・間仕切!A$67:AA$67,H450,内壁・間仕切!A$82:AA$82)
+SUMIF(内壁・間仕切!A$87:AA$87,H450,内壁・間仕切!A$103:AA$103)+SUMIF(内壁・間仕切!A$88:AA$88,H450,内壁・間仕切!A$103:AA$103)
+SUMIF(内壁・間仕切!A$108:AA$108,H450,内壁・間仕切!A$124:AA$124)+SUMIF(内壁・間仕切!A$109:AA$109,H450,内壁・間仕切!A$124:AA$124)
+SUMIF(内壁・間仕切!A$129:AA$129,H450,内壁・間仕切!A$145:AA$145)+SUMIF(内壁・間仕切!A$130:AA$130,H450,内壁・間仕切!A$145:AA$145)</f>
        <v>0</v>
      </c>
      <c r="AT450" s="3085"/>
      <c r="AU450" s="3085"/>
      <c r="AV450" s="3086"/>
      <c r="AW450" s="2609">
        <f t="shared" si="137"/>
        <v>0</v>
      </c>
      <c r="AX450" s="2610"/>
      <c r="AY450" s="2610"/>
      <c r="AZ450" s="2611"/>
      <c r="BA450" s="25" t="b">
        <f t="shared" si="138"/>
        <v>0</v>
      </c>
    </row>
    <row r="451" spans="2:54" ht="13.5" customHeight="1">
      <c r="B451" s="2681"/>
      <c r="C451" s="2673"/>
      <c r="D451" s="2682"/>
      <c r="E451" s="2734"/>
      <c r="F451" s="2674"/>
      <c r="G451" s="337" t="s">
        <v>893</v>
      </c>
      <c r="H451" s="2712" t="s">
        <v>941</v>
      </c>
      <c r="I451" s="2712"/>
      <c r="J451" s="2712"/>
      <c r="K451" s="2712"/>
      <c r="L451" s="2712"/>
      <c r="M451" s="2712"/>
      <c r="N451" s="2712"/>
      <c r="O451" s="2712"/>
      <c r="P451" s="2713"/>
      <c r="Q451" s="2694">
        <v>1360</v>
      </c>
      <c r="R451" s="2689"/>
      <c r="S451" s="2689"/>
      <c r="T451" s="326" t="s">
        <v>64</v>
      </c>
      <c r="U451" s="2687" t="s">
        <v>1173</v>
      </c>
      <c r="V451" s="2687"/>
      <c r="W451" s="2687"/>
      <c r="X451" s="326" t="s">
        <v>64</v>
      </c>
      <c r="Y451" s="2687" t="s">
        <v>1174</v>
      </c>
      <c r="Z451" s="2687"/>
      <c r="AA451" s="2687"/>
      <c r="AB451" s="326" t="s">
        <v>64</v>
      </c>
      <c r="AC451" s="2689"/>
      <c r="AD451" s="2689"/>
      <c r="AE451" s="2689"/>
      <c r="AF451" s="326" t="s">
        <v>64</v>
      </c>
      <c r="AG451" s="2689"/>
      <c r="AH451" s="2689"/>
      <c r="AI451" s="2689"/>
      <c r="AJ451" s="2561">
        <f t="shared" si="135"/>
        <v>1360</v>
      </c>
      <c r="AK451" s="2562"/>
      <c r="AL451" s="2563"/>
      <c r="AM451" s="2502">
        <v>1</v>
      </c>
      <c r="AN451" s="2503"/>
      <c r="AO451" s="2504"/>
      <c r="AP451" s="2499">
        <f t="shared" si="136"/>
        <v>1360</v>
      </c>
      <c r="AQ451" s="2500"/>
      <c r="AR451" s="2501"/>
      <c r="AS451" s="2555">
        <f>+SUMIF(見積拾!D$105:D$109,H451,見積拾!T$105:T$109)+
SUMIF(内壁・間仕切!A$66:AA$66,H451,内壁・間仕切!A$82:AA$82)+SUMIF(内壁・間仕切!A$67:AA$67,H451,内壁・間仕切!A$82:AA$82)
+SUMIF(内壁・間仕切!A$87:AA$87,H451,内壁・間仕切!A$103:AA$103)+SUMIF(内壁・間仕切!A$88:AA$88,H451,内壁・間仕切!A$103:AA$103)
+SUMIF(内壁・間仕切!A$108:AA$108,H451,内壁・間仕切!A$124:AA$124)+SUMIF(内壁・間仕切!A$109:AA$109,H451,内壁・間仕切!A$124:AA$124)
+SUMIF(内壁・間仕切!A$129:AA$129,H451,内壁・間仕切!A$145:AA$145)+SUMIF(内壁・間仕切!A$130:AA$130,H451,内壁・間仕切!A$145:AA$145)</f>
        <v>0</v>
      </c>
      <c r="AT451" s="2556"/>
      <c r="AU451" s="2556"/>
      <c r="AV451" s="2557"/>
      <c r="AW451" s="2561">
        <f t="shared" si="137"/>
        <v>0</v>
      </c>
      <c r="AX451" s="2562"/>
      <c r="AY451" s="2562"/>
      <c r="AZ451" s="2563"/>
      <c r="BA451" s="25" t="b">
        <f t="shared" si="138"/>
        <v>0</v>
      </c>
    </row>
    <row r="452" spans="2:54" ht="13.5" customHeight="1">
      <c r="B452" s="2681"/>
      <c r="C452" s="2673"/>
      <c r="D452" s="2682"/>
      <c r="E452" s="2734"/>
      <c r="F452" s="2674"/>
      <c r="G452" s="337" t="s">
        <v>893</v>
      </c>
      <c r="H452" s="2712" t="s">
        <v>942</v>
      </c>
      <c r="I452" s="2712"/>
      <c r="J452" s="2712"/>
      <c r="K452" s="2712"/>
      <c r="L452" s="2712"/>
      <c r="M452" s="2712"/>
      <c r="N452" s="2712"/>
      <c r="O452" s="2712"/>
      <c r="P452" s="2713"/>
      <c r="Q452" s="2694">
        <v>930</v>
      </c>
      <c r="R452" s="2689"/>
      <c r="S452" s="2689"/>
      <c r="T452" s="326" t="s">
        <v>64</v>
      </c>
      <c r="U452" s="2687" t="s">
        <v>1173</v>
      </c>
      <c r="V452" s="2687"/>
      <c r="W452" s="2687"/>
      <c r="X452" s="326" t="s">
        <v>64</v>
      </c>
      <c r="Y452" s="2687" t="s">
        <v>1174</v>
      </c>
      <c r="Z452" s="2687"/>
      <c r="AA452" s="2687"/>
      <c r="AB452" s="326" t="s">
        <v>64</v>
      </c>
      <c r="AC452" s="2689"/>
      <c r="AD452" s="2689"/>
      <c r="AE452" s="2689"/>
      <c r="AF452" s="326" t="s">
        <v>64</v>
      </c>
      <c r="AG452" s="2689"/>
      <c r="AH452" s="2689"/>
      <c r="AI452" s="2689"/>
      <c r="AJ452" s="2561">
        <f t="shared" si="135"/>
        <v>930</v>
      </c>
      <c r="AK452" s="2562"/>
      <c r="AL452" s="2563"/>
      <c r="AM452" s="2502">
        <v>1</v>
      </c>
      <c r="AN452" s="2503"/>
      <c r="AO452" s="2504"/>
      <c r="AP452" s="2499">
        <f t="shared" si="136"/>
        <v>930</v>
      </c>
      <c r="AQ452" s="2500"/>
      <c r="AR452" s="2501"/>
      <c r="AS452" s="2555">
        <f>+SUMIF(見積拾!D$105:D$109,H452,見積拾!T$105:T$109)+
SUMIF(内壁・間仕切!A$66:AA$66,H452,内壁・間仕切!A$82:AA$82)+SUMIF(内壁・間仕切!A$67:AA$67,H452,内壁・間仕切!A$82:AA$82)
+SUMIF(内壁・間仕切!A$87:AA$87,H452,内壁・間仕切!A$103:AA$103)+SUMIF(内壁・間仕切!A$88:AA$88,H452,内壁・間仕切!A$103:AA$103)
+SUMIF(内壁・間仕切!A$108:AA$108,H452,内壁・間仕切!A$124:AA$124)+SUMIF(内壁・間仕切!A$109:AA$109,H452,内壁・間仕切!A$124:AA$124)
+SUMIF(内壁・間仕切!A$129:AA$129,H452,内壁・間仕切!A$145:AA$145)+SUMIF(内壁・間仕切!A$130:AA$130,H452,内壁・間仕切!A$145:AA$145)</f>
        <v>0</v>
      </c>
      <c r="AT452" s="2556"/>
      <c r="AU452" s="2556"/>
      <c r="AV452" s="2557"/>
      <c r="AW452" s="2561">
        <f t="shared" si="137"/>
        <v>0</v>
      </c>
      <c r="AX452" s="2562"/>
      <c r="AY452" s="2562"/>
      <c r="AZ452" s="2563"/>
      <c r="BA452" s="25" t="b">
        <f t="shared" si="138"/>
        <v>0</v>
      </c>
    </row>
    <row r="453" spans="2:54" s="1929" customFormat="1" ht="13.5" customHeight="1">
      <c r="B453" s="2681"/>
      <c r="C453" s="2673"/>
      <c r="D453" s="2683"/>
      <c r="E453" s="2734"/>
      <c r="F453" s="2791"/>
      <c r="G453" s="337" t="s">
        <v>893</v>
      </c>
      <c r="H453" s="2712" t="s">
        <v>1959</v>
      </c>
      <c r="I453" s="2712"/>
      <c r="J453" s="2712"/>
      <c r="K453" s="2712"/>
      <c r="L453" s="2712"/>
      <c r="M453" s="2712"/>
      <c r="N453" s="2712"/>
      <c r="O453" s="2712"/>
      <c r="P453" s="2713"/>
      <c r="Q453" s="2694">
        <v>1790</v>
      </c>
      <c r="R453" s="2689"/>
      <c r="S453" s="2689"/>
      <c r="T453" s="326" t="s">
        <v>64</v>
      </c>
      <c r="U453" s="2687" t="s">
        <v>1173</v>
      </c>
      <c r="V453" s="2687"/>
      <c r="W453" s="2687"/>
      <c r="X453" s="326" t="s">
        <v>64</v>
      </c>
      <c r="Y453" s="2687" t="s">
        <v>1174</v>
      </c>
      <c r="Z453" s="2687"/>
      <c r="AA453" s="2687"/>
      <c r="AB453" s="326" t="s">
        <v>64</v>
      </c>
      <c r="AC453" s="2689"/>
      <c r="AD453" s="2689"/>
      <c r="AE453" s="2689"/>
      <c r="AF453" s="326" t="s">
        <v>64</v>
      </c>
      <c r="AG453" s="2689"/>
      <c r="AH453" s="2689"/>
      <c r="AI453" s="2689"/>
      <c r="AJ453" s="2561">
        <f t="shared" si="135"/>
        <v>1790</v>
      </c>
      <c r="AK453" s="2562"/>
      <c r="AL453" s="2563"/>
      <c r="AM453" s="2502">
        <v>1</v>
      </c>
      <c r="AN453" s="2503"/>
      <c r="AO453" s="2504"/>
      <c r="AP453" s="2499">
        <f t="shared" si="136"/>
        <v>1790</v>
      </c>
      <c r="AQ453" s="2500"/>
      <c r="AR453" s="2501"/>
      <c r="AS453" s="2555">
        <f>+SUMIF(見積拾!D$105:D$109,H453,見積拾!T$105:T$109)+
SUMIF(内壁・間仕切!A$66:AA$66,H453,内壁・間仕切!A$82:AA$82)+SUMIF(内壁・間仕切!A$67:AA$67,H453,内壁・間仕切!A$82:AA$82)
+SUMIF(内壁・間仕切!A$87:AA$87,H453,内壁・間仕切!A$103:AA$103)+SUMIF(内壁・間仕切!A$88:AA$88,H453,内壁・間仕切!A$103:AA$103)
+SUMIF(内壁・間仕切!A$108:AA$108,H453,内壁・間仕切!A$124:AA$124)+SUMIF(内壁・間仕切!A$109:AA$109,H453,内壁・間仕切!A$124:AA$124)
+SUMIF(内壁・間仕切!A$129:AA$129,H453,内壁・間仕切!A$145:AA$145)+SUMIF(内壁・間仕切!A$130:AA$130,H453,内壁・間仕切!A$145:AA$145)</f>
        <v>0</v>
      </c>
      <c r="AT453" s="2556"/>
      <c r="AU453" s="2556"/>
      <c r="AV453" s="2557"/>
      <c r="AW453" s="2561">
        <f t="shared" si="137"/>
        <v>0</v>
      </c>
      <c r="AX453" s="2562"/>
      <c r="AY453" s="2562"/>
      <c r="AZ453" s="2563"/>
      <c r="BA453" s="25" t="b">
        <f t="shared" si="138"/>
        <v>0</v>
      </c>
    </row>
    <row r="454" spans="2:54" s="1929" customFormat="1" ht="13.5" customHeight="1">
      <c r="B454" s="2681"/>
      <c r="C454" s="2673"/>
      <c r="D454" s="2683"/>
      <c r="E454" s="2734"/>
      <c r="F454" s="2791"/>
      <c r="G454" s="337" t="s">
        <v>893</v>
      </c>
      <c r="H454" s="2712" t="s">
        <v>1960</v>
      </c>
      <c r="I454" s="2712"/>
      <c r="J454" s="2712"/>
      <c r="K454" s="2712"/>
      <c r="L454" s="2712"/>
      <c r="M454" s="2712"/>
      <c r="N454" s="2712"/>
      <c r="O454" s="2712"/>
      <c r="P454" s="2713"/>
      <c r="Q454" s="2694">
        <v>990</v>
      </c>
      <c r="R454" s="2689"/>
      <c r="S454" s="2689"/>
      <c r="T454" s="326" t="s">
        <v>64</v>
      </c>
      <c r="U454" s="2687" t="s">
        <v>1173</v>
      </c>
      <c r="V454" s="2687"/>
      <c r="W454" s="2687"/>
      <c r="X454" s="326" t="s">
        <v>64</v>
      </c>
      <c r="Y454" s="2687" t="s">
        <v>1174</v>
      </c>
      <c r="Z454" s="2687"/>
      <c r="AA454" s="2687"/>
      <c r="AB454" s="326" t="s">
        <v>64</v>
      </c>
      <c r="AC454" s="2689"/>
      <c r="AD454" s="2689"/>
      <c r="AE454" s="2689"/>
      <c r="AF454" s="326" t="s">
        <v>64</v>
      </c>
      <c r="AG454" s="2689"/>
      <c r="AH454" s="2689"/>
      <c r="AI454" s="2689"/>
      <c r="AJ454" s="2561">
        <f t="shared" si="135"/>
        <v>990</v>
      </c>
      <c r="AK454" s="2562"/>
      <c r="AL454" s="2563"/>
      <c r="AM454" s="2502">
        <v>1</v>
      </c>
      <c r="AN454" s="2503"/>
      <c r="AO454" s="2504"/>
      <c r="AP454" s="2499">
        <f t="shared" si="136"/>
        <v>990</v>
      </c>
      <c r="AQ454" s="2500"/>
      <c r="AR454" s="2501"/>
      <c r="AS454" s="2555">
        <f>+SUMIF(見積拾!D$105:D$109,H454,見積拾!T$105:T$109)+
SUMIF(内壁・間仕切!A$66:AA$66,H454,内壁・間仕切!A$82:AA$82)+SUMIF(内壁・間仕切!A$67:AA$67,H454,内壁・間仕切!A$82:AA$82)
+SUMIF(内壁・間仕切!A$87:AA$87,H454,内壁・間仕切!A$103:AA$103)+SUMIF(内壁・間仕切!A$88:AA$88,H454,内壁・間仕切!A$103:AA$103)
+SUMIF(内壁・間仕切!A$108:AA$108,H454,内壁・間仕切!A$124:AA$124)+SUMIF(内壁・間仕切!A$109:AA$109,H454,内壁・間仕切!A$124:AA$124)
+SUMIF(内壁・間仕切!A$129:AA$129,H454,内壁・間仕切!A$145:AA$145)+SUMIF(内壁・間仕切!A$130:AA$130,H454,内壁・間仕切!A$145:AA$145)</f>
        <v>0</v>
      </c>
      <c r="AT454" s="2556"/>
      <c r="AU454" s="2556"/>
      <c r="AV454" s="2557"/>
      <c r="AW454" s="2561">
        <f t="shared" si="137"/>
        <v>0</v>
      </c>
      <c r="AX454" s="2562"/>
      <c r="AY454" s="2562"/>
      <c r="AZ454" s="2563"/>
      <c r="BA454" s="25" t="b">
        <f t="shared" si="138"/>
        <v>0</v>
      </c>
    </row>
    <row r="455" spans="2:54" s="1929" customFormat="1" ht="13.5" customHeight="1">
      <c r="B455" s="2681"/>
      <c r="C455" s="2673"/>
      <c r="D455" s="2683"/>
      <c r="E455" s="2734"/>
      <c r="F455" s="2791"/>
      <c r="G455" s="337" t="s">
        <v>893</v>
      </c>
      <c r="H455" s="2712" t="s">
        <v>1961</v>
      </c>
      <c r="I455" s="2712"/>
      <c r="J455" s="2712"/>
      <c r="K455" s="2712"/>
      <c r="L455" s="2712"/>
      <c r="M455" s="2712"/>
      <c r="N455" s="2712"/>
      <c r="O455" s="2712"/>
      <c r="P455" s="2713"/>
      <c r="Q455" s="2694">
        <v>1750</v>
      </c>
      <c r="R455" s="2689"/>
      <c r="S455" s="2689"/>
      <c r="T455" s="326" t="s">
        <v>64</v>
      </c>
      <c r="U455" s="2687" t="s">
        <v>1173</v>
      </c>
      <c r="V455" s="2687"/>
      <c r="W455" s="2687"/>
      <c r="X455" s="326" t="s">
        <v>64</v>
      </c>
      <c r="Y455" s="2687" t="s">
        <v>1174</v>
      </c>
      <c r="Z455" s="2687"/>
      <c r="AA455" s="2687"/>
      <c r="AB455" s="326" t="s">
        <v>64</v>
      </c>
      <c r="AC455" s="2689"/>
      <c r="AD455" s="2689"/>
      <c r="AE455" s="2689"/>
      <c r="AF455" s="326" t="s">
        <v>64</v>
      </c>
      <c r="AG455" s="2689"/>
      <c r="AH455" s="2689"/>
      <c r="AI455" s="2689"/>
      <c r="AJ455" s="2561">
        <f t="shared" si="135"/>
        <v>1750</v>
      </c>
      <c r="AK455" s="2562"/>
      <c r="AL455" s="2563"/>
      <c r="AM455" s="2502">
        <v>1</v>
      </c>
      <c r="AN455" s="2503"/>
      <c r="AO455" s="2504"/>
      <c r="AP455" s="2499">
        <f t="shared" si="136"/>
        <v>1750</v>
      </c>
      <c r="AQ455" s="2500"/>
      <c r="AR455" s="2501"/>
      <c r="AS455" s="2555">
        <f>+SUMIF(見積拾!D$105:D$109,H455,見積拾!T$105:T$109)+
SUMIF(内壁・間仕切!A$66:AA$66,H455,内壁・間仕切!A$82:AA$82)+SUMIF(内壁・間仕切!A$67:AA$67,H455,内壁・間仕切!A$82:AA$82)
+SUMIF(内壁・間仕切!A$87:AA$87,H455,内壁・間仕切!A$103:AA$103)+SUMIF(内壁・間仕切!A$88:AA$88,H455,内壁・間仕切!A$103:AA$103)
+SUMIF(内壁・間仕切!A$108:AA$108,H455,内壁・間仕切!A$124:AA$124)+SUMIF(内壁・間仕切!A$109:AA$109,H455,内壁・間仕切!A$124:AA$124)
+SUMIF(内壁・間仕切!A$129:AA$129,H455,内壁・間仕切!A$145:AA$145)+SUMIF(内壁・間仕切!A$130:AA$130,H455,内壁・間仕切!A$145:AA$145)</f>
        <v>0</v>
      </c>
      <c r="AT455" s="2556"/>
      <c r="AU455" s="2556"/>
      <c r="AV455" s="2557"/>
      <c r="AW455" s="2561">
        <f t="shared" si="137"/>
        <v>0</v>
      </c>
      <c r="AX455" s="2562"/>
      <c r="AY455" s="2562"/>
      <c r="AZ455" s="2563"/>
      <c r="BA455" s="25" t="b">
        <f t="shared" si="138"/>
        <v>0</v>
      </c>
    </row>
    <row r="456" spans="2:54" s="1929" customFormat="1" ht="13.5" customHeight="1">
      <c r="B456" s="2681"/>
      <c r="C456" s="2673"/>
      <c r="D456" s="2683"/>
      <c r="E456" s="2734"/>
      <c r="F456" s="2791"/>
      <c r="G456" s="337" t="s">
        <v>893</v>
      </c>
      <c r="H456" s="2712" t="s">
        <v>1962</v>
      </c>
      <c r="I456" s="2712"/>
      <c r="J456" s="2712"/>
      <c r="K456" s="2712"/>
      <c r="L456" s="2712"/>
      <c r="M456" s="2712"/>
      <c r="N456" s="2712"/>
      <c r="O456" s="2712"/>
      <c r="P456" s="2713"/>
      <c r="Q456" s="2694">
        <v>810</v>
      </c>
      <c r="R456" s="2689"/>
      <c r="S456" s="2689"/>
      <c r="T456" s="326" t="s">
        <v>64</v>
      </c>
      <c r="U456" s="2687" t="s">
        <v>1173</v>
      </c>
      <c r="V456" s="2687"/>
      <c r="W456" s="2687"/>
      <c r="X456" s="326" t="s">
        <v>64</v>
      </c>
      <c r="Y456" s="2687" t="s">
        <v>1174</v>
      </c>
      <c r="Z456" s="2687"/>
      <c r="AA456" s="2687"/>
      <c r="AB456" s="326" t="s">
        <v>64</v>
      </c>
      <c r="AC456" s="2689"/>
      <c r="AD456" s="2689"/>
      <c r="AE456" s="2689"/>
      <c r="AF456" s="326" t="s">
        <v>64</v>
      </c>
      <c r="AG456" s="2689"/>
      <c r="AH456" s="2689"/>
      <c r="AI456" s="2689"/>
      <c r="AJ456" s="2561">
        <f t="shared" si="135"/>
        <v>810</v>
      </c>
      <c r="AK456" s="2562"/>
      <c r="AL456" s="2563"/>
      <c r="AM456" s="2502">
        <v>1</v>
      </c>
      <c r="AN456" s="2503"/>
      <c r="AO456" s="2504"/>
      <c r="AP456" s="2499">
        <f t="shared" si="136"/>
        <v>810</v>
      </c>
      <c r="AQ456" s="2500"/>
      <c r="AR456" s="2501"/>
      <c r="AS456" s="2555">
        <f>+SUMIF(見積拾!D$105:D$109,H456,見積拾!T$105:T$109)+
SUMIF(内壁・間仕切!A$66:AA$66,H456,内壁・間仕切!A$82:AA$82)+SUMIF(内壁・間仕切!A$67:AA$67,H456,内壁・間仕切!A$82:AA$82)
+SUMIF(内壁・間仕切!A$87:AA$87,H456,内壁・間仕切!A$103:AA$103)+SUMIF(内壁・間仕切!A$88:AA$88,H456,内壁・間仕切!A$103:AA$103)
+SUMIF(内壁・間仕切!A$108:AA$108,H456,内壁・間仕切!A$124:AA$124)+SUMIF(内壁・間仕切!A$109:AA$109,H456,内壁・間仕切!A$124:AA$124)
+SUMIF(内壁・間仕切!A$129:AA$129,H456,内壁・間仕切!A$145:AA$145)+SUMIF(内壁・間仕切!A$130:AA$130,H456,内壁・間仕切!A$145:AA$145)</f>
        <v>0</v>
      </c>
      <c r="AT456" s="2556"/>
      <c r="AU456" s="2556"/>
      <c r="AV456" s="2557"/>
      <c r="AW456" s="2561">
        <f t="shared" si="137"/>
        <v>0</v>
      </c>
      <c r="AX456" s="2562"/>
      <c r="AY456" s="2562"/>
      <c r="AZ456" s="2563"/>
      <c r="BA456" s="25" t="b">
        <f t="shared" si="138"/>
        <v>0</v>
      </c>
    </row>
    <row r="457" spans="2:54" s="1929" customFormat="1" ht="13.5" customHeight="1">
      <c r="B457" s="2681"/>
      <c r="C457" s="2673"/>
      <c r="D457" s="2683"/>
      <c r="E457" s="2734"/>
      <c r="F457" s="2791"/>
      <c r="G457" s="337" t="s">
        <v>893</v>
      </c>
      <c r="H457" s="2712" t="s">
        <v>1270</v>
      </c>
      <c r="I457" s="2712"/>
      <c r="J457" s="2712"/>
      <c r="K457" s="2712"/>
      <c r="L457" s="2712"/>
      <c r="M457" s="2712"/>
      <c r="N457" s="2712"/>
      <c r="O457" s="2712"/>
      <c r="P457" s="2713"/>
      <c r="Q457" s="2694">
        <v>1880</v>
      </c>
      <c r="R457" s="2689"/>
      <c r="S457" s="2689"/>
      <c r="T457" s="326" t="s">
        <v>64</v>
      </c>
      <c r="U457" s="2687" t="s">
        <v>1173</v>
      </c>
      <c r="V457" s="2687"/>
      <c r="W457" s="2687"/>
      <c r="X457" s="326" t="s">
        <v>64</v>
      </c>
      <c r="Y457" s="2687" t="s">
        <v>1174</v>
      </c>
      <c r="Z457" s="2687"/>
      <c r="AA457" s="2687"/>
      <c r="AB457" s="326" t="s">
        <v>64</v>
      </c>
      <c r="AC457" s="2689"/>
      <c r="AD457" s="2689"/>
      <c r="AE457" s="2689"/>
      <c r="AF457" s="326" t="s">
        <v>64</v>
      </c>
      <c r="AG457" s="2689"/>
      <c r="AH457" s="2689"/>
      <c r="AI457" s="2689"/>
      <c r="AJ457" s="2561">
        <f t="shared" si="135"/>
        <v>1880</v>
      </c>
      <c r="AK457" s="2562"/>
      <c r="AL457" s="2563"/>
      <c r="AM457" s="2502">
        <v>1</v>
      </c>
      <c r="AN457" s="2503"/>
      <c r="AO457" s="2504"/>
      <c r="AP457" s="2499">
        <f t="shared" si="136"/>
        <v>1880</v>
      </c>
      <c r="AQ457" s="2500"/>
      <c r="AR457" s="2501"/>
      <c r="AS457" s="2555">
        <f>+SUMIF(見積拾!D$105:D$109,H457,見積拾!T$105:T$109)+
SUMIF(内壁・間仕切!A$66:AA$66,H457,内壁・間仕切!A$82:AA$82)+SUMIF(内壁・間仕切!A$67:AA$67,H457,内壁・間仕切!A$82:AA$82)
+SUMIF(内壁・間仕切!A$87:AA$87,H457,内壁・間仕切!A$103:AA$103)+SUMIF(内壁・間仕切!A$88:AA$88,H457,内壁・間仕切!A$103:AA$103)
+SUMIF(内壁・間仕切!A$108:AA$108,H457,内壁・間仕切!A$124:AA$124)+SUMIF(内壁・間仕切!A$109:AA$109,H457,内壁・間仕切!A$124:AA$124)
+SUMIF(内壁・間仕切!A$129:AA$129,H457,内壁・間仕切!A$145:AA$145)+SUMIF(内壁・間仕切!A$130:AA$130,H457,内壁・間仕切!A$145:AA$145)</f>
        <v>0</v>
      </c>
      <c r="AT457" s="2556"/>
      <c r="AU457" s="2556"/>
      <c r="AV457" s="2557"/>
      <c r="AW457" s="2561">
        <f t="shared" si="137"/>
        <v>0</v>
      </c>
      <c r="AX457" s="2562"/>
      <c r="AY457" s="2562"/>
      <c r="AZ457" s="2563"/>
      <c r="BA457" s="25" t="b">
        <f t="shared" si="138"/>
        <v>0</v>
      </c>
    </row>
    <row r="458" spans="2:54" s="1929" customFormat="1" ht="13.5" customHeight="1">
      <c r="B458" s="2681"/>
      <c r="C458" s="2673"/>
      <c r="D458" s="2683"/>
      <c r="E458" s="2734"/>
      <c r="F458" s="2791"/>
      <c r="G458" s="337" t="s">
        <v>893</v>
      </c>
      <c r="H458" s="2712" t="s">
        <v>1963</v>
      </c>
      <c r="I458" s="2712"/>
      <c r="J458" s="2712"/>
      <c r="K458" s="2712"/>
      <c r="L458" s="2712"/>
      <c r="M458" s="2712"/>
      <c r="N458" s="2712"/>
      <c r="O458" s="2712"/>
      <c r="P458" s="2713"/>
      <c r="Q458" s="2694">
        <v>730</v>
      </c>
      <c r="R458" s="2689"/>
      <c r="S458" s="2689"/>
      <c r="T458" s="326" t="s">
        <v>64</v>
      </c>
      <c r="U458" s="2687" t="s">
        <v>1173</v>
      </c>
      <c r="V458" s="2687"/>
      <c r="W458" s="2687"/>
      <c r="X458" s="326" t="s">
        <v>64</v>
      </c>
      <c r="Y458" s="2687" t="s">
        <v>1174</v>
      </c>
      <c r="Z458" s="2687"/>
      <c r="AA458" s="2687"/>
      <c r="AB458" s="326" t="s">
        <v>64</v>
      </c>
      <c r="AC458" s="2689"/>
      <c r="AD458" s="2689"/>
      <c r="AE458" s="2689"/>
      <c r="AF458" s="326" t="s">
        <v>64</v>
      </c>
      <c r="AG458" s="2689"/>
      <c r="AH458" s="2689"/>
      <c r="AI458" s="2689"/>
      <c r="AJ458" s="2561">
        <f t="shared" si="135"/>
        <v>730</v>
      </c>
      <c r="AK458" s="2562"/>
      <c r="AL458" s="2563"/>
      <c r="AM458" s="2502">
        <v>1</v>
      </c>
      <c r="AN458" s="2503"/>
      <c r="AO458" s="2504"/>
      <c r="AP458" s="2499">
        <f t="shared" si="136"/>
        <v>730</v>
      </c>
      <c r="AQ458" s="2500"/>
      <c r="AR458" s="2501"/>
      <c r="AS458" s="2555">
        <f>+SUMIF(見積拾!D$105:D$109,H458,見積拾!T$105:T$109)+
SUMIF(内壁・間仕切!A$66:AA$66,H458,内壁・間仕切!A$82:AA$82)+SUMIF(内壁・間仕切!A$67:AA$67,H458,内壁・間仕切!A$82:AA$82)
+SUMIF(内壁・間仕切!A$87:AA$87,H458,内壁・間仕切!A$103:AA$103)+SUMIF(内壁・間仕切!A$88:AA$88,H458,内壁・間仕切!A$103:AA$103)
+SUMIF(内壁・間仕切!A$108:AA$108,H458,内壁・間仕切!A$124:AA$124)+SUMIF(内壁・間仕切!A$109:AA$109,H458,内壁・間仕切!A$124:AA$124)
+SUMIF(内壁・間仕切!A$129:AA$129,H458,内壁・間仕切!A$145:AA$145)+SUMIF(内壁・間仕切!A$130:AA$130,H458,内壁・間仕切!A$145:AA$145)</f>
        <v>0</v>
      </c>
      <c r="AT458" s="2556"/>
      <c r="AU458" s="2556"/>
      <c r="AV458" s="2557"/>
      <c r="AW458" s="2561">
        <f t="shared" si="137"/>
        <v>0</v>
      </c>
      <c r="AX458" s="2562"/>
      <c r="AY458" s="2562"/>
      <c r="AZ458" s="2563"/>
      <c r="BA458" s="25" t="b">
        <f t="shared" si="138"/>
        <v>0</v>
      </c>
    </row>
    <row r="459" spans="2:54" ht="13.5" customHeight="1" thickBot="1">
      <c r="B459" s="2681"/>
      <c r="C459" s="2673"/>
      <c r="D459" s="2682"/>
      <c r="E459" s="2734"/>
      <c r="F459" s="2674"/>
      <c r="G459" s="338" t="s">
        <v>65</v>
      </c>
      <c r="H459" s="3090" t="s">
        <v>943</v>
      </c>
      <c r="I459" s="3090"/>
      <c r="J459" s="3090"/>
      <c r="K459" s="3090"/>
      <c r="L459" s="3090"/>
      <c r="M459" s="3090"/>
      <c r="N459" s="3090"/>
      <c r="O459" s="3090"/>
      <c r="P459" s="3091"/>
      <c r="Q459" s="3092"/>
      <c r="R459" s="2688"/>
      <c r="S459" s="2688"/>
      <c r="T459" s="332"/>
      <c r="U459" s="2688"/>
      <c r="V459" s="2688"/>
      <c r="W459" s="2688"/>
      <c r="X459" s="332"/>
      <c r="Y459" s="2688"/>
      <c r="Z459" s="2688"/>
      <c r="AA459" s="2688"/>
      <c r="AB459" s="332"/>
      <c r="AC459" s="2688"/>
      <c r="AD459" s="2688"/>
      <c r="AE459" s="2688"/>
      <c r="AF459" s="332"/>
      <c r="AG459" s="2688"/>
      <c r="AH459" s="2688"/>
      <c r="AI459" s="2688"/>
      <c r="AJ459" s="2662">
        <f t="shared" si="135"/>
        <v>0</v>
      </c>
      <c r="AK459" s="2663"/>
      <c r="AL459" s="2664"/>
      <c r="AM459" s="2558">
        <v>1</v>
      </c>
      <c r="AN459" s="2559"/>
      <c r="AO459" s="2560"/>
      <c r="AP459" s="2662">
        <f t="shared" si="136"/>
        <v>0</v>
      </c>
      <c r="AQ459" s="2663"/>
      <c r="AR459" s="2664"/>
      <c r="AS459" s="2721"/>
      <c r="AT459" s="2722"/>
      <c r="AU459" s="2722"/>
      <c r="AV459" s="2723"/>
      <c r="AW459" s="2665">
        <f t="shared" si="137"/>
        <v>0</v>
      </c>
      <c r="AX459" s="2666"/>
      <c r="AY459" s="2666"/>
      <c r="AZ459" s="2667"/>
      <c r="BA459" s="25" t="b">
        <f t="shared" si="138"/>
        <v>0</v>
      </c>
      <c r="BB459"/>
    </row>
    <row r="460" spans="2:54" ht="13.5" customHeight="1" thickBot="1">
      <c r="B460" s="2684"/>
      <c r="C460" s="2685"/>
      <c r="D460" s="2686"/>
      <c r="E460" s="329"/>
      <c r="F460" s="330"/>
      <c r="G460" s="330"/>
      <c r="H460" s="330"/>
      <c r="I460" s="330"/>
      <c r="J460" s="330"/>
      <c r="K460" s="330"/>
      <c r="L460" s="330"/>
      <c r="M460" s="330"/>
      <c r="N460" s="330"/>
      <c r="O460" s="330"/>
      <c r="P460" s="330"/>
      <c r="Q460" s="329"/>
      <c r="R460" s="330"/>
      <c r="S460" s="330"/>
      <c r="T460" s="330"/>
      <c r="U460" s="330"/>
      <c r="V460" s="330"/>
      <c r="W460" s="330"/>
      <c r="X460" s="330"/>
      <c r="Y460" s="330"/>
      <c r="Z460" s="330"/>
      <c r="AA460" s="330"/>
      <c r="AB460" s="330"/>
      <c r="AC460" s="330"/>
      <c r="AD460" s="330"/>
      <c r="AE460" s="330"/>
      <c r="AF460" s="330"/>
      <c r="AG460" s="330"/>
      <c r="AH460" s="330"/>
      <c r="AI460" s="331"/>
      <c r="AJ460" s="3076" t="str">
        <f ca="1">IF(AS460=内壁・間仕切!C62+見積拾!T110,"面積合計及び部分別評点数","補助票と面積が違います！")</f>
        <v>面積合計及び部分別評点数</v>
      </c>
      <c r="AK460" s="3077"/>
      <c r="AL460" s="3077"/>
      <c r="AM460" s="3077"/>
      <c r="AN460" s="3077"/>
      <c r="AO460" s="3077"/>
      <c r="AP460" s="3077"/>
      <c r="AQ460" s="3077"/>
      <c r="AR460" s="3078"/>
      <c r="AS460" s="3065">
        <f ca="1">SUM(AS377:AV449)</f>
        <v>0</v>
      </c>
      <c r="AT460" s="3066"/>
      <c r="AU460" s="3066"/>
      <c r="AV460" s="3067"/>
      <c r="AW460" s="2668">
        <f ca="1">SUM(AW376:AZ459)</f>
        <v>0</v>
      </c>
      <c r="AX460" s="2668"/>
      <c r="AY460" s="2668"/>
      <c r="AZ460" s="2669"/>
      <c r="BA460" s="25" t="b">
        <v>1</v>
      </c>
      <c r="BB460"/>
    </row>
    <row r="461" spans="2:54" ht="13.5" customHeight="1">
      <c r="BA461" s="25" t="b">
        <v>0</v>
      </c>
      <c r="BB461" s="2358"/>
    </row>
    <row r="462" spans="2:54" ht="13.5" customHeight="1">
      <c r="BA462" s="25" t="b">
        <v>0</v>
      </c>
      <c r="BB462" s="2358"/>
    </row>
    <row r="463" spans="2:54" ht="13.5" customHeight="1">
      <c r="C463" s="26" t="s">
        <v>946</v>
      </c>
      <c r="D463" s="27"/>
      <c r="E463" s="27"/>
      <c r="F463" s="27"/>
      <c r="G463" s="27"/>
      <c r="H463" s="27"/>
      <c r="I463" s="27"/>
      <c r="J463" s="27"/>
      <c r="K463" s="339"/>
      <c r="L463" s="339"/>
      <c r="BA463" s="25" t="b">
        <v>0</v>
      </c>
      <c r="BB463" s="2358" t="s">
        <v>1987</v>
      </c>
    </row>
    <row r="464" spans="2:54" ht="13.5" customHeight="1">
      <c r="D464" s="2358" t="s">
        <v>1986</v>
      </c>
      <c r="BA464" s="25" t="b">
        <v>0</v>
      </c>
      <c r="BB464" s="2358" t="s">
        <v>1988</v>
      </c>
    </row>
    <row r="465" spans="1:54" ht="13.5" customHeight="1">
      <c r="B465" s="137"/>
      <c r="C465" s="138"/>
      <c r="D465" s="139"/>
      <c r="E465" s="291" t="s">
        <v>759</v>
      </c>
      <c r="F465" s="292"/>
      <c r="G465" s="292"/>
      <c r="H465" s="292"/>
      <c r="I465" s="292"/>
      <c r="J465" s="292"/>
      <c r="K465" s="292"/>
      <c r="L465" s="292"/>
      <c r="M465" s="292"/>
      <c r="N465" s="292"/>
      <c r="O465" s="292"/>
      <c r="P465" s="293"/>
      <c r="Q465" s="292" t="s">
        <v>885</v>
      </c>
      <c r="R465" s="292"/>
      <c r="S465" s="292"/>
      <c r="T465" s="320"/>
      <c r="U465" s="292" t="s">
        <v>886</v>
      </c>
      <c r="V465" s="292"/>
      <c r="W465" s="292"/>
      <c r="X465" s="320"/>
      <c r="Y465" s="292" t="s">
        <v>887</v>
      </c>
      <c r="Z465" s="292"/>
      <c r="AA465" s="292"/>
      <c r="AB465" s="320"/>
      <c r="AC465" s="292" t="s">
        <v>888</v>
      </c>
      <c r="AD465" s="292"/>
      <c r="AE465" s="292"/>
      <c r="AF465" s="292" t="s">
        <v>888</v>
      </c>
      <c r="AG465" s="292"/>
      <c r="AH465" s="293"/>
      <c r="AI465" s="293"/>
      <c r="AJ465" s="291" t="s">
        <v>889</v>
      </c>
      <c r="AK465" s="292"/>
      <c r="AL465" s="293"/>
      <c r="AM465" s="291" t="s">
        <v>765</v>
      </c>
      <c r="AN465" s="292"/>
      <c r="AO465" s="293"/>
      <c r="AP465" s="291" t="s">
        <v>890</v>
      </c>
      <c r="AQ465" s="292"/>
      <c r="AR465" s="293"/>
      <c r="AS465" s="294" t="s">
        <v>891</v>
      </c>
      <c r="AT465" s="291"/>
      <c r="AU465" s="291"/>
      <c r="AV465" s="291"/>
      <c r="AW465" s="2658" t="s">
        <v>762</v>
      </c>
      <c r="AX465" s="2658"/>
      <c r="AY465" s="2658"/>
      <c r="AZ465" s="2658"/>
      <c r="BA465" s="25" t="b">
        <v>0</v>
      </c>
      <c r="BB465" s="2358" t="s">
        <v>1989</v>
      </c>
    </row>
    <row r="466" spans="1:54" ht="13.5" customHeight="1">
      <c r="A466">
        <f>ROW()</f>
        <v>466</v>
      </c>
      <c r="B466" s="2681" t="s">
        <v>947</v>
      </c>
      <c r="C466" s="2673"/>
      <c r="D466" s="2682"/>
      <c r="E466" s="1391" t="s">
        <v>893</v>
      </c>
      <c r="F466" s="3079" t="s">
        <v>948</v>
      </c>
      <c r="G466" s="3079"/>
      <c r="H466" s="3079"/>
      <c r="I466" s="3079"/>
      <c r="J466" s="3079"/>
      <c r="K466" s="3079"/>
      <c r="L466" s="3079"/>
      <c r="M466" s="3079"/>
      <c r="N466" s="3079"/>
      <c r="O466" s="3079"/>
      <c r="P466" s="3079"/>
      <c r="Q466" s="2733"/>
      <c r="R466" s="2691"/>
      <c r="S466" s="2691"/>
      <c r="T466" s="2300"/>
      <c r="U466" s="2691"/>
      <c r="V466" s="2691"/>
      <c r="W466" s="2691"/>
      <c r="X466" s="2300"/>
      <c r="Y466" s="2691"/>
      <c r="Z466" s="2691"/>
      <c r="AA466" s="2691"/>
      <c r="AB466" s="2300"/>
      <c r="AC466" s="2691"/>
      <c r="AD466" s="2691"/>
      <c r="AE466" s="2691"/>
      <c r="AF466" s="1377"/>
      <c r="AG466" s="2691"/>
      <c r="AH466" s="2691"/>
      <c r="AI466" s="2788"/>
      <c r="AJ466" s="2543">
        <f t="shared" ref="AJ466:AJ502" si="143">ROUNDDOWN(SUM(Q466:AI466),-1)</f>
        <v>0</v>
      </c>
      <c r="AK466" s="2544"/>
      <c r="AL466" s="2545"/>
      <c r="AM466" s="2505">
        <v>1</v>
      </c>
      <c r="AN466" s="2506"/>
      <c r="AO466" s="2507"/>
      <c r="AP466" s="2543">
        <f t="shared" ref="AP466:AP502" si="144">INT(AJ466*AM466)</f>
        <v>0</v>
      </c>
      <c r="AQ466" s="2544"/>
      <c r="AR466" s="2545"/>
      <c r="AS466" s="2659"/>
      <c r="AT466" s="2660"/>
      <c r="AU466" s="2660"/>
      <c r="AV466" s="2661"/>
      <c r="AW466" s="2520">
        <f t="shared" ref="AW466:AW502" si="145">INT(AP466*AS466)</f>
        <v>0</v>
      </c>
      <c r="AX466" s="2521"/>
      <c r="AY466" s="2521"/>
      <c r="AZ466" s="2522"/>
      <c r="BA466" s="25" t="b">
        <f ca="1">AW537=0</f>
        <v>1</v>
      </c>
      <c r="BB466" s="2358"/>
    </row>
    <row r="467" spans="1:54" ht="13.5" customHeight="1">
      <c r="B467" s="2681"/>
      <c r="C467" s="2673"/>
      <c r="D467" s="2682"/>
      <c r="E467" s="1392" t="s">
        <v>893</v>
      </c>
      <c r="F467" s="2500" t="s">
        <v>1697</v>
      </c>
      <c r="G467" s="2500"/>
      <c r="H467" s="2500"/>
      <c r="I467" s="2500"/>
      <c r="J467" s="2500"/>
      <c r="K467" s="2500"/>
      <c r="L467" s="2500"/>
      <c r="M467" s="2500"/>
      <c r="N467" s="2500"/>
      <c r="O467" s="2500"/>
      <c r="P467" s="2501"/>
      <c r="Q467" s="2542">
        <v>35008</v>
      </c>
      <c r="R467" s="2518"/>
      <c r="S467" s="2518"/>
      <c r="T467" s="2299" t="s">
        <v>1664</v>
      </c>
      <c r="U467" s="2518">
        <v>11678</v>
      </c>
      <c r="V467" s="2518"/>
      <c r="W467" s="2518"/>
      <c r="X467" s="2299" t="s">
        <v>895</v>
      </c>
      <c r="Y467" s="2518">
        <v>445</v>
      </c>
      <c r="Z467" s="2518"/>
      <c r="AA467" s="2518"/>
      <c r="AB467" s="2301" t="s">
        <v>1180</v>
      </c>
      <c r="AC467" s="2518"/>
      <c r="AD467" s="2518"/>
      <c r="AE467" s="2518"/>
      <c r="AF467" s="1379" t="s">
        <v>1180</v>
      </c>
      <c r="AG467" s="2518"/>
      <c r="AH467" s="2518"/>
      <c r="AI467" s="2519"/>
      <c r="AJ467" s="2520">
        <f t="shared" si="143"/>
        <v>47130</v>
      </c>
      <c r="AK467" s="2521"/>
      <c r="AL467" s="2522"/>
      <c r="AM467" s="2505">
        <v>1</v>
      </c>
      <c r="AN467" s="2506"/>
      <c r="AO467" s="2507"/>
      <c r="AP467" s="2543">
        <f t="shared" si="144"/>
        <v>47130</v>
      </c>
      <c r="AQ467" s="2544"/>
      <c r="AR467" s="2545"/>
      <c r="AS467" s="2555">
        <f ca="1">SUMIF(床・天井!R$6:R$89,F467,床・天井!I$6:I$89)+SUMIF(見積拾!C$120:D$128,F467,見積拾!T$120:T$128)</f>
        <v>0</v>
      </c>
      <c r="AT467" s="2556"/>
      <c r="AU467" s="2556"/>
      <c r="AV467" s="2557"/>
      <c r="AW467" s="2520">
        <f t="shared" ca="1" si="145"/>
        <v>0</v>
      </c>
      <c r="AX467" s="2521"/>
      <c r="AY467" s="2521"/>
      <c r="AZ467" s="2522"/>
      <c r="BA467" s="25" t="b">
        <f t="shared" ref="BA467:BA503" ca="1" si="146">AW467&lt;&gt;0</f>
        <v>0</v>
      </c>
      <c r="BB467" s="2358"/>
    </row>
    <row r="468" spans="1:54" ht="13.5" customHeight="1">
      <c r="B468" s="2681"/>
      <c r="C468" s="2673"/>
      <c r="D468" s="2682"/>
      <c r="E468" s="1392" t="s">
        <v>893</v>
      </c>
      <c r="F468" s="2500" t="s">
        <v>1698</v>
      </c>
      <c r="G468" s="2500"/>
      <c r="H468" s="2500"/>
      <c r="I468" s="2500"/>
      <c r="J468" s="2500"/>
      <c r="K468" s="2500"/>
      <c r="L468" s="2500"/>
      <c r="M468" s="2500"/>
      <c r="N468" s="2500"/>
      <c r="O468" s="2500"/>
      <c r="P468" s="2501"/>
      <c r="Q468" s="2542">
        <v>22909</v>
      </c>
      <c r="R468" s="2518"/>
      <c r="S468" s="2518"/>
      <c r="T468" s="2299" t="s">
        <v>1664</v>
      </c>
      <c r="U468" s="2518">
        <v>9258</v>
      </c>
      <c r="V468" s="2518"/>
      <c r="W468" s="2518"/>
      <c r="X468" s="2299" t="s">
        <v>895</v>
      </c>
      <c r="Y468" s="2518">
        <v>445</v>
      </c>
      <c r="Z468" s="2518"/>
      <c r="AA468" s="2518"/>
      <c r="AB468" s="2301" t="s">
        <v>1180</v>
      </c>
      <c r="AC468" s="2518"/>
      <c r="AD468" s="2518"/>
      <c r="AE468" s="2518"/>
      <c r="AF468" s="1379" t="s">
        <v>1180</v>
      </c>
      <c r="AG468" s="2518"/>
      <c r="AH468" s="2518"/>
      <c r="AI468" s="2519"/>
      <c r="AJ468" s="2520">
        <f t="shared" si="143"/>
        <v>32610</v>
      </c>
      <c r="AK468" s="2521"/>
      <c r="AL468" s="2522"/>
      <c r="AM468" s="2505">
        <v>1</v>
      </c>
      <c r="AN468" s="2506"/>
      <c r="AO468" s="2507"/>
      <c r="AP468" s="2543">
        <f t="shared" si="144"/>
        <v>32610</v>
      </c>
      <c r="AQ468" s="2544"/>
      <c r="AR468" s="2545"/>
      <c r="AS468" s="2555">
        <f ca="1">SUMIF(床・天井!R$6:R$89,F468,床・天井!I$6:I$89)+SUMIF(見積拾!C$120:D$128,F468,見積拾!T$120:T$128)</f>
        <v>0</v>
      </c>
      <c r="AT468" s="2556"/>
      <c r="AU468" s="2556"/>
      <c r="AV468" s="2557"/>
      <c r="AW468" s="2520">
        <f t="shared" ca="1" si="145"/>
        <v>0</v>
      </c>
      <c r="AX468" s="2521"/>
      <c r="AY468" s="2521"/>
      <c r="AZ468" s="2522"/>
      <c r="BA468" s="25" t="b">
        <f t="shared" ca="1" si="146"/>
        <v>0</v>
      </c>
      <c r="BB468" s="2358"/>
    </row>
    <row r="469" spans="1:54" ht="13.5" customHeight="1">
      <c r="B469" s="2681"/>
      <c r="C469" s="2673"/>
      <c r="D469" s="2682"/>
      <c r="E469" s="1392" t="s">
        <v>893</v>
      </c>
      <c r="F469" s="2500" t="s">
        <v>1699</v>
      </c>
      <c r="G469" s="2500"/>
      <c r="H469" s="2500"/>
      <c r="I469" s="2500"/>
      <c r="J469" s="2500"/>
      <c r="K469" s="2500"/>
      <c r="L469" s="2500"/>
      <c r="M469" s="2500"/>
      <c r="N469" s="2500"/>
      <c r="O469" s="2500"/>
      <c r="P469" s="2501"/>
      <c r="Q469" s="2542">
        <v>12791</v>
      </c>
      <c r="R469" s="2518"/>
      <c r="S469" s="2518"/>
      <c r="T469" s="2299" t="s">
        <v>1664</v>
      </c>
      <c r="U469" s="2518">
        <v>9258</v>
      </c>
      <c r="V469" s="2518"/>
      <c r="W469" s="2518"/>
      <c r="X469" s="2299" t="s">
        <v>895</v>
      </c>
      <c r="Y469" s="2518">
        <v>445</v>
      </c>
      <c r="Z469" s="2518"/>
      <c r="AA469" s="2518"/>
      <c r="AB469" s="2301" t="s">
        <v>1180</v>
      </c>
      <c r="AC469" s="2518"/>
      <c r="AD469" s="2518"/>
      <c r="AE469" s="2518"/>
      <c r="AF469" s="1379" t="s">
        <v>1180</v>
      </c>
      <c r="AG469" s="2518"/>
      <c r="AH469" s="2518"/>
      <c r="AI469" s="2519"/>
      <c r="AJ469" s="2520">
        <f t="shared" si="143"/>
        <v>22490</v>
      </c>
      <c r="AK469" s="2521"/>
      <c r="AL469" s="2522"/>
      <c r="AM469" s="2505">
        <v>1</v>
      </c>
      <c r="AN469" s="2506"/>
      <c r="AO469" s="2507"/>
      <c r="AP469" s="2543">
        <f t="shared" si="144"/>
        <v>22490</v>
      </c>
      <c r="AQ469" s="2544"/>
      <c r="AR469" s="2545"/>
      <c r="AS469" s="2555">
        <f ca="1">SUMIF(床・天井!R$6:R$89,F469,床・天井!I$6:I$89)+SUMIF(見積拾!C$120:D$128,F469,見積拾!T$120:T$128)</f>
        <v>0</v>
      </c>
      <c r="AT469" s="2556"/>
      <c r="AU469" s="2556"/>
      <c r="AV469" s="2557"/>
      <c r="AW469" s="2520">
        <f t="shared" ca="1" si="145"/>
        <v>0</v>
      </c>
      <c r="AX469" s="2521"/>
      <c r="AY469" s="2521"/>
      <c r="AZ469" s="2522"/>
      <c r="BA469" s="25" t="b">
        <f t="shared" ca="1" si="146"/>
        <v>0</v>
      </c>
      <c r="BB469" s="2358"/>
    </row>
    <row r="470" spans="1:54" ht="13.5" customHeight="1">
      <c r="B470" s="2681"/>
      <c r="C470" s="2673"/>
      <c r="D470" s="2682"/>
      <c r="E470" s="1392" t="s">
        <v>893</v>
      </c>
      <c r="F470" s="2500" t="s">
        <v>1700</v>
      </c>
      <c r="G470" s="2500"/>
      <c r="H470" s="2500"/>
      <c r="I470" s="2500"/>
      <c r="J470" s="2500"/>
      <c r="K470" s="2500"/>
      <c r="L470" s="2500"/>
      <c r="M470" s="2500"/>
      <c r="N470" s="2500"/>
      <c r="O470" s="2500"/>
      <c r="P470" s="2501"/>
      <c r="Q470" s="2542">
        <v>6059</v>
      </c>
      <c r="R470" s="2518"/>
      <c r="S470" s="2518"/>
      <c r="T470" s="2299" t="s">
        <v>1664</v>
      </c>
      <c r="U470" s="2518">
        <v>9258</v>
      </c>
      <c r="V470" s="2518"/>
      <c r="W470" s="2518"/>
      <c r="X470" s="2299" t="s">
        <v>895</v>
      </c>
      <c r="Y470" s="2518">
        <v>445</v>
      </c>
      <c r="Z470" s="2518"/>
      <c r="AA470" s="2518"/>
      <c r="AB470" s="2301" t="s">
        <v>1180</v>
      </c>
      <c r="AC470" s="2518"/>
      <c r="AD470" s="2518"/>
      <c r="AE470" s="2518"/>
      <c r="AF470" s="1379" t="s">
        <v>1180</v>
      </c>
      <c r="AG470" s="2518"/>
      <c r="AH470" s="2518"/>
      <c r="AI470" s="2519"/>
      <c r="AJ470" s="2520">
        <f t="shared" si="143"/>
        <v>15760</v>
      </c>
      <c r="AK470" s="2521"/>
      <c r="AL470" s="2522"/>
      <c r="AM470" s="2505">
        <v>1</v>
      </c>
      <c r="AN470" s="2506"/>
      <c r="AO470" s="2507"/>
      <c r="AP470" s="2499">
        <f t="shared" si="144"/>
        <v>15760</v>
      </c>
      <c r="AQ470" s="2500"/>
      <c r="AR470" s="2501"/>
      <c r="AS470" s="2555">
        <f ca="1">SUMIF(床・天井!R$6:R$89,F470,床・天井!I$6:I$89)+SUMIF(見積拾!C$120:D$128,F470,見積拾!T$120:T$128)</f>
        <v>0</v>
      </c>
      <c r="AT470" s="2556"/>
      <c r="AU470" s="2556"/>
      <c r="AV470" s="2557"/>
      <c r="AW470" s="2520">
        <f t="shared" ca="1" si="145"/>
        <v>0</v>
      </c>
      <c r="AX470" s="2521"/>
      <c r="AY470" s="2521"/>
      <c r="AZ470" s="2522"/>
      <c r="BA470" s="25" t="b">
        <f t="shared" ca="1" si="146"/>
        <v>0</v>
      </c>
      <c r="BB470"/>
    </row>
    <row r="471" spans="1:54" ht="13.5" customHeight="1">
      <c r="B471" s="2681"/>
      <c r="C471" s="2673"/>
      <c r="D471" s="2682"/>
      <c r="E471" s="1392" t="s">
        <v>893</v>
      </c>
      <c r="F471" s="2500" t="s">
        <v>1279</v>
      </c>
      <c r="G471" s="2500"/>
      <c r="H471" s="2500"/>
      <c r="I471" s="2500"/>
      <c r="J471" s="2500"/>
      <c r="K471" s="2500"/>
      <c r="L471" s="2500"/>
      <c r="M471" s="2500"/>
      <c r="N471" s="2500"/>
      <c r="O471" s="2500"/>
      <c r="P471" s="2501"/>
      <c r="Q471" s="2542">
        <v>1600</v>
      </c>
      <c r="R471" s="2518"/>
      <c r="S471" s="2518"/>
      <c r="T471" s="2299" t="s">
        <v>1664</v>
      </c>
      <c r="U471" s="2518" t="s">
        <v>1173</v>
      </c>
      <c r="V471" s="2518"/>
      <c r="W471" s="2518"/>
      <c r="X471" s="2299" t="s">
        <v>895</v>
      </c>
      <c r="Y471" s="2518" t="s">
        <v>1174</v>
      </c>
      <c r="Z471" s="2518"/>
      <c r="AA471" s="2518"/>
      <c r="AB471" s="2301" t="s">
        <v>1180</v>
      </c>
      <c r="AC471" s="2518"/>
      <c r="AD471" s="2518"/>
      <c r="AE471" s="2518"/>
      <c r="AF471" s="1379" t="s">
        <v>1180</v>
      </c>
      <c r="AG471" s="2518"/>
      <c r="AH471" s="2518"/>
      <c r="AI471" s="2519"/>
      <c r="AJ471" s="2520">
        <f t="shared" si="143"/>
        <v>1600</v>
      </c>
      <c r="AK471" s="2521"/>
      <c r="AL471" s="2522"/>
      <c r="AM471" s="2505">
        <v>1</v>
      </c>
      <c r="AN471" s="2506"/>
      <c r="AO471" s="2507"/>
      <c r="AP471" s="2499">
        <f t="shared" si="144"/>
        <v>1600</v>
      </c>
      <c r="AQ471" s="2500"/>
      <c r="AR471" s="2501"/>
      <c r="AS471" s="2555">
        <f ca="1">SUMIF(床・天井!R$6:R$89,F471,床・天井!I$6:I$89)+SUMIF(見積拾!C$120:D$128,F471,見積拾!T$120:T$128)</f>
        <v>0</v>
      </c>
      <c r="AT471" s="2556"/>
      <c r="AU471" s="2556"/>
      <c r="AV471" s="2557"/>
      <c r="AW471" s="2520">
        <f t="shared" ca="1" si="145"/>
        <v>0</v>
      </c>
      <c r="AX471" s="2521"/>
      <c r="AY471" s="2521"/>
      <c r="AZ471" s="2522"/>
      <c r="BA471" s="25" t="b">
        <f t="shared" ca="1" si="146"/>
        <v>0</v>
      </c>
      <c r="BB471"/>
    </row>
    <row r="472" spans="1:54" ht="13.5" customHeight="1">
      <c r="B472" s="2681"/>
      <c r="C472" s="2673"/>
      <c r="D472" s="2682"/>
      <c r="E472" s="1392" t="s">
        <v>893</v>
      </c>
      <c r="F472" s="2500" t="s">
        <v>1772</v>
      </c>
      <c r="G472" s="2500"/>
      <c r="H472" s="2500"/>
      <c r="I472" s="2500"/>
      <c r="J472" s="2500"/>
      <c r="K472" s="2500"/>
      <c r="L472" s="2500"/>
      <c r="M472" s="2500"/>
      <c r="N472" s="2500"/>
      <c r="O472" s="2500"/>
      <c r="P472" s="2501"/>
      <c r="Q472" s="2542" t="s">
        <v>1174</v>
      </c>
      <c r="R472" s="2518"/>
      <c r="S472" s="2518"/>
      <c r="T472" s="2299" t="s">
        <v>1664</v>
      </c>
      <c r="U472" s="2518">
        <v>560</v>
      </c>
      <c r="V472" s="2518"/>
      <c r="W472" s="2518"/>
      <c r="X472" s="2299" t="s">
        <v>895</v>
      </c>
      <c r="Y472" s="2518" t="s">
        <v>1174</v>
      </c>
      <c r="Z472" s="2518"/>
      <c r="AA472" s="2518"/>
      <c r="AB472" s="2301" t="s">
        <v>1180</v>
      </c>
      <c r="AC472" s="2518"/>
      <c r="AD472" s="2518"/>
      <c r="AE472" s="2518"/>
      <c r="AF472" s="1379" t="s">
        <v>1180</v>
      </c>
      <c r="AG472" s="2518"/>
      <c r="AH472" s="2518"/>
      <c r="AI472" s="2519"/>
      <c r="AJ472" s="2520">
        <f t="shared" si="143"/>
        <v>560</v>
      </c>
      <c r="AK472" s="2521"/>
      <c r="AL472" s="2522"/>
      <c r="AM472" s="2505">
        <v>1</v>
      </c>
      <c r="AN472" s="2506"/>
      <c r="AO472" s="2507"/>
      <c r="AP472" s="2499">
        <f t="shared" si="144"/>
        <v>560</v>
      </c>
      <c r="AQ472" s="2500"/>
      <c r="AR472" s="2501"/>
      <c r="AS472" s="2555">
        <f ca="1">SUMIF(床・天井!R$6:R$89,F472,床・天井!I$6:I$89)+SUMIF(見積拾!C$120:D$128,F472,見積拾!T$120:T$128)</f>
        <v>0</v>
      </c>
      <c r="AT472" s="2556"/>
      <c r="AU472" s="2556"/>
      <c r="AV472" s="2557"/>
      <c r="AW472" s="2520">
        <f t="shared" ca="1" si="145"/>
        <v>0</v>
      </c>
      <c r="AX472" s="2521"/>
      <c r="AY472" s="2521"/>
      <c r="AZ472" s="2522"/>
      <c r="BA472" s="25" t="b">
        <f t="shared" ca="1" si="146"/>
        <v>0</v>
      </c>
      <c r="BB472"/>
    </row>
    <row r="473" spans="1:54" ht="13.5" customHeight="1">
      <c r="B473" s="2681"/>
      <c r="C473" s="2673"/>
      <c r="D473" s="2682"/>
      <c r="E473" s="1392" t="s">
        <v>893</v>
      </c>
      <c r="F473" s="2500" t="s">
        <v>1773</v>
      </c>
      <c r="G473" s="2500"/>
      <c r="H473" s="2500"/>
      <c r="I473" s="2500"/>
      <c r="J473" s="2500"/>
      <c r="K473" s="2500"/>
      <c r="L473" s="2500"/>
      <c r="M473" s="2500"/>
      <c r="N473" s="2500"/>
      <c r="O473" s="2500"/>
      <c r="P473" s="2501"/>
      <c r="Q473" s="2542">
        <v>2920</v>
      </c>
      <c r="R473" s="2518"/>
      <c r="S473" s="2518"/>
      <c r="T473" s="2299" t="s">
        <v>1664</v>
      </c>
      <c r="U473" s="2518" t="s">
        <v>1173</v>
      </c>
      <c r="V473" s="2518"/>
      <c r="W473" s="2518"/>
      <c r="X473" s="2299" t="s">
        <v>895</v>
      </c>
      <c r="Y473" s="2518">
        <v>560</v>
      </c>
      <c r="Z473" s="2518"/>
      <c r="AA473" s="2518"/>
      <c r="AB473" s="2301" t="s">
        <v>1180</v>
      </c>
      <c r="AC473" s="2518"/>
      <c r="AD473" s="2518"/>
      <c r="AE473" s="2518"/>
      <c r="AF473" s="1379" t="s">
        <v>1180</v>
      </c>
      <c r="AG473" s="2518"/>
      <c r="AH473" s="2518"/>
      <c r="AI473" s="2519"/>
      <c r="AJ473" s="2520">
        <f t="shared" si="143"/>
        <v>3480</v>
      </c>
      <c r="AK473" s="2521"/>
      <c r="AL473" s="2522"/>
      <c r="AM473" s="2505">
        <v>1</v>
      </c>
      <c r="AN473" s="2506"/>
      <c r="AO473" s="2507"/>
      <c r="AP473" s="2499">
        <f t="shared" si="144"/>
        <v>3480</v>
      </c>
      <c r="AQ473" s="2500"/>
      <c r="AR473" s="2501"/>
      <c r="AS473" s="2555">
        <f ca="1">SUMIF(床・天井!R$6:R$89,F473,床・天井!I$6:I$89)+SUMIF(見積拾!C$120:D$128,F473,見積拾!T$120:T$128)</f>
        <v>0</v>
      </c>
      <c r="AT473" s="2556"/>
      <c r="AU473" s="2556"/>
      <c r="AV473" s="2557"/>
      <c r="AW473" s="2520">
        <f t="shared" ca="1" si="145"/>
        <v>0</v>
      </c>
      <c r="AX473" s="2521"/>
      <c r="AY473" s="2521"/>
      <c r="AZ473" s="2522"/>
      <c r="BA473" s="25" t="b">
        <f t="shared" ca="1" si="146"/>
        <v>0</v>
      </c>
      <c r="BB473"/>
    </row>
    <row r="474" spans="1:54" ht="13.5" customHeight="1">
      <c r="B474" s="2681"/>
      <c r="C474" s="2673"/>
      <c r="D474" s="2682"/>
      <c r="E474" s="1392" t="s">
        <v>893</v>
      </c>
      <c r="F474" s="2500" t="s">
        <v>1774</v>
      </c>
      <c r="G474" s="2500"/>
      <c r="H474" s="2500"/>
      <c r="I474" s="2500"/>
      <c r="J474" s="2500"/>
      <c r="K474" s="2500"/>
      <c r="L474" s="2500"/>
      <c r="M474" s="2500"/>
      <c r="N474" s="2500"/>
      <c r="O474" s="2500"/>
      <c r="P474" s="2501"/>
      <c r="Q474" s="2542">
        <v>2280</v>
      </c>
      <c r="R474" s="2518"/>
      <c r="S474" s="2518"/>
      <c r="T474" s="2299" t="s">
        <v>1664</v>
      </c>
      <c r="U474" s="2518" t="s">
        <v>1173</v>
      </c>
      <c r="V474" s="2518"/>
      <c r="W474" s="2518"/>
      <c r="X474" s="2299" t="s">
        <v>895</v>
      </c>
      <c r="Y474" s="2518">
        <v>560</v>
      </c>
      <c r="Z474" s="2518"/>
      <c r="AA474" s="2518"/>
      <c r="AB474" s="2301" t="s">
        <v>1180</v>
      </c>
      <c r="AC474" s="2518"/>
      <c r="AD474" s="2518"/>
      <c r="AE474" s="2518"/>
      <c r="AF474" s="1379" t="s">
        <v>1180</v>
      </c>
      <c r="AG474" s="2518"/>
      <c r="AH474" s="2518"/>
      <c r="AI474" s="2519"/>
      <c r="AJ474" s="2520">
        <f t="shared" si="143"/>
        <v>2840</v>
      </c>
      <c r="AK474" s="2521"/>
      <c r="AL474" s="2522"/>
      <c r="AM474" s="2505">
        <v>1</v>
      </c>
      <c r="AN474" s="2506"/>
      <c r="AO474" s="2507"/>
      <c r="AP474" s="2499">
        <f t="shared" si="144"/>
        <v>2840</v>
      </c>
      <c r="AQ474" s="2500"/>
      <c r="AR474" s="2501"/>
      <c r="AS474" s="2555">
        <f ca="1">SUMIF(床・天井!R$6:R$89,F474,床・天井!I$6:I$89)+SUMIF(見積拾!C$120:D$128,F474,見積拾!T$120:T$128)</f>
        <v>0</v>
      </c>
      <c r="AT474" s="2556"/>
      <c r="AU474" s="2556"/>
      <c r="AV474" s="2557"/>
      <c r="AW474" s="2520">
        <f t="shared" ca="1" si="145"/>
        <v>0</v>
      </c>
      <c r="AX474" s="2521"/>
      <c r="AY474" s="2521"/>
      <c r="AZ474" s="2522"/>
      <c r="BA474" s="25" t="b">
        <f t="shared" ca="1" si="146"/>
        <v>0</v>
      </c>
      <c r="BB474"/>
    </row>
    <row r="475" spans="1:54" ht="13.5" customHeight="1">
      <c r="B475" s="2681"/>
      <c r="C475" s="2673"/>
      <c r="D475" s="2682"/>
      <c r="E475" s="1392" t="s">
        <v>893</v>
      </c>
      <c r="F475" s="2500" t="s">
        <v>1775</v>
      </c>
      <c r="G475" s="2500"/>
      <c r="H475" s="2500"/>
      <c r="I475" s="2500"/>
      <c r="J475" s="2500"/>
      <c r="K475" s="2500"/>
      <c r="L475" s="2500"/>
      <c r="M475" s="2500"/>
      <c r="N475" s="2500"/>
      <c r="O475" s="2500"/>
      <c r="P475" s="2501"/>
      <c r="Q475" s="2542">
        <v>9450</v>
      </c>
      <c r="R475" s="2518"/>
      <c r="S475" s="2518"/>
      <c r="T475" s="2299" t="s">
        <v>1664</v>
      </c>
      <c r="U475" s="2518" t="s">
        <v>1173</v>
      </c>
      <c r="V475" s="2518"/>
      <c r="W475" s="2518"/>
      <c r="X475" s="2299" t="s">
        <v>895</v>
      </c>
      <c r="Y475" s="2518">
        <v>442</v>
      </c>
      <c r="Z475" s="2518"/>
      <c r="AA475" s="2518"/>
      <c r="AB475" s="2301" t="s">
        <v>1180</v>
      </c>
      <c r="AC475" s="2518"/>
      <c r="AD475" s="2518"/>
      <c r="AE475" s="2518"/>
      <c r="AF475" s="1379" t="s">
        <v>1180</v>
      </c>
      <c r="AG475" s="2518"/>
      <c r="AH475" s="2518"/>
      <c r="AI475" s="2519"/>
      <c r="AJ475" s="2520">
        <f t="shared" si="143"/>
        <v>9890</v>
      </c>
      <c r="AK475" s="2521"/>
      <c r="AL475" s="2522"/>
      <c r="AM475" s="2505">
        <v>1</v>
      </c>
      <c r="AN475" s="2506"/>
      <c r="AO475" s="2507"/>
      <c r="AP475" s="2499">
        <f t="shared" si="144"/>
        <v>9890</v>
      </c>
      <c r="AQ475" s="2500"/>
      <c r="AR475" s="2501"/>
      <c r="AS475" s="2555">
        <f ca="1">SUMIF(床・天井!R$6:R$89,F475,床・天井!I$6:I$89)+SUMIF(見積拾!C$120:D$128,F475,見積拾!T$120:T$128)</f>
        <v>0</v>
      </c>
      <c r="AT475" s="2556"/>
      <c r="AU475" s="2556"/>
      <c r="AV475" s="2557"/>
      <c r="AW475" s="2520">
        <f t="shared" ca="1" si="145"/>
        <v>0</v>
      </c>
      <c r="AX475" s="2521"/>
      <c r="AY475" s="2521"/>
      <c r="AZ475" s="2522"/>
      <c r="BA475" s="25" t="b">
        <f t="shared" ca="1" si="146"/>
        <v>0</v>
      </c>
      <c r="BB475" t="s">
        <v>1957</v>
      </c>
    </row>
    <row r="476" spans="1:54" ht="13.5" customHeight="1">
      <c r="B476" s="2681"/>
      <c r="C476" s="2673"/>
      <c r="D476" s="2682"/>
      <c r="E476" s="1392" t="s">
        <v>893</v>
      </c>
      <c r="F476" s="2500" t="s">
        <v>1776</v>
      </c>
      <c r="G476" s="2500"/>
      <c r="H476" s="2500"/>
      <c r="I476" s="2500"/>
      <c r="J476" s="2500"/>
      <c r="K476" s="2500"/>
      <c r="L476" s="2500"/>
      <c r="M476" s="2500"/>
      <c r="N476" s="2500"/>
      <c r="O476" s="2500"/>
      <c r="P476" s="2501"/>
      <c r="Q476" s="2542">
        <v>7900</v>
      </c>
      <c r="R476" s="2518"/>
      <c r="S476" s="2518"/>
      <c r="T476" s="2299" t="s">
        <v>1664</v>
      </c>
      <c r="U476" s="2518" t="s">
        <v>1173</v>
      </c>
      <c r="V476" s="2518"/>
      <c r="W476" s="2518"/>
      <c r="X476" s="2299" t="s">
        <v>895</v>
      </c>
      <c r="Y476" s="2518">
        <v>442</v>
      </c>
      <c r="Z476" s="2518"/>
      <c r="AA476" s="2518"/>
      <c r="AB476" s="2301" t="s">
        <v>1180</v>
      </c>
      <c r="AC476" s="2518"/>
      <c r="AD476" s="2518"/>
      <c r="AE476" s="2518"/>
      <c r="AF476" s="1379" t="s">
        <v>1180</v>
      </c>
      <c r="AG476" s="2518"/>
      <c r="AH476" s="2518"/>
      <c r="AI476" s="2519"/>
      <c r="AJ476" s="2520">
        <f t="shared" si="143"/>
        <v>8340</v>
      </c>
      <c r="AK476" s="2521"/>
      <c r="AL476" s="2522"/>
      <c r="AM476" s="2505">
        <v>1</v>
      </c>
      <c r="AN476" s="2506"/>
      <c r="AO476" s="2507"/>
      <c r="AP476" s="2499">
        <f t="shared" si="144"/>
        <v>8340</v>
      </c>
      <c r="AQ476" s="2500"/>
      <c r="AR476" s="2501"/>
      <c r="AS476" s="2555">
        <f ca="1">SUMIF(床・天井!R$6:R$89,F476,床・天井!I$6:I$89)+SUMIF(見積拾!C$120:D$128,F476,見積拾!T$120:T$128)</f>
        <v>0</v>
      </c>
      <c r="AT476" s="2556"/>
      <c r="AU476" s="2556"/>
      <c r="AV476" s="2557"/>
      <c r="AW476" s="2520">
        <f t="shared" ca="1" si="145"/>
        <v>0</v>
      </c>
      <c r="AX476" s="2521"/>
      <c r="AY476" s="2521"/>
      <c r="AZ476" s="2522"/>
      <c r="BA476" s="25" t="b">
        <f t="shared" ca="1" si="146"/>
        <v>0</v>
      </c>
      <c r="BB476" t="s">
        <v>1956</v>
      </c>
    </row>
    <row r="477" spans="1:54" ht="13.5" customHeight="1">
      <c r="B477" s="2681"/>
      <c r="C477" s="2673"/>
      <c r="D477" s="2682"/>
      <c r="E477" s="1392" t="s">
        <v>893</v>
      </c>
      <c r="F477" s="2500" t="s">
        <v>1777</v>
      </c>
      <c r="G477" s="2500"/>
      <c r="H477" s="2500"/>
      <c r="I477" s="2500"/>
      <c r="J477" s="2500"/>
      <c r="K477" s="2500"/>
      <c r="L477" s="2500"/>
      <c r="M477" s="2500"/>
      <c r="N477" s="2500"/>
      <c r="O477" s="2500"/>
      <c r="P477" s="2501"/>
      <c r="Q477" s="2542">
        <v>6390</v>
      </c>
      <c r="R477" s="2518"/>
      <c r="S477" s="2518"/>
      <c r="T477" s="2299" t="s">
        <v>1664</v>
      </c>
      <c r="U477" s="2518" t="s">
        <v>1173</v>
      </c>
      <c r="V477" s="2518"/>
      <c r="W477" s="2518"/>
      <c r="X477" s="2299" t="s">
        <v>895</v>
      </c>
      <c r="Y477" s="2518">
        <v>442</v>
      </c>
      <c r="Z477" s="2518"/>
      <c r="AA477" s="2518"/>
      <c r="AB477" s="2301" t="s">
        <v>1180</v>
      </c>
      <c r="AC477" s="2518"/>
      <c r="AD477" s="2518"/>
      <c r="AE477" s="2518"/>
      <c r="AF477" s="1379" t="s">
        <v>1180</v>
      </c>
      <c r="AG477" s="2518"/>
      <c r="AH477" s="2518"/>
      <c r="AI477" s="2519"/>
      <c r="AJ477" s="2520">
        <f t="shared" si="143"/>
        <v>6830</v>
      </c>
      <c r="AK477" s="2521"/>
      <c r="AL477" s="2522"/>
      <c r="AM477" s="2505">
        <v>1</v>
      </c>
      <c r="AN477" s="2506"/>
      <c r="AO477" s="2507"/>
      <c r="AP477" s="2499">
        <f t="shared" si="144"/>
        <v>6830</v>
      </c>
      <c r="AQ477" s="2500"/>
      <c r="AR477" s="2501"/>
      <c r="AS477" s="2555">
        <f ca="1">SUMIF(床・天井!R$6:R$89,F477,床・天井!I$6:I$89)+SUMIF(見積拾!C$120:D$128,F477,見積拾!T$120:T$128)</f>
        <v>0</v>
      </c>
      <c r="AT477" s="2556"/>
      <c r="AU477" s="2556"/>
      <c r="AV477" s="2557"/>
      <c r="AW477" s="2520">
        <f t="shared" ca="1" si="145"/>
        <v>0</v>
      </c>
      <c r="AX477" s="2521"/>
      <c r="AY477" s="2521"/>
      <c r="AZ477" s="2522"/>
      <c r="BA477" s="25" t="b">
        <f t="shared" ca="1" si="146"/>
        <v>0</v>
      </c>
      <c r="BB477" t="s">
        <v>1958</v>
      </c>
    </row>
    <row r="478" spans="1:54" ht="13.5" customHeight="1">
      <c r="B478" s="2681"/>
      <c r="C478" s="2673"/>
      <c r="D478" s="2682"/>
      <c r="E478" s="1392" t="s">
        <v>893</v>
      </c>
      <c r="F478" s="2500" t="s">
        <v>1778</v>
      </c>
      <c r="G478" s="2500"/>
      <c r="H478" s="2500"/>
      <c r="I478" s="2500"/>
      <c r="J478" s="2500"/>
      <c r="K478" s="2500"/>
      <c r="L478" s="2500"/>
      <c r="M478" s="2500"/>
      <c r="N478" s="2500"/>
      <c r="O478" s="2500"/>
      <c r="P478" s="2501"/>
      <c r="Q478" s="2542">
        <v>8040</v>
      </c>
      <c r="R478" s="2518"/>
      <c r="S478" s="2518"/>
      <c r="T478" s="2299" t="s">
        <v>1664</v>
      </c>
      <c r="U478" s="2518" t="s">
        <v>1173</v>
      </c>
      <c r="V478" s="2518"/>
      <c r="W478" s="2518"/>
      <c r="X478" s="2299" t="s">
        <v>895</v>
      </c>
      <c r="Y478" s="2518">
        <v>3960</v>
      </c>
      <c r="Z478" s="2518"/>
      <c r="AA478" s="2518"/>
      <c r="AB478" s="2301" t="s">
        <v>1180</v>
      </c>
      <c r="AC478" s="2518"/>
      <c r="AD478" s="2518"/>
      <c r="AE478" s="2518"/>
      <c r="AF478" s="1379" t="s">
        <v>1180</v>
      </c>
      <c r="AG478" s="2518"/>
      <c r="AH478" s="2518"/>
      <c r="AI478" s="2519"/>
      <c r="AJ478" s="2520">
        <f t="shared" si="143"/>
        <v>12000</v>
      </c>
      <c r="AK478" s="2521"/>
      <c r="AL478" s="2522"/>
      <c r="AM478" s="2505">
        <v>1</v>
      </c>
      <c r="AN478" s="2506"/>
      <c r="AO478" s="2507"/>
      <c r="AP478" s="2499">
        <f t="shared" si="144"/>
        <v>12000</v>
      </c>
      <c r="AQ478" s="2500"/>
      <c r="AR478" s="2501"/>
      <c r="AS478" s="2555">
        <f ca="1">SUMIF(床・天井!R$6:R$89,F478,床・天井!I$6:I$89)+SUMIF(見積拾!C$120:D$128,F478,見積拾!T$120:T$128)</f>
        <v>0</v>
      </c>
      <c r="AT478" s="2556"/>
      <c r="AU478" s="2556"/>
      <c r="AV478" s="2557"/>
      <c r="AW478" s="2520">
        <f t="shared" ca="1" si="145"/>
        <v>0</v>
      </c>
      <c r="AX478" s="2521"/>
      <c r="AY478" s="2521"/>
      <c r="AZ478" s="2522"/>
      <c r="BA478" s="25" t="b">
        <f t="shared" ca="1" si="146"/>
        <v>0</v>
      </c>
      <c r="BB478"/>
    </row>
    <row r="479" spans="1:54" ht="13.5" customHeight="1">
      <c r="B479" s="2681"/>
      <c r="C479" s="2673"/>
      <c r="D479" s="2682"/>
      <c r="E479" s="1392" t="s">
        <v>893</v>
      </c>
      <c r="F479" s="2500" t="s">
        <v>1779</v>
      </c>
      <c r="G479" s="2500"/>
      <c r="H479" s="2500"/>
      <c r="I479" s="2500"/>
      <c r="J479" s="2500"/>
      <c r="K479" s="2500"/>
      <c r="L479" s="2500"/>
      <c r="M479" s="2500"/>
      <c r="N479" s="2500"/>
      <c r="O479" s="2500"/>
      <c r="P479" s="2501"/>
      <c r="Q479" s="2542">
        <v>2240</v>
      </c>
      <c r="R479" s="2518"/>
      <c r="S479" s="2518"/>
      <c r="T479" s="2299" t="s">
        <v>1664</v>
      </c>
      <c r="U479" s="2518">
        <v>2286</v>
      </c>
      <c r="V479" s="2518"/>
      <c r="W479" s="2518"/>
      <c r="X479" s="2299" t="s">
        <v>895</v>
      </c>
      <c r="Y479" s="2518">
        <v>1441</v>
      </c>
      <c r="Z479" s="2518"/>
      <c r="AA479" s="2518"/>
      <c r="AB479" s="2301" t="s">
        <v>1180</v>
      </c>
      <c r="AC479" s="2518"/>
      <c r="AD479" s="2518"/>
      <c r="AE479" s="2518"/>
      <c r="AF479" s="1379" t="s">
        <v>1180</v>
      </c>
      <c r="AG479" s="2518"/>
      <c r="AH479" s="2518"/>
      <c r="AI479" s="2519"/>
      <c r="AJ479" s="2520">
        <f t="shared" si="143"/>
        <v>5960</v>
      </c>
      <c r="AK479" s="2521"/>
      <c r="AL479" s="2522"/>
      <c r="AM479" s="2505">
        <v>1</v>
      </c>
      <c r="AN479" s="2506"/>
      <c r="AO479" s="2507"/>
      <c r="AP479" s="2499">
        <f t="shared" si="144"/>
        <v>5960</v>
      </c>
      <c r="AQ479" s="2500"/>
      <c r="AR479" s="2501"/>
      <c r="AS479" s="2555">
        <f ca="1">SUMIF(床・天井!R$6:R$89,F479,床・天井!I$6:I$89)+SUMIF(見積拾!C$120:D$128,F479,見積拾!T$120:T$128)</f>
        <v>0</v>
      </c>
      <c r="AT479" s="2556"/>
      <c r="AU479" s="2556"/>
      <c r="AV479" s="2557"/>
      <c r="AW479" s="2520">
        <f t="shared" ca="1" si="145"/>
        <v>0</v>
      </c>
      <c r="AX479" s="2521"/>
      <c r="AY479" s="2521"/>
      <c r="AZ479" s="2522"/>
      <c r="BA479" s="25" t="b">
        <f t="shared" ca="1" si="146"/>
        <v>0</v>
      </c>
      <c r="BB479"/>
    </row>
    <row r="480" spans="1:54" ht="13.5" customHeight="1">
      <c r="B480" s="2681"/>
      <c r="C480" s="2673"/>
      <c r="D480" s="2682"/>
      <c r="E480" s="1392" t="s">
        <v>893</v>
      </c>
      <c r="F480" s="2500" t="s">
        <v>1181</v>
      </c>
      <c r="G480" s="2500"/>
      <c r="H480" s="2500"/>
      <c r="I480" s="2500"/>
      <c r="J480" s="2500"/>
      <c r="K480" s="2500"/>
      <c r="L480" s="2500"/>
      <c r="M480" s="2500"/>
      <c r="N480" s="2500"/>
      <c r="O480" s="2500"/>
      <c r="P480" s="2501"/>
      <c r="Q480" s="2542">
        <v>4485</v>
      </c>
      <c r="R480" s="2518"/>
      <c r="S480" s="2518"/>
      <c r="T480" s="2299" t="s">
        <v>1664</v>
      </c>
      <c r="U480" s="2518">
        <v>2286</v>
      </c>
      <c r="V480" s="2518"/>
      <c r="W480" s="2518"/>
      <c r="X480" s="2299" t="s">
        <v>895</v>
      </c>
      <c r="Y480" s="2518">
        <v>1441</v>
      </c>
      <c r="Z480" s="2518"/>
      <c r="AA480" s="2518"/>
      <c r="AB480" s="2301" t="s">
        <v>1180</v>
      </c>
      <c r="AC480" s="2518"/>
      <c r="AD480" s="2518"/>
      <c r="AE480" s="2518"/>
      <c r="AF480" s="1379" t="s">
        <v>1180</v>
      </c>
      <c r="AG480" s="2518"/>
      <c r="AH480" s="2518"/>
      <c r="AI480" s="2519"/>
      <c r="AJ480" s="2520">
        <f t="shared" si="143"/>
        <v>8210</v>
      </c>
      <c r="AK480" s="2521"/>
      <c r="AL480" s="2522"/>
      <c r="AM480" s="2505">
        <v>1</v>
      </c>
      <c r="AN480" s="2506"/>
      <c r="AO480" s="2507"/>
      <c r="AP480" s="2499">
        <f t="shared" si="144"/>
        <v>8210</v>
      </c>
      <c r="AQ480" s="2500"/>
      <c r="AR480" s="2501"/>
      <c r="AS480" s="2555">
        <f ca="1">SUMIF(床・天井!R$6:R$89,F480,床・天井!I$6:I$89)+SUMIF(見積拾!C$120:D$128,F480,見積拾!T$120:T$128)</f>
        <v>0</v>
      </c>
      <c r="AT480" s="2556"/>
      <c r="AU480" s="2556"/>
      <c r="AV480" s="2557"/>
      <c r="AW480" s="2520">
        <f t="shared" ca="1" si="145"/>
        <v>0</v>
      </c>
      <c r="AX480" s="2521"/>
      <c r="AY480" s="2521"/>
      <c r="AZ480" s="2522"/>
      <c r="BA480" s="25" t="b">
        <f t="shared" ca="1" si="146"/>
        <v>0</v>
      </c>
      <c r="BB480"/>
    </row>
    <row r="481" spans="2:54" ht="13.5" customHeight="1">
      <c r="B481" s="2681"/>
      <c r="C481" s="2673"/>
      <c r="D481" s="2682"/>
      <c r="E481" s="1392" t="s">
        <v>893</v>
      </c>
      <c r="F481" s="2500" t="s">
        <v>1182</v>
      </c>
      <c r="G481" s="2500"/>
      <c r="H481" s="2500"/>
      <c r="I481" s="2500"/>
      <c r="J481" s="2500"/>
      <c r="K481" s="2500"/>
      <c r="L481" s="2500"/>
      <c r="M481" s="2500"/>
      <c r="N481" s="2500"/>
      <c r="O481" s="2500"/>
      <c r="P481" s="2501"/>
      <c r="Q481" s="2542">
        <v>3401</v>
      </c>
      <c r="R481" s="2518"/>
      <c r="S481" s="2518"/>
      <c r="T481" s="2299" t="s">
        <v>1664</v>
      </c>
      <c r="U481" s="2518">
        <v>2286</v>
      </c>
      <c r="V481" s="2518"/>
      <c r="W481" s="2518"/>
      <c r="X481" s="2299" t="s">
        <v>895</v>
      </c>
      <c r="Y481" s="2518">
        <v>1441</v>
      </c>
      <c r="Z481" s="2518"/>
      <c r="AA481" s="2518"/>
      <c r="AB481" s="2301" t="s">
        <v>1180</v>
      </c>
      <c r="AC481" s="2518"/>
      <c r="AD481" s="2518"/>
      <c r="AE481" s="2518"/>
      <c r="AF481" s="1379" t="s">
        <v>1180</v>
      </c>
      <c r="AG481" s="2518"/>
      <c r="AH481" s="2518"/>
      <c r="AI481" s="2519"/>
      <c r="AJ481" s="2520">
        <f t="shared" si="143"/>
        <v>7120</v>
      </c>
      <c r="AK481" s="2521"/>
      <c r="AL481" s="2522"/>
      <c r="AM481" s="2505">
        <v>1</v>
      </c>
      <c r="AN481" s="2506"/>
      <c r="AO481" s="2507"/>
      <c r="AP481" s="2499">
        <f t="shared" si="144"/>
        <v>7120</v>
      </c>
      <c r="AQ481" s="2500"/>
      <c r="AR481" s="2501"/>
      <c r="AS481" s="2555">
        <f ca="1">SUMIF(床・天井!R$6:R$89,F481,床・天井!I$6:I$89)+SUMIF(見積拾!C$120:D$128,F481,見積拾!T$120:T$128)</f>
        <v>0</v>
      </c>
      <c r="AT481" s="2556"/>
      <c r="AU481" s="2556"/>
      <c r="AV481" s="2557"/>
      <c r="AW481" s="2520">
        <f t="shared" ca="1" si="145"/>
        <v>0</v>
      </c>
      <c r="AX481" s="2521"/>
      <c r="AY481" s="2521"/>
      <c r="AZ481" s="2522"/>
      <c r="BA481" s="25" t="b">
        <f t="shared" ca="1" si="146"/>
        <v>0</v>
      </c>
      <c r="BB481"/>
    </row>
    <row r="482" spans="2:54" ht="13.5" customHeight="1">
      <c r="B482" s="2681"/>
      <c r="C482" s="2673"/>
      <c r="D482" s="2682"/>
      <c r="E482" s="1392" t="s">
        <v>893</v>
      </c>
      <c r="F482" s="2500" t="s">
        <v>1183</v>
      </c>
      <c r="G482" s="2500"/>
      <c r="H482" s="2500"/>
      <c r="I482" s="2500"/>
      <c r="J482" s="2500"/>
      <c r="K482" s="2500"/>
      <c r="L482" s="2500"/>
      <c r="M482" s="2500"/>
      <c r="N482" s="2500"/>
      <c r="O482" s="2500"/>
      <c r="P482" s="2501"/>
      <c r="Q482" s="2542">
        <v>2492</v>
      </c>
      <c r="R482" s="2518"/>
      <c r="S482" s="2518"/>
      <c r="T482" s="2299" t="s">
        <v>1664</v>
      </c>
      <c r="U482" s="2518">
        <v>2286</v>
      </c>
      <c r="V482" s="2518"/>
      <c r="W482" s="2518"/>
      <c r="X482" s="2299" t="s">
        <v>895</v>
      </c>
      <c r="Y482" s="2518">
        <v>1441</v>
      </c>
      <c r="Z482" s="2518"/>
      <c r="AA482" s="2518"/>
      <c r="AB482" s="2301" t="s">
        <v>1180</v>
      </c>
      <c r="AC482" s="2518"/>
      <c r="AD482" s="2518"/>
      <c r="AE482" s="2518"/>
      <c r="AF482" s="1379" t="s">
        <v>1180</v>
      </c>
      <c r="AG482" s="2518"/>
      <c r="AH482" s="2518"/>
      <c r="AI482" s="2519"/>
      <c r="AJ482" s="2520">
        <f t="shared" si="143"/>
        <v>6210</v>
      </c>
      <c r="AK482" s="2521"/>
      <c r="AL482" s="2522"/>
      <c r="AM482" s="2505">
        <v>1</v>
      </c>
      <c r="AN482" s="2506"/>
      <c r="AO482" s="2507"/>
      <c r="AP482" s="2499">
        <f t="shared" si="144"/>
        <v>6210</v>
      </c>
      <c r="AQ482" s="2500"/>
      <c r="AR482" s="2501"/>
      <c r="AS482" s="2555">
        <f ca="1">SUMIF(床・天井!R$6:R$89,F482,床・天井!I$6:I$89)+SUMIF(見積拾!C$120:D$128,F482,見積拾!T$120:T$128)</f>
        <v>0</v>
      </c>
      <c r="AT482" s="2556"/>
      <c r="AU482" s="2556"/>
      <c r="AV482" s="2557"/>
      <c r="AW482" s="2520">
        <f t="shared" ca="1" si="145"/>
        <v>0</v>
      </c>
      <c r="AX482" s="2521"/>
      <c r="AY482" s="2521"/>
      <c r="AZ482" s="2522"/>
      <c r="BA482" s="25" t="b">
        <f t="shared" ca="1" si="146"/>
        <v>0</v>
      </c>
      <c r="BB482"/>
    </row>
    <row r="483" spans="2:54" ht="13.5" customHeight="1">
      <c r="B483" s="2681"/>
      <c r="C483" s="2673"/>
      <c r="D483" s="2682"/>
      <c r="E483" s="1392" t="s">
        <v>893</v>
      </c>
      <c r="F483" s="2500" t="s">
        <v>1780</v>
      </c>
      <c r="G483" s="2500"/>
      <c r="H483" s="2500"/>
      <c r="I483" s="2500"/>
      <c r="J483" s="2500"/>
      <c r="K483" s="2500"/>
      <c r="L483" s="2500"/>
      <c r="M483" s="2500"/>
      <c r="N483" s="2500"/>
      <c r="O483" s="2500"/>
      <c r="P483" s="2501"/>
      <c r="Q483" s="2542">
        <v>7360</v>
      </c>
      <c r="R483" s="2518"/>
      <c r="S483" s="2518"/>
      <c r="T483" s="2299" t="s">
        <v>1664</v>
      </c>
      <c r="U483" s="2518" t="s">
        <v>1173</v>
      </c>
      <c r="V483" s="2518"/>
      <c r="W483" s="2518"/>
      <c r="X483" s="2299" t="s">
        <v>895</v>
      </c>
      <c r="Y483" s="2518">
        <v>3960</v>
      </c>
      <c r="Z483" s="2518"/>
      <c r="AA483" s="2518"/>
      <c r="AB483" s="2301" t="s">
        <v>1180</v>
      </c>
      <c r="AC483" s="2518"/>
      <c r="AD483" s="2518"/>
      <c r="AE483" s="2518"/>
      <c r="AF483" s="1379" t="s">
        <v>1180</v>
      </c>
      <c r="AG483" s="2518"/>
      <c r="AH483" s="2518"/>
      <c r="AI483" s="2519"/>
      <c r="AJ483" s="2520">
        <f t="shared" si="143"/>
        <v>11320</v>
      </c>
      <c r="AK483" s="2521"/>
      <c r="AL483" s="2522"/>
      <c r="AM483" s="2505">
        <v>1</v>
      </c>
      <c r="AN483" s="2506"/>
      <c r="AO483" s="2507"/>
      <c r="AP483" s="2499">
        <f t="shared" si="144"/>
        <v>11320</v>
      </c>
      <c r="AQ483" s="2500"/>
      <c r="AR483" s="2501"/>
      <c r="AS483" s="2555">
        <f ca="1">SUMIF(床・天井!R$6:R$89,F483,床・天井!I$6:I$89)+SUMIF(見積拾!C$120:D$128,F483,見積拾!T$120:T$128)</f>
        <v>0</v>
      </c>
      <c r="AT483" s="2556"/>
      <c r="AU483" s="2556"/>
      <c r="AV483" s="2557"/>
      <c r="AW483" s="2520">
        <f t="shared" ca="1" si="145"/>
        <v>0</v>
      </c>
      <c r="AX483" s="2521"/>
      <c r="AY483" s="2521"/>
      <c r="AZ483" s="2522"/>
      <c r="BA483" s="25" t="b">
        <f t="shared" ca="1" si="146"/>
        <v>0</v>
      </c>
      <c r="BB483"/>
    </row>
    <row r="484" spans="2:54" ht="13.5" customHeight="1">
      <c r="B484" s="2681"/>
      <c r="C484" s="2673"/>
      <c r="D484" s="2682"/>
      <c r="E484" s="1392" t="s">
        <v>893</v>
      </c>
      <c r="F484" s="2500" t="s">
        <v>1781</v>
      </c>
      <c r="G484" s="2500"/>
      <c r="H484" s="2500"/>
      <c r="I484" s="2500"/>
      <c r="J484" s="2500"/>
      <c r="K484" s="2500"/>
      <c r="L484" s="2500"/>
      <c r="M484" s="2500"/>
      <c r="N484" s="2500"/>
      <c r="O484" s="2500"/>
      <c r="P484" s="2501"/>
      <c r="Q484" s="2542">
        <v>4990</v>
      </c>
      <c r="R484" s="2518"/>
      <c r="S484" s="2518"/>
      <c r="T484" s="2299" t="s">
        <v>1664</v>
      </c>
      <c r="U484" s="2518" t="s">
        <v>1173</v>
      </c>
      <c r="V484" s="2518"/>
      <c r="W484" s="2518"/>
      <c r="X484" s="2299" t="s">
        <v>895</v>
      </c>
      <c r="Y484" s="2518">
        <v>3960</v>
      </c>
      <c r="Z484" s="2518"/>
      <c r="AA484" s="2518"/>
      <c r="AB484" s="2301" t="s">
        <v>1180</v>
      </c>
      <c r="AC484" s="2518"/>
      <c r="AD484" s="2518"/>
      <c r="AE484" s="2518"/>
      <c r="AF484" s="1379" t="s">
        <v>1180</v>
      </c>
      <c r="AG484" s="2518"/>
      <c r="AH484" s="2518"/>
      <c r="AI484" s="2519"/>
      <c r="AJ484" s="2520">
        <f t="shared" si="143"/>
        <v>8950</v>
      </c>
      <c r="AK484" s="2521"/>
      <c r="AL484" s="2522"/>
      <c r="AM484" s="2505">
        <v>1</v>
      </c>
      <c r="AN484" s="2506"/>
      <c r="AO484" s="2507"/>
      <c r="AP484" s="2499">
        <f t="shared" si="144"/>
        <v>8950</v>
      </c>
      <c r="AQ484" s="2500"/>
      <c r="AR484" s="2501"/>
      <c r="AS484" s="2555">
        <f ca="1">SUMIF(床・天井!R$6:R$89,F484,床・天井!I$6:I$89)+SUMIF(見積拾!C$120:D$128,F484,見積拾!T$120:T$128)</f>
        <v>0</v>
      </c>
      <c r="AT484" s="2556"/>
      <c r="AU484" s="2556"/>
      <c r="AV484" s="2557"/>
      <c r="AW484" s="2520">
        <f t="shared" ca="1" si="145"/>
        <v>0</v>
      </c>
      <c r="AX484" s="2521"/>
      <c r="AY484" s="2521"/>
      <c r="AZ484" s="2522"/>
      <c r="BA484" s="25" t="b">
        <f t="shared" ca="1" si="146"/>
        <v>0</v>
      </c>
      <c r="BB484"/>
    </row>
    <row r="485" spans="2:54" ht="13.5" customHeight="1">
      <c r="B485" s="2681"/>
      <c r="C485" s="2673"/>
      <c r="D485" s="2682"/>
      <c r="E485" s="1392" t="s">
        <v>893</v>
      </c>
      <c r="F485" s="2500" t="s">
        <v>1782</v>
      </c>
      <c r="G485" s="2500"/>
      <c r="H485" s="2500"/>
      <c r="I485" s="2500"/>
      <c r="J485" s="2500"/>
      <c r="K485" s="2500"/>
      <c r="L485" s="2500"/>
      <c r="M485" s="2500"/>
      <c r="N485" s="2500"/>
      <c r="O485" s="2500"/>
      <c r="P485" s="2501"/>
      <c r="Q485" s="2542">
        <v>7000</v>
      </c>
      <c r="R485" s="2518"/>
      <c r="S485" s="2518"/>
      <c r="T485" s="2299" t="s">
        <v>1664</v>
      </c>
      <c r="U485" s="2518" t="s">
        <v>1173</v>
      </c>
      <c r="V485" s="2518"/>
      <c r="W485" s="2518"/>
      <c r="X485" s="2299" t="s">
        <v>895</v>
      </c>
      <c r="Y485" s="2518">
        <v>560</v>
      </c>
      <c r="Z485" s="2518"/>
      <c r="AA485" s="2518"/>
      <c r="AB485" s="2301" t="s">
        <v>1180</v>
      </c>
      <c r="AC485" s="2518"/>
      <c r="AD485" s="2518"/>
      <c r="AE485" s="2518"/>
      <c r="AF485" s="1379" t="s">
        <v>1180</v>
      </c>
      <c r="AG485" s="2518"/>
      <c r="AH485" s="2518"/>
      <c r="AI485" s="2519"/>
      <c r="AJ485" s="2520">
        <f t="shared" si="143"/>
        <v>7560</v>
      </c>
      <c r="AK485" s="2521"/>
      <c r="AL485" s="2522"/>
      <c r="AM485" s="2505">
        <v>1</v>
      </c>
      <c r="AN485" s="2506"/>
      <c r="AO485" s="2507"/>
      <c r="AP485" s="2499">
        <f t="shared" si="144"/>
        <v>7560</v>
      </c>
      <c r="AQ485" s="2500"/>
      <c r="AR485" s="2501"/>
      <c r="AS485" s="2555">
        <f ca="1">SUMIF(床・天井!R$6:R$89,F485,床・天井!I$6:I$89)+SUMIF(見積拾!C$120:D$128,F485,見積拾!T$120:T$128)</f>
        <v>0</v>
      </c>
      <c r="AT485" s="2556"/>
      <c r="AU485" s="2556"/>
      <c r="AV485" s="2557"/>
      <c r="AW485" s="2520">
        <f t="shared" ca="1" si="145"/>
        <v>0</v>
      </c>
      <c r="AX485" s="2521"/>
      <c r="AY485" s="2521"/>
      <c r="AZ485" s="2522"/>
      <c r="BA485" s="25" t="b">
        <f t="shared" ca="1" si="146"/>
        <v>0</v>
      </c>
      <c r="BB485" t="s">
        <v>1431</v>
      </c>
    </row>
    <row r="486" spans="2:54" ht="13.5" customHeight="1">
      <c r="B486" s="2681"/>
      <c r="C486" s="2673"/>
      <c r="D486" s="2682"/>
      <c r="E486" s="1392" t="s">
        <v>893</v>
      </c>
      <c r="F486" s="2500" t="s">
        <v>1783</v>
      </c>
      <c r="G486" s="2500"/>
      <c r="H486" s="2500"/>
      <c r="I486" s="2500"/>
      <c r="J486" s="2500"/>
      <c r="K486" s="2500"/>
      <c r="L486" s="2500"/>
      <c r="M486" s="2500"/>
      <c r="N486" s="2500"/>
      <c r="O486" s="2500"/>
      <c r="P486" s="2501"/>
      <c r="Q486" s="2542">
        <v>2210</v>
      </c>
      <c r="R486" s="2518"/>
      <c r="S486" s="2518"/>
      <c r="T486" s="2299" t="s">
        <v>1664</v>
      </c>
      <c r="U486" s="2518" t="s">
        <v>1173</v>
      </c>
      <c r="V486" s="2518"/>
      <c r="W486" s="2518"/>
      <c r="X486" s="2299" t="s">
        <v>895</v>
      </c>
      <c r="Y486" s="2518">
        <v>560</v>
      </c>
      <c r="Z486" s="2518"/>
      <c r="AA486" s="2518"/>
      <c r="AB486" s="2301" t="s">
        <v>1180</v>
      </c>
      <c r="AC486" s="2518"/>
      <c r="AD486" s="2518"/>
      <c r="AE486" s="2518"/>
      <c r="AF486" s="1379" t="s">
        <v>1180</v>
      </c>
      <c r="AG486" s="2518"/>
      <c r="AH486" s="2518"/>
      <c r="AI486" s="2519"/>
      <c r="AJ486" s="2520">
        <f t="shared" si="143"/>
        <v>2770</v>
      </c>
      <c r="AK486" s="2521"/>
      <c r="AL486" s="2522"/>
      <c r="AM486" s="2505">
        <v>1</v>
      </c>
      <c r="AN486" s="2506"/>
      <c r="AO486" s="2507"/>
      <c r="AP486" s="2499">
        <f t="shared" si="144"/>
        <v>2770</v>
      </c>
      <c r="AQ486" s="2500"/>
      <c r="AR486" s="2501"/>
      <c r="AS486" s="2555">
        <f ca="1">SUMIF(床・天井!R$6:R$89,F486,床・天井!I$6:I$89)+SUMIF(見積拾!C$120:D$128,F486,見積拾!T$120:T$128)</f>
        <v>0</v>
      </c>
      <c r="AT486" s="2556"/>
      <c r="AU486" s="2556"/>
      <c r="AV486" s="2557"/>
      <c r="AW486" s="2520">
        <f t="shared" ca="1" si="145"/>
        <v>0</v>
      </c>
      <c r="AX486" s="2521"/>
      <c r="AY486" s="2521"/>
      <c r="AZ486" s="2522"/>
      <c r="BA486" s="25" t="b">
        <f t="shared" ca="1" si="146"/>
        <v>0</v>
      </c>
      <c r="BB486" t="s">
        <v>1432</v>
      </c>
    </row>
    <row r="487" spans="2:54" s="1847" customFormat="1" ht="13.5" customHeight="1">
      <c r="B487" s="2681"/>
      <c r="C487" s="2673"/>
      <c r="D487" s="2683"/>
      <c r="E487" s="1392" t="s">
        <v>893</v>
      </c>
      <c r="F487" s="2500" t="s">
        <v>1184</v>
      </c>
      <c r="G487" s="2500"/>
      <c r="H487" s="2500"/>
      <c r="I487" s="2500"/>
      <c r="J487" s="2500"/>
      <c r="K487" s="2500"/>
      <c r="L487" s="2500"/>
      <c r="M487" s="2500"/>
      <c r="N487" s="2500"/>
      <c r="O487" s="2500"/>
      <c r="P487" s="2501"/>
      <c r="Q487" s="2542">
        <v>4523</v>
      </c>
      <c r="R487" s="2518"/>
      <c r="S487" s="2518"/>
      <c r="T487" s="2299" t="s">
        <v>1664</v>
      </c>
      <c r="U487" s="2518">
        <v>2730</v>
      </c>
      <c r="V487" s="2518"/>
      <c r="W487" s="2518"/>
      <c r="X487" s="2299" t="s">
        <v>895</v>
      </c>
      <c r="Y487" s="2518">
        <v>666</v>
      </c>
      <c r="Z487" s="2518"/>
      <c r="AA487" s="2518"/>
      <c r="AB487" s="2301" t="s">
        <v>1172</v>
      </c>
      <c r="AC487" s="2518"/>
      <c r="AD487" s="2518"/>
      <c r="AE487" s="2518"/>
      <c r="AF487" s="1848" t="s">
        <v>1172</v>
      </c>
      <c r="AG487" s="2518"/>
      <c r="AH487" s="2518"/>
      <c r="AI487" s="2519"/>
      <c r="AJ487" s="2520">
        <f t="shared" ref="AJ487:AJ490" si="147">ROUNDDOWN(SUM(Q487:AI487),-1)</f>
        <v>7910</v>
      </c>
      <c r="AK487" s="2521"/>
      <c r="AL487" s="2522"/>
      <c r="AM487" s="2505">
        <v>1</v>
      </c>
      <c r="AN487" s="2506"/>
      <c r="AO487" s="2507"/>
      <c r="AP487" s="2499">
        <f t="shared" ref="AP487:AP490" si="148">INT(AJ487*AM487)</f>
        <v>7910</v>
      </c>
      <c r="AQ487" s="2500"/>
      <c r="AR487" s="2501"/>
      <c r="AS487" s="2555">
        <f ca="1">SUMIF(床・天井!R$6:R$89,F487,床・天井!I$6:I$89)+SUMIF(見積拾!C$120:D$128,F487,見積拾!T$120:T$128)</f>
        <v>0</v>
      </c>
      <c r="AT487" s="2556"/>
      <c r="AU487" s="2556"/>
      <c r="AV487" s="2557"/>
      <c r="AW487" s="2520">
        <f t="shared" ref="AW487:AW490" ca="1" si="149">INT(AP487*AS487)</f>
        <v>0</v>
      </c>
      <c r="AX487" s="2521"/>
      <c r="AY487" s="2521"/>
      <c r="AZ487" s="2522"/>
      <c r="BA487" s="25" t="b">
        <f t="shared" ref="BA487:BA490" ca="1" si="150">AW487&lt;&gt;0</f>
        <v>0</v>
      </c>
    </row>
    <row r="488" spans="2:54" s="1847" customFormat="1" ht="13.5" customHeight="1">
      <c r="B488" s="2681"/>
      <c r="C488" s="2673"/>
      <c r="D488" s="2683"/>
      <c r="E488" s="1392" t="s">
        <v>893</v>
      </c>
      <c r="F488" s="2500" t="s">
        <v>1784</v>
      </c>
      <c r="G488" s="2500"/>
      <c r="H488" s="2500"/>
      <c r="I488" s="2500"/>
      <c r="J488" s="2500"/>
      <c r="K488" s="2500"/>
      <c r="L488" s="2500"/>
      <c r="M488" s="2500"/>
      <c r="N488" s="2500"/>
      <c r="O488" s="2500"/>
      <c r="P488" s="2501"/>
      <c r="Q488" s="2542">
        <v>30190</v>
      </c>
      <c r="R488" s="2518"/>
      <c r="S488" s="2518"/>
      <c r="T488" s="2299" t="s">
        <v>1664</v>
      </c>
      <c r="U488" s="2518" t="s">
        <v>1173</v>
      </c>
      <c r="V488" s="2518"/>
      <c r="W488" s="2518"/>
      <c r="X488" s="2299" t="s">
        <v>895</v>
      </c>
      <c r="Y488" s="2518">
        <v>560</v>
      </c>
      <c r="Z488" s="2518"/>
      <c r="AA488" s="2518"/>
      <c r="AB488" s="2301" t="s">
        <v>1172</v>
      </c>
      <c r="AC488" s="2518"/>
      <c r="AD488" s="2518"/>
      <c r="AE488" s="2518"/>
      <c r="AF488" s="1848" t="s">
        <v>1172</v>
      </c>
      <c r="AG488" s="2518"/>
      <c r="AH488" s="2518"/>
      <c r="AI488" s="2519"/>
      <c r="AJ488" s="2520">
        <f t="shared" si="147"/>
        <v>30750</v>
      </c>
      <c r="AK488" s="2521"/>
      <c r="AL488" s="2522"/>
      <c r="AM488" s="2505">
        <v>1</v>
      </c>
      <c r="AN488" s="2506"/>
      <c r="AO488" s="2507"/>
      <c r="AP488" s="2499">
        <f t="shared" si="148"/>
        <v>30750</v>
      </c>
      <c r="AQ488" s="2500"/>
      <c r="AR488" s="2501"/>
      <c r="AS488" s="2555">
        <f ca="1">SUMIF(床・天井!R$6:R$89,F488,床・天井!I$6:I$89)+SUMIF(見積拾!C$120:D$128,F488,見積拾!T$120:T$128)</f>
        <v>0</v>
      </c>
      <c r="AT488" s="2556"/>
      <c r="AU488" s="2556"/>
      <c r="AV488" s="2557"/>
      <c r="AW488" s="2520">
        <f t="shared" ca="1" si="149"/>
        <v>0</v>
      </c>
      <c r="AX488" s="2521"/>
      <c r="AY488" s="2521"/>
      <c r="AZ488" s="2522"/>
      <c r="BA488" s="25" t="b">
        <f t="shared" ca="1" si="150"/>
        <v>0</v>
      </c>
    </row>
    <row r="489" spans="2:54" s="1847" customFormat="1" ht="13.5" customHeight="1">
      <c r="B489" s="2681"/>
      <c r="C489" s="2673"/>
      <c r="D489" s="2683"/>
      <c r="E489" s="1392" t="s">
        <v>893</v>
      </c>
      <c r="F489" s="2500" t="s">
        <v>1785</v>
      </c>
      <c r="G489" s="2500"/>
      <c r="H489" s="2500"/>
      <c r="I489" s="2500"/>
      <c r="J489" s="2500"/>
      <c r="K489" s="2500"/>
      <c r="L489" s="2500"/>
      <c r="M489" s="2500"/>
      <c r="N489" s="2500"/>
      <c r="O489" s="2500"/>
      <c r="P489" s="2501"/>
      <c r="Q489" s="2542">
        <v>23590</v>
      </c>
      <c r="R489" s="2518"/>
      <c r="S489" s="2518"/>
      <c r="T489" s="2299" t="s">
        <v>1664</v>
      </c>
      <c r="U489" s="2518" t="s">
        <v>1173</v>
      </c>
      <c r="V489" s="2518"/>
      <c r="W489" s="2518"/>
      <c r="X489" s="2299" t="s">
        <v>895</v>
      </c>
      <c r="Y489" s="2518">
        <v>560</v>
      </c>
      <c r="Z489" s="2518"/>
      <c r="AA489" s="2518"/>
      <c r="AB489" s="2301" t="s">
        <v>1172</v>
      </c>
      <c r="AC489" s="2518"/>
      <c r="AD489" s="2518"/>
      <c r="AE489" s="2518"/>
      <c r="AF489" s="1848" t="s">
        <v>1172</v>
      </c>
      <c r="AG489" s="2518"/>
      <c r="AH489" s="2518"/>
      <c r="AI489" s="2519"/>
      <c r="AJ489" s="2520">
        <f t="shared" si="147"/>
        <v>24150</v>
      </c>
      <c r="AK489" s="2521"/>
      <c r="AL489" s="2522"/>
      <c r="AM489" s="2505">
        <v>1</v>
      </c>
      <c r="AN489" s="2506"/>
      <c r="AO489" s="2507"/>
      <c r="AP489" s="2499">
        <f t="shared" si="148"/>
        <v>24150</v>
      </c>
      <c r="AQ489" s="2500"/>
      <c r="AR489" s="2501"/>
      <c r="AS489" s="2555">
        <f ca="1">SUMIF(床・天井!R$6:R$89,F489,床・天井!I$6:I$89)+SUMIF(見積拾!C$120:D$128,F489,見積拾!T$120:T$128)</f>
        <v>0</v>
      </c>
      <c r="AT489" s="2556"/>
      <c r="AU489" s="2556"/>
      <c r="AV489" s="2557"/>
      <c r="AW489" s="2520">
        <f t="shared" ca="1" si="149"/>
        <v>0</v>
      </c>
      <c r="AX489" s="2521"/>
      <c r="AY489" s="2521"/>
      <c r="AZ489" s="2522"/>
      <c r="BA489" s="25" t="b">
        <f t="shared" ca="1" si="150"/>
        <v>0</v>
      </c>
    </row>
    <row r="490" spans="2:54" s="1847" customFormat="1" ht="13.5" customHeight="1">
      <c r="B490" s="2681"/>
      <c r="C490" s="2673"/>
      <c r="D490" s="2683"/>
      <c r="E490" s="1392" t="s">
        <v>893</v>
      </c>
      <c r="F490" s="2500" t="s">
        <v>1786</v>
      </c>
      <c r="G490" s="2500"/>
      <c r="H490" s="2500"/>
      <c r="I490" s="2500"/>
      <c r="J490" s="2500"/>
      <c r="K490" s="2500"/>
      <c r="L490" s="2500"/>
      <c r="M490" s="2500"/>
      <c r="N490" s="2500"/>
      <c r="O490" s="2500"/>
      <c r="P490" s="2501"/>
      <c r="Q490" s="2542">
        <v>13010</v>
      </c>
      <c r="R490" s="2518"/>
      <c r="S490" s="2518"/>
      <c r="T490" s="2299" t="s">
        <v>1664</v>
      </c>
      <c r="U490" s="2518" t="s">
        <v>1173</v>
      </c>
      <c r="V490" s="2518"/>
      <c r="W490" s="2518"/>
      <c r="X490" s="2299" t="s">
        <v>895</v>
      </c>
      <c r="Y490" s="2518">
        <v>560</v>
      </c>
      <c r="Z490" s="2518"/>
      <c r="AA490" s="2518"/>
      <c r="AB490" s="2301" t="s">
        <v>1172</v>
      </c>
      <c r="AC490" s="2518"/>
      <c r="AD490" s="2518"/>
      <c r="AE490" s="2518"/>
      <c r="AF490" s="1848" t="s">
        <v>1172</v>
      </c>
      <c r="AG490" s="2518"/>
      <c r="AH490" s="2518"/>
      <c r="AI490" s="2519"/>
      <c r="AJ490" s="2520">
        <f t="shared" si="147"/>
        <v>13570</v>
      </c>
      <c r="AK490" s="2521"/>
      <c r="AL490" s="2522"/>
      <c r="AM490" s="2505">
        <v>1</v>
      </c>
      <c r="AN490" s="2506"/>
      <c r="AO490" s="2507"/>
      <c r="AP490" s="2499">
        <f t="shared" si="148"/>
        <v>13570</v>
      </c>
      <c r="AQ490" s="2500"/>
      <c r="AR490" s="2501"/>
      <c r="AS490" s="2555">
        <f ca="1">SUMIF(床・天井!R$6:R$89,F490,床・天井!I$6:I$89)+SUMIF(見積拾!C$120:D$128,F490,見積拾!T$120:T$128)</f>
        <v>0</v>
      </c>
      <c r="AT490" s="2556"/>
      <c r="AU490" s="2556"/>
      <c r="AV490" s="2557"/>
      <c r="AW490" s="2520">
        <f t="shared" ca="1" si="149"/>
        <v>0</v>
      </c>
      <c r="AX490" s="2521"/>
      <c r="AY490" s="2521"/>
      <c r="AZ490" s="2522"/>
      <c r="BA490" s="25" t="b">
        <f t="shared" ca="1" si="150"/>
        <v>0</v>
      </c>
    </row>
    <row r="491" spans="2:54" ht="13.5" customHeight="1">
      <c r="B491" s="2681"/>
      <c r="C491" s="2673"/>
      <c r="D491" s="2682"/>
      <c r="E491" s="1392" t="s">
        <v>893</v>
      </c>
      <c r="F491" s="2500" t="s">
        <v>1787</v>
      </c>
      <c r="G491" s="2500"/>
      <c r="H491" s="2500"/>
      <c r="I491" s="2500"/>
      <c r="J491" s="2500"/>
      <c r="K491" s="2500"/>
      <c r="L491" s="2500"/>
      <c r="M491" s="2500"/>
      <c r="N491" s="2500"/>
      <c r="O491" s="2500"/>
      <c r="P491" s="2501"/>
      <c r="Q491" s="2542">
        <v>10610</v>
      </c>
      <c r="R491" s="2518"/>
      <c r="S491" s="2518"/>
      <c r="T491" s="2299" t="s">
        <v>1664</v>
      </c>
      <c r="U491" s="2518" t="s">
        <v>1173</v>
      </c>
      <c r="V491" s="2518"/>
      <c r="W491" s="2518"/>
      <c r="X491" s="2299" t="s">
        <v>895</v>
      </c>
      <c r="Y491" s="2518">
        <v>560</v>
      </c>
      <c r="Z491" s="2518"/>
      <c r="AA491" s="2518"/>
      <c r="AB491" s="2301" t="s">
        <v>1180</v>
      </c>
      <c r="AC491" s="2518"/>
      <c r="AD491" s="2518"/>
      <c r="AE491" s="2518"/>
      <c r="AF491" s="1379" t="s">
        <v>1180</v>
      </c>
      <c r="AG491" s="2518"/>
      <c r="AH491" s="2518"/>
      <c r="AI491" s="2519"/>
      <c r="AJ491" s="2520">
        <f t="shared" si="143"/>
        <v>11170</v>
      </c>
      <c r="AK491" s="2521"/>
      <c r="AL491" s="2522"/>
      <c r="AM491" s="2505">
        <v>1</v>
      </c>
      <c r="AN491" s="2506"/>
      <c r="AO491" s="2507"/>
      <c r="AP491" s="2499">
        <f t="shared" si="144"/>
        <v>11170</v>
      </c>
      <c r="AQ491" s="2500"/>
      <c r="AR491" s="2501"/>
      <c r="AS491" s="2555">
        <f ca="1">SUMIF(床・天井!R$6:R$89,F491,床・天井!I$6:I$89)+SUMIF(見積拾!C$120:D$128,F491,見積拾!T$120:T$128)</f>
        <v>0</v>
      </c>
      <c r="AT491" s="2556"/>
      <c r="AU491" s="2556"/>
      <c r="AV491" s="2557"/>
      <c r="AW491" s="2520">
        <f t="shared" ca="1" si="145"/>
        <v>0</v>
      </c>
      <c r="AX491" s="2521"/>
      <c r="AY491" s="2521"/>
      <c r="AZ491" s="2522"/>
      <c r="BA491" s="25" t="b">
        <f t="shared" ca="1" si="146"/>
        <v>0</v>
      </c>
    </row>
    <row r="492" spans="2:54" ht="13.5" customHeight="1">
      <c r="B492" s="2681"/>
      <c r="C492" s="2673"/>
      <c r="D492" s="2682"/>
      <c r="E492" s="1392" t="s">
        <v>893</v>
      </c>
      <c r="F492" s="2500" t="s">
        <v>1788</v>
      </c>
      <c r="G492" s="2500"/>
      <c r="H492" s="2500"/>
      <c r="I492" s="2500"/>
      <c r="J492" s="2500"/>
      <c r="K492" s="2500"/>
      <c r="L492" s="2500"/>
      <c r="M492" s="2500"/>
      <c r="N492" s="2500"/>
      <c r="O492" s="2500"/>
      <c r="P492" s="2501"/>
      <c r="Q492" s="2542">
        <v>9410</v>
      </c>
      <c r="R492" s="2518"/>
      <c r="S492" s="2518"/>
      <c r="T492" s="2299" t="s">
        <v>1664</v>
      </c>
      <c r="U492" s="2518" t="s">
        <v>1173</v>
      </c>
      <c r="V492" s="2518"/>
      <c r="W492" s="2518"/>
      <c r="X492" s="2299" t="s">
        <v>895</v>
      </c>
      <c r="Y492" s="2518">
        <v>560</v>
      </c>
      <c r="Z492" s="2518"/>
      <c r="AA492" s="2518"/>
      <c r="AB492" s="2301" t="s">
        <v>1180</v>
      </c>
      <c r="AC492" s="2518"/>
      <c r="AD492" s="2518"/>
      <c r="AE492" s="2518"/>
      <c r="AF492" s="1379" t="s">
        <v>1180</v>
      </c>
      <c r="AG492" s="2518"/>
      <c r="AH492" s="2518"/>
      <c r="AI492" s="2519"/>
      <c r="AJ492" s="2520">
        <f t="shared" si="143"/>
        <v>9970</v>
      </c>
      <c r="AK492" s="2521"/>
      <c r="AL492" s="2522"/>
      <c r="AM492" s="2505">
        <v>1</v>
      </c>
      <c r="AN492" s="2506"/>
      <c r="AO492" s="2507"/>
      <c r="AP492" s="2499">
        <f t="shared" si="144"/>
        <v>9970</v>
      </c>
      <c r="AQ492" s="2500"/>
      <c r="AR492" s="2501"/>
      <c r="AS492" s="2555">
        <f ca="1">SUMIF(床・天井!R$6:R$89,F492,床・天井!I$6:I$89)+SUMIF(見積拾!C$120:D$128,F492,見積拾!T$120:T$128)</f>
        <v>0</v>
      </c>
      <c r="AT492" s="2556"/>
      <c r="AU492" s="2556"/>
      <c r="AV492" s="2557"/>
      <c r="AW492" s="2520">
        <f t="shared" ca="1" si="145"/>
        <v>0</v>
      </c>
      <c r="AX492" s="2521"/>
      <c r="AY492" s="2521"/>
      <c r="AZ492" s="2522"/>
      <c r="BA492" s="25" t="b">
        <f t="shared" ca="1" si="146"/>
        <v>0</v>
      </c>
    </row>
    <row r="493" spans="2:54" ht="13.5" customHeight="1">
      <c r="B493" s="2681"/>
      <c r="C493" s="2673"/>
      <c r="D493" s="2682"/>
      <c r="E493" s="1392" t="s">
        <v>893</v>
      </c>
      <c r="F493" s="2500" t="s">
        <v>1185</v>
      </c>
      <c r="G493" s="2500"/>
      <c r="H493" s="2500"/>
      <c r="I493" s="2500"/>
      <c r="J493" s="2500"/>
      <c r="K493" s="2500"/>
      <c r="L493" s="2500"/>
      <c r="M493" s="2500"/>
      <c r="N493" s="2500"/>
      <c r="O493" s="2500"/>
      <c r="P493" s="2501"/>
      <c r="Q493" s="2542">
        <v>3400</v>
      </c>
      <c r="R493" s="2518"/>
      <c r="S493" s="2518"/>
      <c r="T493" s="2299" t="s">
        <v>1664</v>
      </c>
      <c r="U493" s="2518" t="s">
        <v>1173</v>
      </c>
      <c r="V493" s="2518"/>
      <c r="W493" s="2518"/>
      <c r="X493" s="2299" t="s">
        <v>895</v>
      </c>
      <c r="Y493" s="2518">
        <v>560</v>
      </c>
      <c r="Z493" s="2518"/>
      <c r="AA493" s="2518"/>
      <c r="AB493" s="2301" t="s">
        <v>1180</v>
      </c>
      <c r="AC493" s="2518"/>
      <c r="AD493" s="2518"/>
      <c r="AE493" s="2518"/>
      <c r="AF493" s="1379" t="s">
        <v>1180</v>
      </c>
      <c r="AG493" s="2518"/>
      <c r="AH493" s="2518"/>
      <c r="AI493" s="2519"/>
      <c r="AJ493" s="2520">
        <f t="shared" si="143"/>
        <v>3960</v>
      </c>
      <c r="AK493" s="2521"/>
      <c r="AL493" s="2522"/>
      <c r="AM493" s="2505">
        <v>1</v>
      </c>
      <c r="AN493" s="2506"/>
      <c r="AO493" s="2507"/>
      <c r="AP493" s="2499">
        <f t="shared" si="144"/>
        <v>3960</v>
      </c>
      <c r="AQ493" s="2500"/>
      <c r="AR493" s="2501"/>
      <c r="AS493" s="2555">
        <f ca="1">SUMIF(床・天井!R$6:R$89,F493,床・天井!I$6:I$89)+SUMIF(見積拾!C$120:D$128,F493,見積拾!T$120:T$128)</f>
        <v>0</v>
      </c>
      <c r="AT493" s="2556"/>
      <c r="AU493" s="2556"/>
      <c r="AV493" s="2557"/>
      <c r="AW493" s="2520">
        <f t="shared" ca="1" si="145"/>
        <v>0</v>
      </c>
      <c r="AX493" s="2521"/>
      <c r="AY493" s="2521"/>
      <c r="AZ493" s="2522"/>
      <c r="BA493" s="25" t="b">
        <f t="shared" ca="1" si="146"/>
        <v>0</v>
      </c>
      <c r="BB493" t="s">
        <v>1642</v>
      </c>
    </row>
    <row r="494" spans="2:54" ht="13.5" customHeight="1">
      <c r="B494" s="2681"/>
      <c r="C494" s="2673"/>
      <c r="D494" s="2682"/>
      <c r="E494" s="1392" t="s">
        <v>893</v>
      </c>
      <c r="F494" s="2500" t="s">
        <v>1789</v>
      </c>
      <c r="G494" s="2500"/>
      <c r="H494" s="2500"/>
      <c r="I494" s="2500"/>
      <c r="J494" s="2500"/>
      <c r="K494" s="2500"/>
      <c r="L494" s="2500"/>
      <c r="M494" s="2500"/>
      <c r="N494" s="2500"/>
      <c r="O494" s="2500"/>
      <c r="P494" s="2501"/>
      <c r="Q494" s="2542">
        <v>6180</v>
      </c>
      <c r="R494" s="2518"/>
      <c r="S494" s="2518"/>
      <c r="T494" s="2299" t="s">
        <v>1664</v>
      </c>
      <c r="U494" s="2518" t="s">
        <v>1173</v>
      </c>
      <c r="V494" s="2518"/>
      <c r="W494" s="2518"/>
      <c r="X494" s="2299" t="s">
        <v>895</v>
      </c>
      <c r="Y494" s="2518">
        <v>3960</v>
      </c>
      <c r="Z494" s="2518"/>
      <c r="AA494" s="2518"/>
      <c r="AB494" s="2301" t="s">
        <v>1180</v>
      </c>
      <c r="AC494" s="2518"/>
      <c r="AD494" s="2518"/>
      <c r="AE494" s="2518"/>
      <c r="AF494" s="1379" t="s">
        <v>1180</v>
      </c>
      <c r="AG494" s="2518"/>
      <c r="AH494" s="2518"/>
      <c r="AI494" s="2519"/>
      <c r="AJ494" s="2520">
        <f t="shared" si="143"/>
        <v>10140</v>
      </c>
      <c r="AK494" s="2521"/>
      <c r="AL494" s="2522"/>
      <c r="AM494" s="2505">
        <v>1</v>
      </c>
      <c r="AN494" s="2506"/>
      <c r="AO494" s="2507"/>
      <c r="AP494" s="2499">
        <f t="shared" si="144"/>
        <v>10140</v>
      </c>
      <c r="AQ494" s="2500"/>
      <c r="AR494" s="2501"/>
      <c r="AS494" s="2555">
        <f ca="1">SUMIF(床・天井!R$6:R$89,F494,床・天井!I$6:I$89)+SUMIF(見積拾!C$120:D$128,F494,見積拾!T$120:T$128)</f>
        <v>0</v>
      </c>
      <c r="AT494" s="2556"/>
      <c r="AU494" s="2556"/>
      <c r="AV494" s="2557"/>
      <c r="AW494" s="2520">
        <f t="shared" ca="1" si="145"/>
        <v>0</v>
      </c>
      <c r="AX494" s="2521"/>
      <c r="AY494" s="2521"/>
      <c r="AZ494" s="2522"/>
      <c r="BA494" s="25" t="b">
        <f t="shared" ca="1" si="146"/>
        <v>0</v>
      </c>
      <c r="BB494" t="s">
        <v>1585</v>
      </c>
    </row>
    <row r="495" spans="2:54" ht="13.5" customHeight="1">
      <c r="B495" s="2681"/>
      <c r="C495" s="2673"/>
      <c r="D495" s="2682"/>
      <c r="E495" s="1392" t="s">
        <v>893</v>
      </c>
      <c r="F495" s="2500" t="s">
        <v>1790</v>
      </c>
      <c r="G495" s="2500"/>
      <c r="H495" s="2500"/>
      <c r="I495" s="2500"/>
      <c r="J495" s="2500"/>
      <c r="K495" s="2500"/>
      <c r="L495" s="2500"/>
      <c r="M495" s="2500"/>
      <c r="N495" s="2500"/>
      <c r="O495" s="2500"/>
      <c r="P495" s="2501"/>
      <c r="Q495" s="2542">
        <v>3520</v>
      </c>
      <c r="R495" s="2518"/>
      <c r="S495" s="2518"/>
      <c r="T495" s="2299" t="s">
        <v>1664</v>
      </c>
      <c r="U495" s="2518" t="s">
        <v>1173</v>
      </c>
      <c r="V495" s="2518"/>
      <c r="W495" s="2518"/>
      <c r="X495" s="2299" t="s">
        <v>895</v>
      </c>
      <c r="Y495" s="2518">
        <v>3960</v>
      </c>
      <c r="Z495" s="2518"/>
      <c r="AA495" s="2518"/>
      <c r="AB495" s="2301" t="s">
        <v>1180</v>
      </c>
      <c r="AC495" s="2518"/>
      <c r="AD495" s="2518"/>
      <c r="AE495" s="2518"/>
      <c r="AF495" s="1379" t="s">
        <v>1180</v>
      </c>
      <c r="AG495" s="2518"/>
      <c r="AH495" s="2518"/>
      <c r="AI495" s="2519"/>
      <c r="AJ495" s="2520">
        <f t="shared" si="143"/>
        <v>7480</v>
      </c>
      <c r="AK495" s="2521"/>
      <c r="AL495" s="2522"/>
      <c r="AM495" s="2505">
        <v>1</v>
      </c>
      <c r="AN495" s="2506"/>
      <c r="AO495" s="2507"/>
      <c r="AP495" s="2499">
        <f t="shared" si="144"/>
        <v>7480</v>
      </c>
      <c r="AQ495" s="2500"/>
      <c r="AR495" s="2501"/>
      <c r="AS495" s="2555">
        <f ca="1">SUMIF(床・天井!R$6:R$89,F495,床・天井!I$6:I$89)+SUMIF(見積拾!C$120:D$128,F495,見積拾!T$120:T$128)</f>
        <v>0</v>
      </c>
      <c r="AT495" s="2556"/>
      <c r="AU495" s="2556"/>
      <c r="AV495" s="2557"/>
      <c r="AW495" s="2520">
        <f t="shared" ca="1" si="145"/>
        <v>0</v>
      </c>
      <c r="AX495" s="2521"/>
      <c r="AY495" s="2521"/>
      <c r="AZ495" s="2522"/>
      <c r="BA495" s="25" t="b">
        <f t="shared" ca="1" si="146"/>
        <v>0</v>
      </c>
      <c r="BB495" t="s">
        <v>1587</v>
      </c>
    </row>
    <row r="496" spans="2:54" ht="13.5" customHeight="1">
      <c r="B496" s="2681"/>
      <c r="C496" s="2673"/>
      <c r="D496" s="2682"/>
      <c r="E496" s="1392" t="s">
        <v>893</v>
      </c>
      <c r="F496" s="2500" t="s">
        <v>1791</v>
      </c>
      <c r="G496" s="2500"/>
      <c r="H496" s="2500"/>
      <c r="I496" s="2500"/>
      <c r="J496" s="2500"/>
      <c r="K496" s="2500"/>
      <c r="L496" s="2500"/>
      <c r="M496" s="2500"/>
      <c r="N496" s="2500"/>
      <c r="O496" s="2500"/>
      <c r="P496" s="2501"/>
      <c r="Q496" s="2542">
        <v>1230</v>
      </c>
      <c r="R496" s="2518"/>
      <c r="S496" s="2518"/>
      <c r="T496" s="2299" t="s">
        <v>1664</v>
      </c>
      <c r="U496" s="2518" t="s">
        <v>1173</v>
      </c>
      <c r="V496" s="2518"/>
      <c r="W496" s="2518"/>
      <c r="X496" s="2299" t="s">
        <v>895</v>
      </c>
      <c r="Y496" s="2518">
        <v>3960</v>
      </c>
      <c r="Z496" s="2518"/>
      <c r="AA496" s="2518"/>
      <c r="AB496" s="2301" t="s">
        <v>1180</v>
      </c>
      <c r="AC496" s="2518"/>
      <c r="AD496" s="2518"/>
      <c r="AE496" s="2518"/>
      <c r="AF496" s="1379" t="s">
        <v>1180</v>
      </c>
      <c r="AG496" s="2518"/>
      <c r="AH496" s="2518"/>
      <c r="AI496" s="2519"/>
      <c r="AJ496" s="2520">
        <f>ROUNDDOWN(SUM(Q496:AI496),-1)</f>
        <v>5190</v>
      </c>
      <c r="AK496" s="2521"/>
      <c r="AL496" s="2522"/>
      <c r="AM496" s="2505">
        <v>1</v>
      </c>
      <c r="AN496" s="2506"/>
      <c r="AO496" s="2507"/>
      <c r="AP496" s="2499">
        <f>INT(AJ496*AM496)</f>
        <v>5190</v>
      </c>
      <c r="AQ496" s="2500"/>
      <c r="AR496" s="2501"/>
      <c r="AS496" s="2555">
        <f ca="1">SUMIF(床・天井!R$6:R$89,F496,床・天井!I$6:I$89)+SUMIF(見積拾!C$120:D$128,F496,見積拾!T$120:T$128)</f>
        <v>0</v>
      </c>
      <c r="AT496" s="2556"/>
      <c r="AU496" s="2556"/>
      <c r="AV496" s="2557"/>
      <c r="AW496" s="2520">
        <f ca="1">INT(AP496*AS496)</f>
        <v>0</v>
      </c>
      <c r="AX496" s="2521"/>
      <c r="AY496" s="2521"/>
      <c r="AZ496" s="2522"/>
      <c r="BA496" s="25" t="b">
        <f ca="1">AW496&lt;&gt;0</f>
        <v>0</v>
      </c>
      <c r="BB496" t="s">
        <v>1586</v>
      </c>
    </row>
    <row r="497" spans="2:54" ht="13.5" customHeight="1">
      <c r="B497" s="2681"/>
      <c r="C497" s="2673"/>
      <c r="D497" s="2682"/>
      <c r="E497" s="1392" t="s">
        <v>893</v>
      </c>
      <c r="F497" s="2500" t="s">
        <v>1792</v>
      </c>
      <c r="G497" s="2500"/>
      <c r="H497" s="2500"/>
      <c r="I497" s="2500"/>
      <c r="J497" s="2500"/>
      <c r="K497" s="2500"/>
      <c r="L497" s="2500"/>
      <c r="M497" s="2500"/>
      <c r="N497" s="2500"/>
      <c r="O497" s="2500"/>
      <c r="P497" s="2501"/>
      <c r="Q497" s="2542">
        <v>19399</v>
      </c>
      <c r="R497" s="2518"/>
      <c r="S497" s="2518"/>
      <c r="T497" s="2299" t="s">
        <v>1664</v>
      </c>
      <c r="U497" s="2518">
        <v>1365</v>
      </c>
      <c r="V497" s="2518"/>
      <c r="W497" s="2518"/>
      <c r="X497" s="2299" t="s">
        <v>895</v>
      </c>
      <c r="Y497" s="2518">
        <v>3960</v>
      </c>
      <c r="Z497" s="2518"/>
      <c r="AA497" s="2518"/>
      <c r="AB497" s="2301" t="s">
        <v>1180</v>
      </c>
      <c r="AC497" s="2518"/>
      <c r="AD497" s="2518"/>
      <c r="AE497" s="2518"/>
      <c r="AF497" s="1379" t="s">
        <v>1180</v>
      </c>
      <c r="AG497" s="2518"/>
      <c r="AH497" s="2518"/>
      <c r="AI497" s="2519"/>
      <c r="AJ497" s="2520">
        <f t="shared" si="143"/>
        <v>24720</v>
      </c>
      <c r="AK497" s="2521"/>
      <c r="AL497" s="2522"/>
      <c r="AM497" s="2505">
        <v>1</v>
      </c>
      <c r="AN497" s="2506"/>
      <c r="AO497" s="2507"/>
      <c r="AP497" s="2499">
        <f t="shared" si="144"/>
        <v>24720</v>
      </c>
      <c r="AQ497" s="2500"/>
      <c r="AR497" s="2501"/>
      <c r="AS497" s="2555">
        <f ca="1">SUMIF(床・天井!R$6:R$89,F497,床・天井!I$6:I$89)+SUMIF(見積拾!C$120:D$128,F497,見積拾!T$120:T$128)</f>
        <v>0</v>
      </c>
      <c r="AT497" s="2556"/>
      <c r="AU497" s="2556"/>
      <c r="AV497" s="2557"/>
      <c r="AW497" s="2520">
        <f t="shared" ca="1" si="145"/>
        <v>0</v>
      </c>
      <c r="AX497" s="2521"/>
      <c r="AY497" s="2521"/>
      <c r="AZ497" s="2522"/>
      <c r="BA497" s="25" t="b">
        <f t="shared" ca="1" si="146"/>
        <v>0</v>
      </c>
      <c r="BB497"/>
    </row>
    <row r="498" spans="2:54" ht="13.5" customHeight="1">
      <c r="B498" s="2681"/>
      <c r="C498" s="2673"/>
      <c r="D498" s="2682"/>
      <c r="E498" s="1392" t="s">
        <v>893</v>
      </c>
      <c r="F498" s="2500" t="s">
        <v>1793</v>
      </c>
      <c r="G498" s="2500"/>
      <c r="H498" s="2500"/>
      <c r="I498" s="2500"/>
      <c r="J498" s="2500"/>
      <c r="K498" s="2500"/>
      <c r="L498" s="2500"/>
      <c r="M498" s="2500"/>
      <c r="N498" s="2500"/>
      <c r="O498" s="2500"/>
      <c r="P498" s="2501"/>
      <c r="Q498" s="2542">
        <v>11031</v>
      </c>
      <c r="R498" s="2518"/>
      <c r="S498" s="2518"/>
      <c r="T498" s="2299" t="s">
        <v>1664</v>
      </c>
      <c r="U498" s="2518">
        <v>1365</v>
      </c>
      <c r="V498" s="2518"/>
      <c r="W498" s="2518"/>
      <c r="X498" s="2299" t="s">
        <v>895</v>
      </c>
      <c r="Y498" s="2518">
        <v>3960</v>
      </c>
      <c r="Z498" s="2518"/>
      <c r="AA498" s="2518"/>
      <c r="AB498" s="2301" t="s">
        <v>1180</v>
      </c>
      <c r="AC498" s="2518"/>
      <c r="AD498" s="2518"/>
      <c r="AE498" s="2518"/>
      <c r="AF498" s="1379" t="s">
        <v>1180</v>
      </c>
      <c r="AG498" s="2518"/>
      <c r="AH498" s="2518"/>
      <c r="AI498" s="2519"/>
      <c r="AJ498" s="2520">
        <f t="shared" si="143"/>
        <v>16350</v>
      </c>
      <c r="AK498" s="2521"/>
      <c r="AL498" s="2522"/>
      <c r="AM498" s="2505">
        <v>1</v>
      </c>
      <c r="AN498" s="2506"/>
      <c r="AO498" s="2507"/>
      <c r="AP498" s="2499">
        <f t="shared" si="144"/>
        <v>16350</v>
      </c>
      <c r="AQ498" s="2500"/>
      <c r="AR498" s="2501"/>
      <c r="AS498" s="2555">
        <f ca="1">SUMIF(床・天井!R$6:R$89,F498,床・天井!I$6:I$89)+SUMIF(見積拾!C$120:D$128,F498,見積拾!T$120:T$128)</f>
        <v>0</v>
      </c>
      <c r="AT498" s="2556"/>
      <c r="AU498" s="2556"/>
      <c r="AV498" s="2557"/>
      <c r="AW498" s="2520">
        <f t="shared" ca="1" si="145"/>
        <v>0</v>
      </c>
      <c r="AX498" s="2521"/>
      <c r="AY498" s="2521"/>
      <c r="AZ498" s="2522"/>
      <c r="BA498" s="25" t="b">
        <f t="shared" ca="1" si="146"/>
        <v>0</v>
      </c>
      <c r="BB498"/>
    </row>
    <row r="499" spans="2:54" ht="13.5" customHeight="1">
      <c r="B499" s="2681"/>
      <c r="C499" s="2673"/>
      <c r="D499" s="2682"/>
      <c r="E499" s="1392" t="s">
        <v>893</v>
      </c>
      <c r="F499" s="2500" t="s">
        <v>1794</v>
      </c>
      <c r="G499" s="2500"/>
      <c r="H499" s="2500"/>
      <c r="I499" s="2500"/>
      <c r="J499" s="2500"/>
      <c r="K499" s="2500"/>
      <c r="L499" s="2500"/>
      <c r="M499" s="2500"/>
      <c r="N499" s="2500"/>
      <c r="O499" s="2500"/>
      <c r="P499" s="2501"/>
      <c r="Q499" s="2542">
        <v>1384</v>
      </c>
      <c r="R499" s="2518"/>
      <c r="S499" s="2518"/>
      <c r="T499" s="2299" t="s">
        <v>1664</v>
      </c>
      <c r="U499" s="2518" t="s">
        <v>1173</v>
      </c>
      <c r="V499" s="2518"/>
      <c r="W499" s="2518"/>
      <c r="X499" s="2299" t="s">
        <v>895</v>
      </c>
      <c r="Y499" s="2518" t="s">
        <v>1174</v>
      </c>
      <c r="Z499" s="2518"/>
      <c r="AA499" s="2518"/>
      <c r="AB499" s="2301" t="s">
        <v>1180</v>
      </c>
      <c r="AC499" s="2518"/>
      <c r="AD499" s="2518"/>
      <c r="AE499" s="2518"/>
      <c r="AF499" s="1379" t="s">
        <v>1180</v>
      </c>
      <c r="AG499" s="2518"/>
      <c r="AH499" s="2518"/>
      <c r="AI499" s="2519"/>
      <c r="AJ499" s="2520">
        <f t="shared" si="143"/>
        <v>1380</v>
      </c>
      <c r="AK499" s="2521"/>
      <c r="AL499" s="2522"/>
      <c r="AM499" s="2505">
        <v>1</v>
      </c>
      <c r="AN499" s="2506"/>
      <c r="AO499" s="2507"/>
      <c r="AP499" s="2499">
        <f t="shared" si="144"/>
        <v>1380</v>
      </c>
      <c r="AQ499" s="2500"/>
      <c r="AR499" s="2501"/>
      <c r="AS499" s="2555">
        <f ca="1">SUMIF(床・天井!R$6:R$89,F499,床・天井!I$6:I$89)+SUMIF(見積拾!C$120:D$128,F499,見積拾!T$120:T$128)</f>
        <v>0</v>
      </c>
      <c r="AT499" s="2556"/>
      <c r="AU499" s="2556"/>
      <c r="AV499" s="2557"/>
      <c r="AW499" s="2520">
        <f t="shared" ca="1" si="145"/>
        <v>0</v>
      </c>
      <c r="AX499" s="2521"/>
      <c r="AY499" s="2521"/>
      <c r="AZ499" s="2522"/>
      <c r="BA499" s="25" t="b">
        <f t="shared" ca="1" si="146"/>
        <v>0</v>
      </c>
    </row>
    <row r="500" spans="2:54" ht="13.5" customHeight="1">
      <c r="B500" s="2681"/>
      <c r="C500" s="2673"/>
      <c r="D500" s="2682"/>
      <c r="E500" s="1392" t="s">
        <v>893</v>
      </c>
      <c r="F500" s="2500" t="s">
        <v>1795</v>
      </c>
      <c r="G500" s="2500"/>
      <c r="H500" s="2500"/>
      <c r="I500" s="2500"/>
      <c r="J500" s="2500"/>
      <c r="K500" s="2500"/>
      <c r="L500" s="2500"/>
      <c r="M500" s="2500"/>
      <c r="N500" s="2500"/>
      <c r="O500" s="2500"/>
      <c r="P500" s="2501"/>
      <c r="Q500" s="2542">
        <v>11600</v>
      </c>
      <c r="R500" s="2518"/>
      <c r="S500" s="2518"/>
      <c r="T500" s="2299" t="s">
        <v>1664</v>
      </c>
      <c r="U500" s="2518" t="s">
        <v>1173</v>
      </c>
      <c r="V500" s="2518"/>
      <c r="W500" s="2518"/>
      <c r="X500" s="2299" t="s">
        <v>895</v>
      </c>
      <c r="Y500" s="2518">
        <v>560</v>
      </c>
      <c r="Z500" s="2518"/>
      <c r="AA500" s="2518"/>
      <c r="AB500" s="2301" t="s">
        <v>1180</v>
      </c>
      <c r="AC500" s="2518"/>
      <c r="AD500" s="2518"/>
      <c r="AE500" s="2518"/>
      <c r="AF500" s="1379" t="s">
        <v>1180</v>
      </c>
      <c r="AG500" s="2518"/>
      <c r="AH500" s="2518"/>
      <c r="AI500" s="2519"/>
      <c r="AJ500" s="2520">
        <f t="shared" si="143"/>
        <v>12160</v>
      </c>
      <c r="AK500" s="2521"/>
      <c r="AL500" s="2522"/>
      <c r="AM500" s="2505">
        <v>1</v>
      </c>
      <c r="AN500" s="2506"/>
      <c r="AO500" s="2507"/>
      <c r="AP500" s="2499">
        <f t="shared" si="144"/>
        <v>12160</v>
      </c>
      <c r="AQ500" s="2500"/>
      <c r="AR500" s="2501"/>
      <c r="AS500" s="2555">
        <f ca="1">SUMIF(床・天井!R$6:R$89,F500,床・天井!I$6:I$89)+SUMIF(見積拾!C$120:D$128,F500,見積拾!T$120:T$128)</f>
        <v>0</v>
      </c>
      <c r="AT500" s="2556"/>
      <c r="AU500" s="2556"/>
      <c r="AV500" s="2557"/>
      <c r="AW500" s="2520">
        <f t="shared" ca="1" si="145"/>
        <v>0</v>
      </c>
      <c r="AX500" s="2521"/>
      <c r="AY500" s="2521"/>
      <c r="AZ500" s="2522"/>
      <c r="BA500" s="25" t="b">
        <f t="shared" ca="1" si="146"/>
        <v>0</v>
      </c>
      <c r="BB500" t="s">
        <v>1588</v>
      </c>
    </row>
    <row r="501" spans="2:54" ht="13.5" customHeight="1">
      <c r="B501" s="2681"/>
      <c r="C501" s="2673"/>
      <c r="D501" s="2682"/>
      <c r="E501" s="1392" t="s">
        <v>893</v>
      </c>
      <c r="F501" s="2500" t="s">
        <v>1796</v>
      </c>
      <c r="G501" s="2500"/>
      <c r="H501" s="2500"/>
      <c r="I501" s="2500"/>
      <c r="J501" s="2500"/>
      <c r="K501" s="2500"/>
      <c r="L501" s="2500"/>
      <c r="M501" s="2500"/>
      <c r="N501" s="2500"/>
      <c r="O501" s="2500"/>
      <c r="P501" s="2501"/>
      <c r="Q501" s="2542">
        <v>5170</v>
      </c>
      <c r="R501" s="2518"/>
      <c r="S501" s="2518"/>
      <c r="T501" s="2299" t="s">
        <v>1664</v>
      </c>
      <c r="U501" s="2518" t="s">
        <v>1173</v>
      </c>
      <c r="V501" s="2518"/>
      <c r="W501" s="2518"/>
      <c r="X501" s="2299" t="s">
        <v>895</v>
      </c>
      <c r="Y501" s="2518">
        <v>560</v>
      </c>
      <c r="Z501" s="2518"/>
      <c r="AA501" s="2518"/>
      <c r="AB501" s="2301" t="s">
        <v>1180</v>
      </c>
      <c r="AC501" s="2518"/>
      <c r="AD501" s="2518"/>
      <c r="AE501" s="2518"/>
      <c r="AF501" s="1379" t="s">
        <v>1180</v>
      </c>
      <c r="AG501" s="2518"/>
      <c r="AH501" s="2518"/>
      <c r="AI501" s="2519"/>
      <c r="AJ501" s="2520">
        <f t="shared" si="143"/>
        <v>5730</v>
      </c>
      <c r="AK501" s="2521"/>
      <c r="AL501" s="2522"/>
      <c r="AM501" s="2505">
        <v>1</v>
      </c>
      <c r="AN501" s="2506"/>
      <c r="AO501" s="2507"/>
      <c r="AP501" s="2499">
        <f t="shared" si="144"/>
        <v>5730</v>
      </c>
      <c r="AQ501" s="2500"/>
      <c r="AR501" s="2501"/>
      <c r="AS501" s="2555">
        <f ca="1">SUMIF(床・天井!R$6:R$89,F501,床・天井!I$6:I$89)+SUMIF(見積拾!C$120:D$128,F501,見積拾!T$120:T$128)</f>
        <v>0</v>
      </c>
      <c r="AT501" s="2556"/>
      <c r="AU501" s="2556"/>
      <c r="AV501" s="2557"/>
      <c r="AW501" s="2520">
        <f t="shared" ca="1" si="145"/>
        <v>0</v>
      </c>
      <c r="AX501" s="2521"/>
      <c r="AY501" s="2521"/>
      <c r="AZ501" s="2522"/>
      <c r="BA501" s="25" t="b">
        <f t="shared" ca="1" si="146"/>
        <v>0</v>
      </c>
      <c r="BB501" t="s">
        <v>1589</v>
      </c>
    </row>
    <row r="502" spans="2:54" ht="13.5" customHeight="1">
      <c r="B502" s="2681"/>
      <c r="C502" s="2673"/>
      <c r="D502" s="2682"/>
      <c r="E502" s="1392" t="s">
        <v>893</v>
      </c>
      <c r="F502" s="2500" t="s">
        <v>1797</v>
      </c>
      <c r="G502" s="2500"/>
      <c r="H502" s="2500"/>
      <c r="I502" s="2500"/>
      <c r="J502" s="2500"/>
      <c r="K502" s="2500"/>
      <c r="L502" s="2500"/>
      <c r="M502" s="2500"/>
      <c r="N502" s="2500"/>
      <c r="O502" s="2500"/>
      <c r="P502" s="2501"/>
      <c r="Q502" s="2542">
        <v>2630</v>
      </c>
      <c r="R502" s="2518"/>
      <c r="S502" s="2518"/>
      <c r="T502" s="2299" t="s">
        <v>1664</v>
      </c>
      <c r="U502" s="2518" t="s">
        <v>1173</v>
      </c>
      <c r="V502" s="2518"/>
      <c r="W502" s="2518"/>
      <c r="X502" s="2299" t="s">
        <v>895</v>
      </c>
      <c r="Y502" s="2518">
        <v>560</v>
      </c>
      <c r="Z502" s="2518"/>
      <c r="AA502" s="2518"/>
      <c r="AB502" s="2301" t="s">
        <v>1180</v>
      </c>
      <c r="AC502" s="2518"/>
      <c r="AD502" s="2518"/>
      <c r="AE502" s="2518"/>
      <c r="AF502" s="1379" t="s">
        <v>1180</v>
      </c>
      <c r="AG502" s="2518"/>
      <c r="AH502" s="2518"/>
      <c r="AI502" s="2519"/>
      <c r="AJ502" s="2520">
        <f t="shared" si="143"/>
        <v>3190</v>
      </c>
      <c r="AK502" s="2521"/>
      <c r="AL502" s="2522"/>
      <c r="AM502" s="2505">
        <v>1</v>
      </c>
      <c r="AN502" s="2506"/>
      <c r="AO502" s="2507"/>
      <c r="AP502" s="2499">
        <f t="shared" si="144"/>
        <v>3190</v>
      </c>
      <c r="AQ502" s="2500"/>
      <c r="AR502" s="2501"/>
      <c r="AS502" s="2555">
        <f ca="1">SUMIF(床・天井!R$6:R$89,F502,床・天井!I$6:I$89)+SUMIF(見積拾!C$120:D$128,F502,見積拾!T$120:T$128)</f>
        <v>0</v>
      </c>
      <c r="AT502" s="2556"/>
      <c r="AU502" s="2556"/>
      <c r="AV502" s="2557"/>
      <c r="AW502" s="2520">
        <f t="shared" ca="1" si="145"/>
        <v>0</v>
      </c>
      <c r="AX502" s="2521"/>
      <c r="AY502" s="2521"/>
      <c r="AZ502" s="2522"/>
      <c r="BA502" s="25" t="b">
        <f t="shared" ca="1" si="146"/>
        <v>0</v>
      </c>
      <c r="BB502" t="s">
        <v>1590</v>
      </c>
    </row>
    <row r="503" spans="2:54" ht="13.5" customHeight="1">
      <c r="B503" s="2681"/>
      <c r="C503" s="2673"/>
      <c r="D503" s="2682"/>
      <c r="E503" s="1392" t="s">
        <v>893</v>
      </c>
      <c r="F503" s="2500" t="s">
        <v>1798</v>
      </c>
      <c r="G503" s="2500"/>
      <c r="H503" s="2500"/>
      <c r="I503" s="2500"/>
      <c r="J503" s="2500"/>
      <c r="K503" s="2500"/>
      <c r="L503" s="2500"/>
      <c r="M503" s="2500"/>
      <c r="N503" s="2500"/>
      <c r="O503" s="2500"/>
      <c r="P503" s="2501"/>
      <c r="Q503" s="2542">
        <v>1420</v>
      </c>
      <c r="R503" s="2518"/>
      <c r="S503" s="2518"/>
      <c r="T503" s="2299" t="s">
        <v>1664</v>
      </c>
      <c r="U503" s="2518" t="s">
        <v>1173</v>
      </c>
      <c r="V503" s="2518"/>
      <c r="W503" s="2518"/>
      <c r="X503" s="2299" t="s">
        <v>895</v>
      </c>
      <c r="Y503" s="2518">
        <v>560</v>
      </c>
      <c r="Z503" s="2518"/>
      <c r="AA503" s="2518"/>
      <c r="AB503" s="2301" t="s">
        <v>1180</v>
      </c>
      <c r="AC503" s="2518"/>
      <c r="AD503" s="2518"/>
      <c r="AE503" s="2518"/>
      <c r="AF503" s="1379" t="s">
        <v>1180</v>
      </c>
      <c r="AG503" s="2518"/>
      <c r="AH503" s="2518"/>
      <c r="AI503" s="2519"/>
      <c r="AJ503" s="2520">
        <f t="shared" ref="AJ503:AJ536" si="151">ROUNDDOWN(SUM(Q503:AI503),-1)</f>
        <v>1980</v>
      </c>
      <c r="AK503" s="2521"/>
      <c r="AL503" s="2522"/>
      <c r="AM503" s="2505">
        <v>1</v>
      </c>
      <c r="AN503" s="2506"/>
      <c r="AO503" s="2507"/>
      <c r="AP503" s="2499">
        <f t="shared" ref="AP503:AP536" si="152">INT(AJ503*AM503)</f>
        <v>1980</v>
      </c>
      <c r="AQ503" s="2500"/>
      <c r="AR503" s="2501"/>
      <c r="AS503" s="2555">
        <f ca="1">SUMIF(床・天井!R$6:R$89,F503,床・天井!I$6:I$89)+SUMIF(見積拾!C$120:D$128,F503,見積拾!T$120:T$128)</f>
        <v>0</v>
      </c>
      <c r="AT503" s="2556"/>
      <c r="AU503" s="2556"/>
      <c r="AV503" s="2557"/>
      <c r="AW503" s="2520">
        <f t="shared" ref="AW503:AW536" ca="1" si="153">INT(AP503*AS503)</f>
        <v>0</v>
      </c>
      <c r="AX503" s="2521"/>
      <c r="AY503" s="2521"/>
      <c r="AZ503" s="2522"/>
      <c r="BA503" s="25" t="b">
        <f t="shared" ca="1" si="146"/>
        <v>0</v>
      </c>
      <c r="BB503" t="s">
        <v>1591</v>
      </c>
    </row>
    <row r="504" spans="2:54" ht="13.5" customHeight="1">
      <c r="B504" s="2681"/>
      <c r="C504" s="2673"/>
      <c r="D504" s="2682"/>
      <c r="E504" s="1392" t="s">
        <v>893</v>
      </c>
      <c r="F504" s="2500" t="s">
        <v>1726</v>
      </c>
      <c r="G504" s="2500"/>
      <c r="H504" s="2500"/>
      <c r="I504" s="2500"/>
      <c r="J504" s="2500"/>
      <c r="K504" s="2500"/>
      <c r="L504" s="2500"/>
      <c r="M504" s="2500"/>
      <c r="N504" s="2500"/>
      <c r="O504" s="2500"/>
      <c r="P504" s="2501"/>
      <c r="Q504" s="2542">
        <v>1600</v>
      </c>
      <c r="R504" s="2518"/>
      <c r="S504" s="2518"/>
      <c r="T504" s="2299" t="s">
        <v>1664</v>
      </c>
      <c r="U504" s="2518" t="s">
        <v>1173</v>
      </c>
      <c r="V504" s="2518"/>
      <c r="W504" s="2518"/>
      <c r="X504" s="2299" t="s">
        <v>895</v>
      </c>
      <c r="Y504" s="2518" t="s">
        <v>1174</v>
      </c>
      <c r="Z504" s="2518"/>
      <c r="AA504" s="2518"/>
      <c r="AB504" s="2301" t="s">
        <v>1180</v>
      </c>
      <c r="AC504" s="2518"/>
      <c r="AD504" s="2518"/>
      <c r="AE504" s="2518"/>
      <c r="AF504" s="1379" t="s">
        <v>1180</v>
      </c>
      <c r="AG504" s="2518"/>
      <c r="AH504" s="2518"/>
      <c r="AI504" s="2519"/>
      <c r="AJ504" s="2520">
        <f t="shared" si="151"/>
        <v>1600</v>
      </c>
      <c r="AK504" s="2521"/>
      <c r="AL504" s="2522"/>
      <c r="AM504" s="2505">
        <v>1</v>
      </c>
      <c r="AN504" s="2506"/>
      <c r="AO504" s="2507"/>
      <c r="AP504" s="2499">
        <f t="shared" si="152"/>
        <v>1600</v>
      </c>
      <c r="AQ504" s="2500"/>
      <c r="AR504" s="2501"/>
      <c r="AS504" s="2555">
        <f ca="1">SUMIF(床・天井!R$6:R$89,F504,床・天井!I$6:I$89)+SUMIF(見積拾!C$120:D$128,F504,見積拾!T$120:T$128)</f>
        <v>0</v>
      </c>
      <c r="AT504" s="2556"/>
      <c r="AU504" s="2556"/>
      <c r="AV504" s="2557"/>
      <c r="AW504" s="2520">
        <f t="shared" ca="1" si="153"/>
        <v>0</v>
      </c>
      <c r="AX504" s="2521"/>
      <c r="AY504" s="2521"/>
      <c r="AZ504" s="2522"/>
      <c r="BA504" s="25" t="b">
        <f t="shared" ref="BA504:BA536" ca="1" si="154">AW504&lt;&gt;0</f>
        <v>0</v>
      </c>
      <c r="BB504"/>
    </row>
    <row r="505" spans="2:54" ht="13.5" customHeight="1">
      <c r="B505" s="2681"/>
      <c r="C505" s="2673"/>
      <c r="D505" s="2682"/>
      <c r="E505" s="1392" t="s">
        <v>893</v>
      </c>
      <c r="F505" s="2500" t="s">
        <v>1799</v>
      </c>
      <c r="G505" s="2500"/>
      <c r="H505" s="2500"/>
      <c r="I505" s="2500"/>
      <c r="J505" s="2500"/>
      <c r="K505" s="2500"/>
      <c r="L505" s="2500"/>
      <c r="M505" s="2500"/>
      <c r="N505" s="2500"/>
      <c r="O505" s="2500"/>
      <c r="P505" s="2501"/>
      <c r="Q505" s="2542" t="s">
        <v>1174</v>
      </c>
      <c r="R505" s="2518"/>
      <c r="S505" s="2518"/>
      <c r="T505" s="2299" t="s">
        <v>1664</v>
      </c>
      <c r="U505" s="2518">
        <v>560</v>
      </c>
      <c r="V505" s="2518"/>
      <c r="W505" s="2518"/>
      <c r="X505" s="2299" t="s">
        <v>895</v>
      </c>
      <c r="Y505" s="2518" t="s">
        <v>1174</v>
      </c>
      <c r="Z505" s="2518"/>
      <c r="AA505" s="2518"/>
      <c r="AB505" s="2301" t="s">
        <v>1180</v>
      </c>
      <c r="AC505" s="2518"/>
      <c r="AD505" s="2518"/>
      <c r="AE505" s="2518"/>
      <c r="AF505" s="1379" t="s">
        <v>1180</v>
      </c>
      <c r="AG505" s="2518"/>
      <c r="AH505" s="2518"/>
      <c r="AI505" s="2519"/>
      <c r="AJ505" s="2520">
        <f t="shared" si="151"/>
        <v>560</v>
      </c>
      <c r="AK505" s="2521"/>
      <c r="AL505" s="2522"/>
      <c r="AM505" s="2505">
        <v>1</v>
      </c>
      <c r="AN505" s="2506"/>
      <c r="AO505" s="2507"/>
      <c r="AP505" s="2499">
        <f t="shared" si="152"/>
        <v>560</v>
      </c>
      <c r="AQ505" s="2500"/>
      <c r="AR505" s="2501"/>
      <c r="AS505" s="2555">
        <f ca="1">SUMIF(床・天井!R$6:R$89,F505,床・天井!I$6:I$89)+SUMIF(見積拾!C$120:D$128,F505,見積拾!T$120:T$128)</f>
        <v>0</v>
      </c>
      <c r="AT505" s="2556"/>
      <c r="AU505" s="2556"/>
      <c r="AV505" s="2557"/>
      <c r="AW505" s="2520">
        <f t="shared" ca="1" si="153"/>
        <v>0</v>
      </c>
      <c r="AX505" s="2521"/>
      <c r="AY505" s="2521"/>
      <c r="AZ505" s="2522"/>
      <c r="BA505" s="25" t="b">
        <f t="shared" ca="1" si="154"/>
        <v>0</v>
      </c>
      <c r="BB505"/>
    </row>
    <row r="506" spans="2:54" ht="13.5" customHeight="1">
      <c r="B506" s="2681"/>
      <c r="C506" s="2673"/>
      <c r="D506" s="2682"/>
      <c r="E506" s="1392" t="s">
        <v>893</v>
      </c>
      <c r="F506" s="2500" t="s">
        <v>1800</v>
      </c>
      <c r="G506" s="2500"/>
      <c r="H506" s="2500"/>
      <c r="I506" s="2500"/>
      <c r="J506" s="2500"/>
      <c r="K506" s="2500"/>
      <c r="L506" s="2500"/>
      <c r="M506" s="2500"/>
      <c r="N506" s="2500"/>
      <c r="O506" s="2500"/>
      <c r="P506" s="2501"/>
      <c r="Q506" s="2542">
        <v>9450</v>
      </c>
      <c r="R506" s="2518"/>
      <c r="S506" s="2518"/>
      <c r="T506" s="2299" t="s">
        <v>1664</v>
      </c>
      <c r="U506" s="2518" t="s">
        <v>1173</v>
      </c>
      <c r="V506" s="2518"/>
      <c r="W506" s="2518"/>
      <c r="X506" s="2299" t="s">
        <v>895</v>
      </c>
      <c r="Y506" s="2518">
        <v>442</v>
      </c>
      <c r="Z506" s="2518"/>
      <c r="AA506" s="2518"/>
      <c r="AB506" s="2301" t="s">
        <v>1180</v>
      </c>
      <c r="AC506" s="2518"/>
      <c r="AD506" s="2518"/>
      <c r="AE506" s="2518"/>
      <c r="AF506" s="1379" t="s">
        <v>1180</v>
      </c>
      <c r="AG506" s="2518"/>
      <c r="AH506" s="2518"/>
      <c r="AI506" s="2519"/>
      <c r="AJ506" s="2520">
        <f t="shared" si="151"/>
        <v>9890</v>
      </c>
      <c r="AK506" s="2521"/>
      <c r="AL506" s="2522"/>
      <c r="AM506" s="2505">
        <v>1</v>
      </c>
      <c r="AN506" s="2506"/>
      <c r="AO506" s="2507"/>
      <c r="AP506" s="2499">
        <f t="shared" si="152"/>
        <v>9890</v>
      </c>
      <c r="AQ506" s="2500"/>
      <c r="AR506" s="2501"/>
      <c r="AS506" s="2555">
        <f ca="1">SUMIF(床・天井!R$6:R$89,F506,床・天井!I$6:I$89)+SUMIF(見積拾!C$120:D$128,F506,見積拾!T$120:T$128)</f>
        <v>0</v>
      </c>
      <c r="AT506" s="2556"/>
      <c r="AU506" s="2556"/>
      <c r="AV506" s="2557"/>
      <c r="AW506" s="2520">
        <f t="shared" ca="1" si="153"/>
        <v>0</v>
      </c>
      <c r="AX506" s="2521"/>
      <c r="AY506" s="2521"/>
      <c r="AZ506" s="2522"/>
      <c r="BA506" s="25" t="b">
        <f t="shared" ca="1" si="154"/>
        <v>0</v>
      </c>
    </row>
    <row r="507" spans="2:54" ht="13.5" customHeight="1">
      <c r="B507" s="2681"/>
      <c r="C507" s="2673"/>
      <c r="D507" s="2682"/>
      <c r="E507" s="1392" t="s">
        <v>893</v>
      </c>
      <c r="F507" s="2500" t="s">
        <v>1801</v>
      </c>
      <c r="G507" s="2500"/>
      <c r="H507" s="2500"/>
      <c r="I507" s="2500"/>
      <c r="J507" s="2500"/>
      <c r="K507" s="2500"/>
      <c r="L507" s="2500"/>
      <c r="M507" s="2500"/>
      <c r="N507" s="2500"/>
      <c r="O507" s="2500"/>
      <c r="P507" s="2501"/>
      <c r="Q507" s="2542">
        <v>7900</v>
      </c>
      <c r="R507" s="2518"/>
      <c r="S507" s="2518"/>
      <c r="T507" s="2299" t="s">
        <v>1664</v>
      </c>
      <c r="U507" s="2518" t="s">
        <v>1173</v>
      </c>
      <c r="V507" s="2518"/>
      <c r="W507" s="2518"/>
      <c r="X507" s="2299" t="s">
        <v>895</v>
      </c>
      <c r="Y507" s="2518">
        <v>442</v>
      </c>
      <c r="Z507" s="2518"/>
      <c r="AA507" s="2518"/>
      <c r="AB507" s="2301" t="s">
        <v>1180</v>
      </c>
      <c r="AC507" s="2518"/>
      <c r="AD507" s="2518"/>
      <c r="AE507" s="2518"/>
      <c r="AF507" s="1379" t="s">
        <v>1180</v>
      </c>
      <c r="AG507" s="2518"/>
      <c r="AH507" s="2518"/>
      <c r="AI507" s="2519"/>
      <c r="AJ507" s="2520">
        <f>ROUNDDOWN(SUM(Q507:AI507),-1)</f>
        <v>8340</v>
      </c>
      <c r="AK507" s="2521"/>
      <c r="AL507" s="2522"/>
      <c r="AM507" s="2505">
        <v>1</v>
      </c>
      <c r="AN507" s="2506"/>
      <c r="AO507" s="2507"/>
      <c r="AP507" s="2499">
        <f>INT(AJ507*AM507)</f>
        <v>8340</v>
      </c>
      <c r="AQ507" s="2500"/>
      <c r="AR507" s="2501"/>
      <c r="AS507" s="2555">
        <f ca="1">SUMIF(床・天井!R$6:R$89,F507,床・天井!I$6:I$89)+SUMIF(見積拾!C$120:D$128,F507,見積拾!T$120:T$128)</f>
        <v>0</v>
      </c>
      <c r="AT507" s="2556"/>
      <c r="AU507" s="2556"/>
      <c r="AV507" s="2557"/>
      <c r="AW507" s="2520">
        <f ca="1">INT(AP507*AS507)</f>
        <v>0</v>
      </c>
      <c r="AX507" s="2521"/>
      <c r="AY507" s="2521"/>
      <c r="AZ507" s="2522"/>
      <c r="BA507" s="25" t="b">
        <f ca="1">AW507&lt;&gt;0</f>
        <v>0</v>
      </c>
    </row>
    <row r="508" spans="2:54" ht="13.5" customHeight="1">
      <c r="B508" s="2681"/>
      <c r="C508" s="2673"/>
      <c r="D508" s="2682"/>
      <c r="E508" s="1392" t="s">
        <v>893</v>
      </c>
      <c r="F508" s="2500" t="s">
        <v>1802</v>
      </c>
      <c r="G508" s="2500"/>
      <c r="H508" s="2500"/>
      <c r="I508" s="2500"/>
      <c r="J508" s="2500"/>
      <c r="K508" s="2500"/>
      <c r="L508" s="2500"/>
      <c r="M508" s="2500"/>
      <c r="N508" s="2500"/>
      <c r="O508" s="2500"/>
      <c r="P508" s="2501"/>
      <c r="Q508" s="2542">
        <v>6390</v>
      </c>
      <c r="R508" s="2518"/>
      <c r="S508" s="2518"/>
      <c r="T508" s="2299" t="s">
        <v>1664</v>
      </c>
      <c r="U508" s="2518" t="s">
        <v>1173</v>
      </c>
      <c r="V508" s="2518"/>
      <c r="W508" s="2518"/>
      <c r="X508" s="2299" t="s">
        <v>895</v>
      </c>
      <c r="Y508" s="2518">
        <v>442</v>
      </c>
      <c r="Z508" s="2518"/>
      <c r="AA508" s="2518"/>
      <c r="AB508" s="2301" t="s">
        <v>1180</v>
      </c>
      <c r="AC508" s="2518"/>
      <c r="AD508" s="2518"/>
      <c r="AE508" s="2518"/>
      <c r="AF508" s="1379" t="s">
        <v>1180</v>
      </c>
      <c r="AG508" s="2518"/>
      <c r="AH508" s="2518"/>
      <c r="AI508" s="2519"/>
      <c r="AJ508" s="2520">
        <f t="shared" ref="AJ508:AJ512" si="155">ROUNDDOWN(SUM(Q508:AI508),-1)</f>
        <v>6830</v>
      </c>
      <c r="AK508" s="2521"/>
      <c r="AL508" s="2522"/>
      <c r="AM508" s="2505">
        <v>1</v>
      </c>
      <c r="AN508" s="2506"/>
      <c r="AO508" s="2507"/>
      <c r="AP508" s="2499">
        <f t="shared" ref="AP508:AP512" si="156">INT(AJ508*AM508)</f>
        <v>6830</v>
      </c>
      <c r="AQ508" s="2500"/>
      <c r="AR508" s="2501"/>
      <c r="AS508" s="2555">
        <f ca="1">SUMIF(床・天井!R$6:R$89,F508,床・天井!I$6:I$89)+SUMIF(見積拾!C$120:D$128,F508,見積拾!T$120:T$128)</f>
        <v>0</v>
      </c>
      <c r="AT508" s="2556"/>
      <c r="AU508" s="2556"/>
      <c r="AV508" s="2557"/>
      <c r="AW508" s="2520">
        <f t="shared" ref="AW508:AW512" ca="1" si="157">INT(AP508*AS508)</f>
        <v>0</v>
      </c>
      <c r="AX508" s="2521"/>
      <c r="AY508" s="2521"/>
      <c r="AZ508" s="2522"/>
      <c r="BA508" s="25" t="b">
        <f t="shared" ref="BA508:BA512" ca="1" si="158">AW508&lt;&gt;0</f>
        <v>0</v>
      </c>
    </row>
    <row r="509" spans="2:54" ht="13.5" customHeight="1">
      <c r="B509" s="2681"/>
      <c r="C509" s="2673"/>
      <c r="D509" s="2682"/>
      <c r="E509" s="1392" t="s">
        <v>893</v>
      </c>
      <c r="F509" s="2500" t="s">
        <v>1803</v>
      </c>
      <c r="G509" s="2500"/>
      <c r="H509" s="2500"/>
      <c r="I509" s="2500"/>
      <c r="J509" s="2500"/>
      <c r="K509" s="2500"/>
      <c r="L509" s="2500"/>
      <c r="M509" s="2500"/>
      <c r="N509" s="2500"/>
      <c r="O509" s="2500"/>
      <c r="P509" s="2501"/>
      <c r="Q509" s="2542">
        <v>7360</v>
      </c>
      <c r="R509" s="2518"/>
      <c r="S509" s="2518"/>
      <c r="T509" s="2299" t="s">
        <v>1664</v>
      </c>
      <c r="U509" s="2518" t="s">
        <v>1173</v>
      </c>
      <c r="V509" s="2518"/>
      <c r="W509" s="2518"/>
      <c r="X509" s="2299" t="s">
        <v>895</v>
      </c>
      <c r="Y509" s="2518" t="s">
        <v>1174</v>
      </c>
      <c r="Z509" s="2518"/>
      <c r="AA509" s="2518"/>
      <c r="AB509" s="2301" t="s">
        <v>1180</v>
      </c>
      <c r="AC509" s="2518"/>
      <c r="AD509" s="2518"/>
      <c r="AE509" s="2518"/>
      <c r="AF509" s="1379" t="s">
        <v>1180</v>
      </c>
      <c r="AG509" s="2518"/>
      <c r="AH509" s="2518"/>
      <c r="AI509" s="2519"/>
      <c r="AJ509" s="2520">
        <f t="shared" si="155"/>
        <v>7360</v>
      </c>
      <c r="AK509" s="2521"/>
      <c r="AL509" s="2522"/>
      <c r="AM509" s="2505">
        <v>1</v>
      </c>
      <c r="AN509" s="2506"/>
      <c r="AO509" s="2507"/>
      <c r="AP509" s="2499">
        <f t="shared" si="156"/>
        <v>7360</v>
      </c>
      <c r="AQ509" s="2500"/>
      <c r="AR509" s="2501"/>
      <c r="AS509" s="2555">
        <f ca="1">SUMIF(床・天井!R$6:R$89,F509,床・天井!I$6:I$89)+SUMIF(見積拾!C$120:D$128,F509,見積拾!T$120:T$128)</f>
        <v>0</v>
      </c>
      <c r="AT509" s="2556"/>
      <c r="AU509" s="2556"/>
      <c r="AV509" s="2557"/>
      <c r="AW509" s="2520">
        <f t="shared" ca="1" si="157"/>
        <v>0</v>
      </c>
      <c r="AX509" s="2521"/>
      <c r="AY509" s="2521"/>
      <c r="AZ509" s="2522"/>
      <c r="BA509" s="25" t="b">
        <f t="shared" ca="1" si="158"/>
        <v>0</v>
      </c>
    </row>
    <row r="510" spans="2:54" ht="13.5" customHeight="1">
      <c r="B510" s="2681"/>
      <c r="C510" s="2673"/>
      <c r="D510" s="2682"/>
      <c r="E510" s="1392" t="s">
        <v>893</v>
      </c>
      <c r="F510" s="2500" t="s">
        <v>1804</v>
      </c>
      <c r="G510" s="2500"/>
      <c r="H510" s="2500"/>
      <c r="I510" s="2500"/>
      <c r="J510" s="2500"/>
      <c r="K510" s="2500"/>
      <c r="L510" s="2500"/>
      <c r="M510" s="2500"/>
      <c r="N510" s="2500"/>
      <c r="O510" s="2500"/>
      <c r="P510" s="2501"/>
      <c r="Q510" s="2542">
        <v>4990</v>
      </c>
      <c r="R510" s="2518"/>
      <c r="S510" s="2518"/>
      <c r="T510" s="2299" t="s">
        <v>1664</v>
      </c>
      <c r="U510" s="2518" t="s">
        <v>1173</v>
      </c>
      <c r="V510" s="2518"/>
      <c r="W510" s="2518"/>
      <c r="X510" s="2299" t="s">
        <v>895</v>
      </c>
      <c r="Y510" s="2518" t="s">
        <v>1174</v>
      </c>
      <c r="Z510" s="2518"/>
      <c r="AA510" s="2518"/>
      <c r="AB510" s="2301" t="s">
        <v>1180</v>
      </c>
      <c r="AC510" s="2518"/>
      <c r="AD510" s="2518"/>
      <c r="AE510" s="2518"/>
      <c r="AF510" s="1379" t="s">
        <v>1180</v>
      </c>
      <c r="AG510" s="2518"/>
      <c r="AH510" s="2518"/>
      <c r="AI510" s="2519"/>
      <c r="AJ510" s="2520">
        <f t="shared" si="155"/>
        <v>4990</v>
      </c>
      <c r="AK510" s="2521"/>
      <c r="AL510" s="2522"/>
      <c r="AM510" s="2505">
        <v>1</v>
      </c>
      <c r="AN510" s="2506"/>
      <c r="AO510" s="2507"/>
      <c r="AP510" s="2499">
        <f t="shared" si="156"/>
        <v>4990</v>
      </c>
      <c r="AQ510" s="2500"/>
      <c r="AR510" s="2501"/>
      <c r="AS510" s="2555">
        <f ca="1">SUMIF(床・天井!R$6:R$89,F510,床・天井!I$6:I$89)+SUMIF(見積拾!C$120:D$128,F510,見積拾!T$120:T$128)</f>
        <v>0</v>
      </c>
      <c r="AT510" s="2556"/>
      <c r="AU510" s="2556"/>
      <c r="AV510" s="2557"/>
      <c r="AW510" s="2520">
        <f t="shared" ca="1" si="157"/>
        <v>0</v>
      </c>
      <c r="AX510" s="2521"/>
      <c r="AY510" s="2521"/>
      <c r="AZ510" s="2522"/>
      <c r="BA510" s="25" t="b">
        <f t="shared" ca="1" si="158"/>
        <v>0</v>
      </c>
      <c r="BB510"/>
    </row>
    <row r="511" spans="2:54" ht="13.5" customHeight="1">
      <c r="B511" s="2681"/>
      <c r="C511" s="2673"/>
      <c r="D511" s="2682"/>
      <c r="E511" s="1392" t="s">
        <v>893</v>
      </c>
      <c r="F511" s="2500" t="s">
        <v>1805</v>
      </c>
      <c r="G511" s="2500"/>
      <c r="H511" s="2500"/>
      <c r="I511" s="2500"/>
      <c r="J511" s="2500"/>
      <c r="K511" s="2500"/>
      <c r="L511" s="2500"/>
      <c r="M511" s="2500"/>
      <c r="N511" s="2500"/>
      <c r="O511" s="2500"/>
      <c r="P511" s="2501"/>
      <c r="Q511" s="2542">
        <v>7000</v>
      </c>
      <c r="R511" s="2518"/>
      <c r="S511" s="2518"/>
      <c r="T511" s="2299" t="s">
        <v>1664</v>
      </c>
      <c r="U511" s="2518" t="s">
        <v>1173</v>
      </c>
      <c r="V511" s="2518"/>
      <c r="W511" s="2518"/>
      <c r="X511" s="2299" t="s">
        <v>895</v>
      </c>
      <c r="Y511" s="2518" t="s">
        <v>1174</v>
      </c>
      <c r="Z511" s="2518"/>
      <c r="AA511" s="2518"/>
      <c r="AB511" s="2301" t="s">
        <v>1180</v>
      </c>
      <c r="AC511" s="2518"/>
      <c r="AD511" s="2518"/>
      <c r="AE511" s="2518"/>
      <c r="AF511" s="1379" t="s">
        <v>1180</v>
      </c>
      <c r="AG511" s="2518"/>
      <c r="AH511" s="2518"/>
      <c r="AI511" s="2519"/>
      <c r="AJ511" s="2520">
        <f t="shared" si="155"/>
        <v>7000</v>
      </c>
      <c r="AK511" s="2521"/>
      <c r="AL511" s="2522"/>
      <c r="AM511" s="2505">
        <v>1</v>
      </c>
      <c r="AN511" s="2506"/>
      <c r="AO511" s="2507"/>
      <c r="AP511" s="2499">
        <f t="shared" si="156"/>
        <v>7000</v>
      </c>
      <c r="AQ511" s="2500"/>
      <c r="AR511" s="2501"/>
      <c r="AS511" s="2555">
        <f ca="1">SUMIF(床・天井!R$6:R$89,F511,床・天井!I$6:I$89)+SUMIF(見積拾!C$120:D$128,F511,見積拾!T$120:T$128)</f>
        <v>0</v>
      </c>
      <c r="AT511" s="2556"/>
      <c r="AU511" s="2556"/>
      <c r="AV511" s="2557"/>
      <c r="AW511" s="2520">
        <f t="shared" ca="1" si="157"/>
        <v>0</v>
      </c>
      <c r="AX511" s="2521"/>
      <c r="AY511" s="2521"/>
      <c r="AZ511" s="2522"/>
      <c r="BA511" s="25" t="b">
        <f t="shared" ca="1" si="158"/>
        <v>0</v>
      </c>
      <c r="BB511"/>
    </row>
    <row r="512" spans="2:54" ht="13.5" customHeight="1">
      <c r="B512" s="2681"/>
      <c r="C512" s="2673"/>
      <c r="D512" s="2682"/>
      <c r="E512" s="1392" t="s">
        <v>893</v>
      </c>
      <c r="F512" s="2500" t="s">
        <v>1806</v>
      </c>
      <c r="G512" s="2500"/>
      <c r="H512" s="2500"/>
      <c r="I512" s="2500"/>
      <c r="J512" s="2500"/>
      <c r="K512" s="2500"/>
      <c r="L512" s="2500"/>
      <c r="M512" s="2500"/>
      <c r="N512" s="2500"/>
      <c r="O512" s="2500"/>
      <c r="P512" s="2501"/>
      <c r="Q512" s="2542">
        <v>2210</v>
      </c>
      <c r="R512" s="2518"/>
      <c r="S512" s="2518"/>
      <c r="T512" s="2299" t="s">
        <v>1664</v>
      </c>
      <c r="U512" s="2518" t="s">
        <v>1173</v>
      </c>
      <c r="V512" s="2518"/>
      <c r="W512" s="2518"/>
      <c r="X512" s="2299" t="s">
        <v>895</v>
      </c>
      <c r="Y512" s="2518" t="s">
        <v>1174</v>
      </c>
      <c r="Z512" s="2518"/>
      <c r="AA512" s="2518"/>
      <c r="AB512" s="2301" t="s">
        <v>1180</v>
      </c>
      <c r="AC512" s="2518"/>
      <c r="AD512" s="2518"/>
      <c r="AE512" s="2518"/>
      <c r="AF512" s="1379" t="s">
        <v>1180</v>
      </c>
      <c r="AG512" s="2518"/>
      <c r="AH512" s="2518"/>
      <c r="AI512" s="2519"/>
      <c r="AJ512" s="2520">
        <f t="shared" si="155"/>
        <v>2210</v>
      </c>
      <c r="AK512" s="2521"/>
      <c r="AL512" s="2522"/>
      <c r="AM512" s="2505">
        <v>1</v>
      </c>
      <c r="AN512" s="2506"/>
      <c r="AO512" s="2507"/>
      <c r="AP512" s="2499">
        <f t="shared" si="156"/>
        <v>2210</v>
      </c>
      <c r="AQ512" s="2500"/>
      <c r="AR512" s="2501"/>
      <c r="AS512" s="2555">
        <f ca="1">SUMIF(床・天井!R$6:R$89,F512,床・天井!I$6:I$89)+SUMIF(見積拾!C$120:D$128,F512,見積拾!T$120:T$128)</f>
        <v>0</v>
      </c>
      <c r="AT512" s="2556"/>
      <c r="AU512" s="2556"/>
      <c r="AV512" s="2557"/>
      <c r="AW512" s="2520">
        <f t="shared" ca="1" si="157"/>
        <v>0</v>
      </c>
      <c r="AX512" s="2521"/>
      <c r="AY512" s="2521"/>
      <c r="AZ512" s="2522"/>
      <c r="BA512" s="25" t="b">
        <f t="shared" ca="1" si="158"/>
        <v>0</v>
      </c>
      <c r="BB512"/>
    </row>
    <row r="513" spans="2:54" ht="13.5" customHeight="1">
      <c r="B513" s="2681"/>
      <c r="C513" s="2673"/>
      <c r="D513" s="2682"/>
      <c r="E513" s="1392" t="s">
        <v>893</v>
      </c>
      <c r="F513" s="2500" t="s">
        <v>1807</v>
      </c>
      <c r="G513" s="2500"/>
      <c r="H513" s="2500"/>
      <c r="I513" s="2500"/>
      <c r="J513" s="2500"/>
      <c r="K513" s="2500"/>
      <c r="L513" s="2500"/>
      <c r="M513" s="2500"/>
      <c r="N513" s="2500"/>
      <c r="O513" s="2500"/>
      <c r="P513" s="2501"/>
      <c r="Q513" s="2542">
        <v>6180</v>
      </c>
      <c r="R513" s="2518"/>
      <c r="S513" s="2518"/>
      <c r="T513" s="2299" t="s">
        <v>1664</v>
      </c>
      <c r="U513" s="2518" t="s">
        <v>1173</v>
      </c>
      <c r="V513" s="2518"/>
      <c r="W513" s="2518"/>
      <c r="X513" s="2299" t="s">
        <v>895</v>
      </c>
      <c r="Y513" s="2518" t="s">
        <v>1174</v>
      </c>
      <c r="Z513" s="2518"/>
      <c r="AA513" s="2518"/>
      <c r="AB513" s="2301" t="s">
        <v>1180</v>
      </c>
      <c r="AC513" s="2518"/>
      <c r="AD513" s="2518"/>
      <c r="AE513" s="2518"/>
      <c r="AF513" s="1379" t="s">
        <v>1180</v>
      </c>
      <c r="AG513" s="2518"/>
      <c r="AH513" s="2518"/>
      <c r="AI513" s="2519"/>
      <c r="AJ513" s="2561">
        <f>ROUNDDOWN(SUM(Q513:AI513),-1)</f>
        <v>6180</v>
      </c>
      <c r="AK513" s="2562"/>
      <c r="AL513" s="2563"/>
      <c r="AM513" s="2502">
        <v>1</v>
      </c>
      <c r="AN513" s="2503"/>
      <c r="AO513" s="2504"/>
      <c r="AP513" s="2499">
        <f t="shared" si="152"/>
        <v>6180</v>
      </c>
      <c r="AQ513" s="2500"/>
      <c r="AR513" s="2501"/>
      <c r="AS513" s="2555">
        <f ca="1">SUMIF(床・天井!R$6:R$89,F513,床・天井!I$6:I$89)+SUMIF(見積拾!C$120:D$128,F513,見積拾!T$120:T$128)</f>
        <v>0</v>
      </c>
      <c r="AT513" s="2556"/>
      <c r="AU513" s="2556"/>
      <c r="AV513" s="2557"/>
      <c r="AW513" s="2561">
        <f t="shared" ca="1" si="153"/>
        <v>0</v>
      </c>
      <c r="AX513" s="2562"/>
      <c r="AY513" s="2562"/>
      <c r="AZ513" s="2563"/>
      <c r="BA513" s="25" t="b">
        <f t="shared" ca="1" si="154"/>
        <v>0</v>
      </c>
      <c r="BB513"/>
    </row>
    <row r="514" spans="2:54" ht="13.5" customHeight="1">
      <c r="B514" s="2681"/>
      <c r="C514" s="2673"/>
      <c r="D514" s="2682"/>
      <c r="E514" s="1392" t="s">
        <v>893</v>
      </c>
      <c r="F514" s="2500" t="s">
        <v>1808</v>
      </c>
      <c r="G514" s="2500"/>
      <c r="H514" s="2500"/>
      <c r="I514" s="2500"/>
      <c r="J514" s="2500"/>
      <c r="K514" s="2500"/>
      <c r="L514" s="2500"/>
      <c r="M514" s="2500"/>
      <c r="N514" s="2500"/>
      <c r="O514" s="2500"/>
      <c r="P514" s="2501"/>
      <c r="Q514" s="2542">
        <v>3520</v>
      </c>
      <c r="R514" s="2518"/>
      <c r="S514" s="2518"/>
      <c r="T514" s="2299" t="s">
        <v>1664</v>
      </c>
      <c r="U514" s="2518" t="s">
        <v>1173</v>
      </c>
      <c r="V514" s="2518"/>
      <c r="W514" s="2518"/>
      <c r="X514" s="2299" t="s">
        <v>895</v>
      </c>
      <c r="Y514" s="2518" t="s">
        <v>1174</v>
      </c>
      <c r="Z514" s="2518"/>
      <c r="AA514" s="2518"/>
      <c r="AB514" s="2301" t="s">
        <v>1180</v>
      </c>
      <c r="AC514" s="2518"/>
      <c r="AD514" s="2518"/>
      <c r="AE514" s="2518"/>
      <c r="AF514" s="1379" t="s">
        <v>1180</v>
      </c>
      <c r="AG514" s="2518"/>
      <c r="AH514" s="2518"/>
      <c r="AI514" s="2519"/>
      <c r="AJ514" s="2561">
        <f>ROUNDDOWN(SUM(Q514:AI514),-1)</f>
        <v>3520</v>
      </c>
      <c r="AK514" s="2562"/>
      <c r="AL514" s="2563"/>
      <c r="AM514" s="2502">
        <v>1</v>
      </c>
      <c r="AN514" s="2503"/>
      <c r="AO514" s="2504"/>
      <c r="AP514" s="2499">
        <f>INT(AJ514*AM514)</f>
        <v>3520</v>
      </c>
      <c r="AQ514" s="2500"/>
      <c r="AR514" s="2501"/>
      <c r="AS514" s="2555">
        <f ca="1">SUMIF(床・天井!R$6:R$89,F514,床・天井!I$6:I$89)+SUMIF(見積拾!C$120:D$128,F514,見積拾!T$120:T$128)</f>
        <v>0</v>
      </c>
      <c r="AT514" s="2556"/>
      <c r="AU514" s="2556"/>
      <c r="AV514" s="2557"/>
      <c r="AW514" s="2561">
        <f ca="1">INT(AP514*AS514)</f>
        <v>0</v>
      </c>
      <c r="AX514" s="2562"/>
      <c r="AY514" s="2562"/>
      <c r="AZ514" s="2563"/>
      <c r="BA514" s="25" t="b">
        <f ca="1">AW514&lt;&gt;0</f>
        <v>0</v>
      </c>
      <c r="BB514" s="1745"/>
    </row>
    <row r="515" spans="2:54" ht="13.5" customHeight="1">
      <c r="B515" s="2681"/>
      <c r="C515" s="2673"/>
      <c r="D515" s="2682"/>
      <c r="E515" s="1392" t="s">
        <v>893</v>
      </c>
      <c r="F515" s="2500" t="s">
        <v>1809</v>
      </c>
      <c r="G515" s="2500"/>
      <c r="H515" s="2500"/>
      <c r="I515" s="2500"/>
      <c r="J515" s="2500"/>
      <c r="K515" s="2500"/>
      <c r="L515" s="2500"/>
      <c r="M515" s="2500"/>
      <c r="N515" s="2500"/>
      <c r="O515" s="2500"/>
      <c r="P515" s="2501"/>
      <c r="Q515" s="2542">
        <v>1230</v>
      </c>
      <c r="R515" s="2518"/>
      <c r="S515" s="2518"/>
      <c r="T515" s="2299" t="s">
        <v>1664</v>
      </c>
      <c r="U515" s="2518" t="s">
        <v>1173</v>
      </c>
      <c r="V515" s="2518"/>
      <c r="W515" s="2518"/>
      <c r="X515" s="2299" t="s">
        <v>895</v>
      </c>
      <c r="Y515" s="2518" t="s">
        <v>1174</v>
      </c>
      <c r="Z515" s="2518"/>
      <c r="AA515" s="2518"/>
      <c r="AB515" s="2301" t="s">
        <v>1180</v>
      </c>
      <c r="AC515" s="2518"/>
      <c r="AD515" s="2518"/>
      <c r="AE515" s="2518"/>
      <c r="AF515" s="1379" t="s">
        <v>1180</v>
      </c>
      <c r="AG515" s="2518"/>
      <c r="AH515" s="2518"/>
      <c r="AI515" s="2519"/>
      <c r="AJ515" s="2520">
        <f t="shared" si="151"/>
        <v>1230</v>
      </c>
      <c r="AK515" s="2521"/>
      <c r="AL515" s="2522"/>
      <c r="AM515" s="2505">
        <v>1</v>
      </c>
      <c r="AN515" s="2506"/>
      <c r="AO515" s="2507"/>
      <c r="AP515" s="2499">
        <f t="shared" si="152"/>
        <v>1230</v>
      </c>
      <c r="AQ515" s="2500"/>
      <c r="AR515" s="2501"/>
      <c r="AS515" s="2555">
        <f ca="1">SUMIF(床・天井!R$6:R$89,F515,床・天井!I$6:I$89)+SUMIF(見積拾!C$120:D$128,F515,見積拾!T$120:T$128)</f>
        <v>0</v>
      </c>
      <c r="AT515" s="2556"/>
      <c r="AU515" s="2556"/>
      <c r="AV515" s="2557"/>
      <c r="AW515" s="2520">
        <f t="shared" ca="1" si="153"/>
        <v>0</v>
      </c>
      <c r="AX515" s="2521"/>
      <c r="AY515" s="2521"/>
      <c r="AZ515" s="2522"/>
      <c r="BA515" s="25" t="b">
        <f t="shared" ca="1" si="154"/>
        <v>0</v>
      </c>
      <c r="BB515" s="1745"/>
    </row>
    <row r="516" spans="2:54" ht="13.5" customHeight="1">
      <c r="B516" s="2681"/>
      <c r="C516" s="2673"/>
      <c r="D516" s="2682"/>
      <c r="E516" s="1392" t="s">
        <v>893</v>
      </c>
      <c r="F516" s="2500" t="s">
        <v>1810</v>
      </c>
      <c r="G516" s="2500"/>
      <c r="H516" s="2500"/>
      <c r="I516" s="2500"/>
      <c r="J516" s="2500"/>
      <c r="K516" s="2500"/>
      <c r="L516" s="2500"/>
      <c r="M516" s="2500"/>
      <c r="N516" s="2500"/>
      <c r="O516" s="2500"/>
      <c r="P516" s="2501"/>
      <c r="Q516" s="2542">
        <v>1384</v>
      </c>
      <c r="R516" s="2518"/>
      <c r="S516" s="2518"/>
      <c r="T516" s="2299" t="s">
        <v>1664</v>
      </c>
      <c r="U516" s="2518" t="s">
        <v>1173</v>
      </c>
      <c r="V516" s="2518"/>
      <c r="W516" s="2518"/>
      <c r="X516" s="2299" t="s">
        <v>895</v>
      </c>
      <c r="Y516" s="2518" t="s">
        <v>1174</v>
      </c>
      <c r="Z516" s="2518"/>
      <c r="AA516" s="2518"/>
      <c r="AB516" s="2301" t="s">
        <v>1180</v>
      </c>
      <c r="AC516" s="2518"/>
      <c r="AD516" s="2518"/>
      <c r="AE516" s="2518"/>
      <c r="AF516" s="1379" t="s">
        <v>1180</v>
      </c>
      <c r="AG516" s="2518"/>
      <c r="AH516" s="2518"/>
      <c r="AI516" s="2519"/>
      <c r="AJ516" s="2520">
        <f>ROUNDDOWN(SUM(Q516:AI516),-1)</f>
        <v>1380</v>
      </c>
      <c r="AK516" s="2521"/>
      <c r="AL516" s="2522"/>
      <c r="AM516" s="2505">
        <v>1</v>
      </c>
      <c r="AN516" s="2506"/>
      <c r="AO516" s="2507"/>
      <c r="AP516" s="2499">
        <f>INT(AJ516*AM516)</f>
        <v>1380</v>
      </c>
      <c r="AQ516" s="2500"/>
      <c r="AR516" s="2501"/>
      <c r="AS516" s="2555">
        <f ca="1">SUMIF(床・天井!R$6:R$89,F516,床・天井!I$6:I$89)+SUMIF(見積拾!C$120:D$128,F516,見積拾!T$120:T$128)</f>
        <v>0</v>
      </c>
      <c r="AT516" s="2556"/>
      <c r="AU516" s="2556"/>
      <c r="AV516" s="2557"/>
      <c r="AW516" s="2520">
        <f ca="1">INT(AP516*AS516)</f>
        <v>0</v>
      </c>
      <c r="AX516" s="2521"/>
      <c r="AY516" s="2521"/>
      <c r="AZ516" s="2522"/>
      <c r="BA516" s="25" t="b">
        <f ca="1">AW516&lt;&gt;0</f>
        <v>0</v>
      </c>
      <c r="BB516" s="1745"/>
    </row>
    <row r="517" spans="2:54" ht="13.5" customHeight="1">
      <c r="B517" s="2681"/>
      <c r="C517" s="2673"/>
      <c r="D517" s="2682"/>
      <c r="E517" s="1392" t="s">
        <v>893</v>
      </c>
      <c r="F517" s="2500" t="s">
        <v>1811</v>
      </c>
      <c r="G517" s="2500"/>
      <c r="H517" s="2500"/>
      <c r="I517" s="2500"/>
      <c r="J517" s="2500"/>
      <c r="K517" s="2500"/>
      <c r="L517" s="2500"/>
      <c r="M517" s="2500"/>
      <c r="N517" s="2500"/>
      <c r="O517" s="2500"/>
      <c r="P517" s="2501"/>
      <c r="Q517" s="2542">
        <v>11600</v>
      </c>
      <c r="R517" s="2518"/>
      <c r="S517" s="2518"/>
      <c r="T517" s="2299" t="s">
        <v>1664</v>
      </c>
      <c r="U517" s="2518" t="s">
        <v>1173</v>
      </c>
      <c r="V517" s="2518"/>
      <c r="W517" s="2518"/>
      <c r="X517" s="2299" t="s">
        <v>895</v>
      </c>
      <c r="Y517" s="2518" t="s">
        <v>1174</v>
      </c>
      <c r="Z517" s="2518"/>
      <c r="AA517" s="2518"/>
      <c r="AB517" s="2301" t="s">
        <v>1180</v>
      </c>
      <c r="AC517" s="2518"/>
      <c r="AD517" s="2518"/>
      <c r="AE517" s="2518"/>
      <c r="AF517" s="1379" t="s">
        <v>1180</v>
      </c>
      <c r="AG517" s="2518"/>
      <c r="AH517" s="2518"/>
      <c r="AI517" s="2519"/>
      <c r="AJ517" s="2520">
        <f>ROUNDDOWN(SUM(Q517:AI517),-1)</f>
        <v>11600</v>
      </c>
      <c r="AK517" s="2521"/>
      <c r="AL517" s="2522"/>
      <c r="AM517" s="2505">
        <v>1</v>
      </c>
      <c r="AN517" s="2506"/>
      <c r="AO517" s="2507"/>
      <c r="AP517" s="2499">
        <f>INT(AJ517*AM517)</f>
        <v>11600</v>
      </c>
      <c r="AQ517" s="2500"/>
      <c r="AR517" s="2501"/>
      <c r="AS517" s="2555">
        <f ca="1">SUMIF(床・天井!R$6:R$89,F517,床・天井!I$6:I$89)+SUMIF(見積拾!C$120:D$128,F517,見積拾!T$120:T$128)</f>
        <v>0</v>
      </c>
      <c r="AT517" s="2556"/>
      <c r="AU517" s="2556"/>
      <c r="AV517" s="2557"/>
      <c r="AW517" s="2520">
        <f ca="1">INT(AP517*AS517)</f>
        <v>0</v>
      </c>
      <c r="AX517" s="2521"/>
      <c r="AY517" s="2521"/>
      <c r="AZ517" s="2522"/>
      <c r="BA517" s="25" t="b">
        <f ca="1">AW517&lt;&gt;0</f>
        <v>0</v>
      </c>
      <c r="BB517"/>
    </row>
    <row r="518" spans="2:54" ht="13.5" customHeight="1">
      <c r="B518" s="2681"/>
      <c r="C518" s="2673"/>
      <c r="D518" s="2682"/>
      <c r="E518" s="1392" t="s">
        <v>893</v>
      </c>
      <c r="F518" s="2500" t="s">
        <v>1812</v>
      </c>
      <c r="G518" s="2500"/>
      <c r="H518" s="2500"/>
      <c r="I518" s="2500"/>
      <c r="J518" s="2500"/>
      <c r="K518" s="2500"/>
      <c r="L518" s="2500"/>
      <c r="M518" s="2500"/>
      <c r="N518" s="2500"/>
      <c r="O518" s="2500"/>
      <c r="P518" s="2501"/>
      <c r="Q518" s="2542">
        <v>5170</v>
      </c>
      <c r="R518" s="2518"/>
      <c r="S518" s="2518"/>
      <c r="T518" s="2299" t="s">
        <v>1664</v>
      </c>
      <c r="U518" s="2518" t="s">
        <v>1173</v>
      </c>
      <c r="V518" s="2518"/>
      <c r="W518" s="2518"/>
      <c r="X518" s="2299" t="s">
        <v>895</v>
      </c>
      <c r="Y518" s="2518" t="s">
        <v>1174</v>
      </c>
      <c r="Z518" s="2518"/>
      <c r="AA518" s="2518"/>
      <c r="AB518" s="2301" t="s">
        <v>1180</v>
      </c>
      <c r="AC518" s="2518"/>
      <c r="AD518" s="2518"/>
      <c r="AE518" s="2518"/>
      <c r="AF518" s="1379" t="s">
        <v>1180</v>
      </c>
      <c r="AG518" s="2518"/>
      <c r="AH518" s="2518"/>
      <c r="AI518" s="2519"/>
      <c r="AJ518" s="2520">
        <f t="shared" si="151"/>
        <v>5170</v>
      </c>
      <c r="AK518" s="2521"/>
      <c r="AL518" s="2522"/>
      <c r="AM518" s="2505">
        <v>1</v>
      </c>
      <c r="AN518" s="2506"/>
      <c r="AO518" s="2507"/>
      <c r="AP518" s="2499">
        <f t="shared" si="152"/>
        <v>5170</v>
      </c>
      <c r="AQ518" s="2500"/>
      <c r="AR518" s="2501"/>
      <c r="AS518" s="2555">
        <f ca="1">SUMIF(床・天井!R$6:R$89,F518,床・天井!I$6:I$89)+SUMIF(見積拾!C$120:D$128,F518,見積拾!T$120:T$128)</f>
        <v>0</v>
      </c>
      <c r="AT518" s="2556"/>
      <c r="AU518" s="2556"/>
      <c r="AV518" s="2557"/>
      <c r="AW518" s="2520">
        <f t="shared" ca="1" si="153"/>
        <v>0</v>
      </c>
      <c r="AX518" s="2521"/>
      <c r="AY518" s="2521"/>
      <c r="AZ518" s="2522"/>
      <c r="BA518" s="25" t="b">
        <f t="shared" ca="1" si="154"/>
        <v>0</v>
      </c>
      <c r="BB518"/>
    </row>
    <row r="519" spans="2:54" ht="13.5" customHeight="1">
      <c r="B519" s="2681"/>
      <c r="C519" s="2673"/>
      <c r="D519" s="2682"/>
      <c r="E519" s="1392" t="s">
        <v>893</v>
      </c>
      <c r="F519" s="2500" t="s">
        <v>1813</v>
      </c>
      <c r="G519" s="2500"/>
      <c r="H519" s="2500"/>
      <c r="I519" s="2500"/>
      <c r="J519" s="2500"/>
      <c r="K519" s="2500"/>
      <c r="L519" s="2500"/>
      <c r="M519" s="2500"/>
      <c r="N519" s="2500"/>
      <c r="O519" s="2500"/>
      <c r="P519" s="2501"/>
      <c r="Q519" s="2542">
        <v>2630</v>
      </c>
      <c r="R519" s="2518"/>
      <c r="S519" s="2518"/>
      <c r="T519" s="2299" t="s">
        <v>1664</v>
      </c>
      <c r="U519" s="2518" t="s">
        <v>1173</v>
      </c>
      <c r="V519" s="2518"/>
      <c r="W519" s="2518"/>
      <c r="X519" s="2299" t="s">
        <v>895</v>
      </c>
      <c r="Y519" s="2518" t="s">
        <v>1174</v>
      </c>
      <c r="Z519" s="2518"/>
      <c r="AA519" s="2518"/>
      <c r="AB519" s="2301" t="s">
        <v>1180</v>
      </c>
      <c r="AC519" s="2518"/>
      <c r="AD519" s="2518"/>
      <c r="AE519" s="2518"/>
      <c r="AF519" s="1379" t="s">
        <v>1180</v>
      </c>
      <c r="AG519" s="2518"/>
      <c r="AH519" s="2518"/>
      <c r="AI519" s="2519"/>
      <c r="AJ519" s="2520">
        <f t="shared" si="151"/>
        <v>2630</v>
      </c>
      <c r="AK519" s="2521"/>
      <c r="AL519" s="2522"/>
      <c r="AM519" s="2505">
        <v>1</v>
      </c>
      <c r="AN519" s="2506"/>
      <c r="AO519" s="2507"/>
      <c r="AP519" s="2499">
        <f t="shared" si="152"/>
        <v>2630</v>
      </c>
      <c r="AQ519" s="2500"/>
      <c r="AR519" s="2501"/>
      <c r="AS519" s="2555">
        <f ca="1">SUMIF(床・天井!R$6:R$89,F519,床・天井!I$6:I$89)+SUMIF(見積拾!C$120:D$128,F519,見積拾!T$120:T$128)</f>
        <v>0</v>
      </c>
      <c r="AT519" s="2556"/>
      <c r="AU519" s="2556"/>
      <c r="AV519" s="2557"/>
      <c r="AW519" s="2520">
        <f t="shared" ca="1" si="153"/>
        <v>0</v>
      </c>
      <c r="AX519" s="2521"/>
      <c r="AY519" s="2521"/>
      <c r="AZ519" s="2522"/>
      <c r="BA519" s="25" t="b">
        <f t="shared" ca="1" si="154"/>
        <v>0</v>
      </c>
      <c r="BB519"/>
    </row>
    <row r="520" spans="2:54" ht="13.5" customHeight="1">
      <c r="B520" s="2681"/>
      <c r="C520" s="2673"/>
      <c r="D520" s="2682"/>
      <c r="E520" s="1392" t="s">
        <v>893</v>
      </c>
      <c r="F520" s="2500" t="s">
        <v>1814</v>
      </c>
      <c r="G520" s="2500"/>
      <c r="H520" s="2500"/>
      <c r="I520" s="2500"/>
      <c r="J520" s="2500"/>
      <c r="K520" s="2500"/>
      <c r="L520" s="2500"/>
      <c r="M520" s="2500"/>
      <c r="N520" s="2500"/>
      <c r="O520" s="2500"/>
      <c r="P520" s="2501"/>
      <c r="Q520" s="2542">
        <v>1420</v>
      </c>
      <c r="R520" s="2518"/>
      <c r="S520" s="2518"/>
      <c r="T520" s="2299" t="s">
        <v>1664</v>
      </c>
      <c r="U520" s="2518" t="s">
        <v>1173</v>
      </c>
      <c r="V520" s="2518"/>
      <c r="W520" s="2518"/>
      <c r="X520" s="2299" t="s">
        <v>895</v>
      </c>
      <c r="Y520" s="2518" t="s">
        <v>1174</v>
      </c>
      <c r="Z520" s="2518"/>
      <c r="AA520" s="2518"/>
      <c r="AB520" s="2301" t="s">
        <v>1180</v>
      </c>
      <c r="AC520" s="2518"/>
      <c r="AD520" s="2518"/>
      <c r="AE520" s="2518"/>
      <c r="AF520" s="1379" t="s">
        <v>1180</v>
      </c>
      <c r="AG520" s="2518"/>
      <c r="AH520" s="2518"/>
      <c r="AI520" s="2519"/>
      <c r="AJ520" s="2520">
        <f t="shared" si="151"/>
        <v>1420</v>
      </c>
      <c r="AK520" s="2521"/>
      <c r="AL520" s="2522"/>
      <c r="AM520" s="2505">
        <v>1</v>
      </c>
      <c r="AN520" s="2506"/>
      <c r="AO520" s="2507"/>
      <c r="AP520" s="2499">
        <f t="shared" si="152"/>
        <v>1420</v>
      </c>
      <c r="AQ520" s="2500"/>
      <c r="AR520" s="2501"/>
      <c r="AS520" s="2555">
        <f ca="1">SUMIF(床・天井!R$6:R$89,F520,床・天井!I$6:I$89)+SUMIF(見積拾!C$120:D$128,F520,見積拾!T$120:T$128)</f>
        <v>0</v>
      </c>
      <c r="AT520" s="2556"/>
      <c r="AU520" s="2556"/>
      <c r="AV520" s="2557"/>
      <c r="AW520" s="2520">
        <f t="shared" ca="1" si="153"/>
        <v>0</v>
      </c>
      <c r="AX520" s="2521"/>
      <c r="AY520" s="2521"/>
      <c r="AZ520" s="2522"/>
      <c r="BA520" s="25" t="b">
        <f t="shared" ca="1" si="154"/>
        <v>0</v>
      </c>
      <c r="BB520"/>
    </row>
    <row r="521" spans="2:54" ht="13.5" customHeight="1">
      <c r="B521" s="2681"/>
      <c r="C521" s="2673"/>
      <c r="D521" s="2682"/>
      <c r="E521" s="1393" t="s">
        <v>392</v>
      </c>
      <c r="F521" s="2527" t="s">
        <v>898</v>
      </c>
      <c r="G521" s="2527"/>
      <c r="H521" s="2527"/>
      <c r="I521" s="2527"/>
      <c r="J521" s="2527"/>
      <c r="K521" s="2527"/>
      <c r="L521" s="2527"/>
      <c r="M521" s="2527"/>
      <c r="N521" s="2527"/>
      <c r="O521" s="2527"/>
      <c r="P521" s="2786"/>
      <c r="Q521" s="2724"/>
      <c r="R521" s="2527"/>
      <c r="S521" s="2527"/>
      <c r="T521" s="1388" t="s">
        <v>64</v>
      </c>
      <c r="U521" s="2527"/>
      <c r="V521" s="2527"/>
      <c r="W521" s="2527"/>
      <c r="X521" s="1388" t="s">
        <v>64</v>
      </c>
      <c r="Y521" s="2527"/>
      <c r="Z521" s="2527"/>
      <c r="AA521" s="2527"/>
      <c r="AB521" s="1388" t="s">
        <v>64</v>
      </c>
      <c r="AC521" s="2527"/>
      <c r="AD521" s="2527"/>
      <c r="AE521" s="2527"/>
      <c r="AF521" s="1388" t="s">
        <v>64</v>
      </c>
      <c r="AG521" s="2527"/>
      <c r="AH521" s="2527"/>
      <c r="AI521" s="2786"/>
      <c r="AJ521" s="2543">
        <f t="shared" ref="AJ521:AJ522" si="159">ROUNDDOWN(SUM(Q521:AI521),-1)</f>
        <v>0</v>
      </c>
      <c r="AK521" s="2544"/>
      <c r="AL521" s="2545"/>
      <c r="AM521" s="2505">
        <v>1</v>
      </c>
      <c r="AN521" s="2506"/>
      <c r="AO521" s="2507"/>
      <c r="AP521" s="2499">
        <f t="shared" ref="AP521:AP522" si="160">INT(AJ521*AM521)</f>
        <v>0</v>
      </c>
      <c r="AQ521" s="2500"/>
      <c r="AR521" s="2501"/>
      <c r="AS521" s="2555">
        <f ca="1">SUMIF(床・天井!R$6:R$89,F521,床・天井!I$6:I$89)+SUMIF(見積拾!C$120:D$128,F521,見積拾!T$120:T$128)</f>
        <v>0</v>
      </c>
      <c r="AT521" s="2556"/>
      <c r="AU521" s="2556"/>
      <c r="AV521" s="2557"/>
      <c r="AW521" s="2520">
        <f t="shared" ref="AW521:AW522" ca="1" si="161">INT(AP521*AS521)</f>
        <v>0</v>
      </c>
      <c r="AX521" s="2521"/>
      <c r="AY521" s="2521"/>
      <c r="AZ521" s="2522"/>
      <c r="BA521" s="25" t="b">
        <f t="shared" ref="BA521:BA522" ca="1" si="162">AW521&lt;&gt;0</f>
        <v>0</v>
      </c>
      <c r="BB521"/>
    </row>
    <row r="522" spans="2:54" ht="13.5" customHeight="1">
      <c r="B522" s="2681"/>
      <c r="C522" s="2673"/>
      <c r="D522" s="2682"/>
      <c r="E522" s="1393" t="s">
        <v>392</v>
      </c>
      <c r="F522" s="2527" t="s">
        <v>898</v>
      </c>
      <c r="G522" s="2527"/>
      <c r="H522" s="2527"/>
      <c r="I522" s="2527"/>
      <c r="J522" s="2527"/>
      <c r="K522" s="2527"/>
      <c r="L522" s="2527"/>
      <c r="M522" s="2527"/>
      <c r="N522" s="2527"/>
      <c r="O522" s="2527"/>
      <c r="P522" s="2786"/>
      <c r="Q522" s="2724"/>
      <c r="R522" s="2527"/>
      <c r="S522" s="2527"/>
      <c r="T522" s="1388" t="s">
        <v>64</v>
      </c>
      <c r="U522" s="2527"/>
      <c r="V522" s="2527"/>
      <c r="W522" s="2527"/>
      <c r="X522" s="1388" t="s">
        <v>64</v>
      </c>
      <c r="Y522" s="2527"/>
      <c r="Z522" s="2527"/>
      <c r="AA522" s="2527"/>
      <c r="AB522" s="1388" t="s">
        <v>64</v>
      </c>
      <c r="AC522" s="2527"/>
      <c r="AD522" s="2527"/>
      <c r="AE522" s="2527"/>
      <c r="AF522" s="1388" t="s">
        <v>64</v>
      </c>
      <c r="AG522" s="2527"/>
      <c r="AH522" s="2527"/>
      <c r="AI522" s="2786"/>
      <c r="AJ522" s="2543">
        <f t="shared" si="159"/>
        <v>0</v>
      </c>
      <c r="AK522" s="2544"/>
      <c r="AL522" s="2545"/>
      <c r="AM522" s="2505">
        <v>1</v>
      </c>
      <c r="AN522" s="2506"/>
      <c r="AO522" s="2507"/>
      <c r="AP522" s="2499">
        <f t="shared" si="160"/>
        <v>0</v>
      </c>
      <c r="AQ522" s="2500"/>
      <c r="AR522" s="2501"/>
      <c r="AS522" s="2555">
        <f ca="1">SUMIF(床・天井!R$6:R$89,F522,床・天井!I$6:I$89)+SUMIF(見積拾!C$120:D$128,F522,見積拾!T$120:T$128)</f>
        <v>0</v>
      </c>
      <c r="AT522" s="2556"/>
      <c r="AU522" s="2556"/>
      <c r="AV522" s="2557"/>
      <c r="AW522" s="2520">
        <f t="shared" ca="1" si="161"/>
        <v>0</v>
      </c>
      <c r="AX522" s="2521"/>
      <c r="AY522" s="2521"/>
      <c r="AZ522" s="2522"/>
      <c r="BA522" s="25" t="b">
        <f t="shared" ca="1" si="162"/>
        <v>0</v>
      </c>
      <c r="BB522"/>
    </row>
    <row r="523" spans="2:54" ht="13.5" customHeight="1">
      <c r="B523" s="2681"/>
      <c r="C523" s="2673"/>
      <c r="D523" s="2682"/>
      <c r="E523" s="1393" t="s">
        <v>949</v>
      </c>
      <c r="F523" s="2527" t="s">
        <v>898</v>
      </c>
      <c r="G523" s="2527"/>
      <c r="H523" s="2527"/>
      <c r="I523" s="2527"/>
      <c r="J523" s="2527"/>
      <c r="K523" s="2527"/>
      <c r="L523" s="2527"/>
      <c r="M523" s="2527"/>
      <c r="N523" s="2527"/>
      <c r="O523" s="2527"/>
      <c r="P523" s="2786"/>
      <c r="Q523" s="2724"/>
      <c r="R523" s="2527"/>
      <c r="S523" s="2527"/>
      <c r="T523" s="1388" t="s">
        <v>907</v>
      </c>
      <c r="U523" s="2527"/>
      <c r="V523" s="2527"/>
      <c r="W523" s="2527"/>
      <c r="X523" s="1388" t="s">
        <v>907</v>
      </c>
      <c r="Y523" s="2527"/>
      <c r="Z523" s="2527"/>
      <c r="AA523" s="2527"/>
      <c r="AB523" s="1388" t="s">
        <v>907</v>
      </c>
      <c r="AC523" s="2527"/>
      <c r="AD523" s="2527"/>
      <c r="AE523" s="2527"/>
      <c r="AF523" s="1388" t="s">
        <v>907</v>
      </c>
      <c r="AG523" s="2527"/>
      <c r="AH523" s="2527"/>
      <c r="AI523" s="2786"/>
      <c r="AJ523" s="2543">
        <f t="shared" si="151"/>
        <v>0</v>
      </c>
      <c r="AK523" s="2544"/>
      <c r="AL523" s="2545"/>
      <c r="AM523" s="2505">
        <v>1</v>
      </c>
      <c r="AN523" s="2506"/>
      <c r="AO523" s="2507"/>
      <c r="AP523" s="2499">
        <f t="shared" si="152"/>
        <v>0</v>
      </c>
      <c r="AQ523" s="2500"/>
      <c r="AR523" s="2501"/>
      <c r="AS523" s="2555">
        <f ca="1">SUMIF(床・天井!R$6:R$89,F523,床・天井!I$6:I$89)+SUMIF(見積拾!C$120:D$128,F523,見積拾!T$120:T$128)</f>
        <v>0</v>
      </c>
      <c r="AT523" s="2556"/>
      <c r="AU523" s="2556"/>
      <c r="AV523" s="2557"/>
      <c r="AW523" s="2520">
        <f t="shared" ca="1" si="153"/>
        <v>0</v>
      </c>
      <c r="AX523" s="2521"/>
      <c r="AY523" s="2521"/>
      <c r="AZ523" s="2522"/>
      <c r="BA523" s="25" t="b">
        <f t="shared" ca="1" si="154"/>
        <v>0</v>
      </c>
      <c r="BB523"/>
    </row>
    <row r="524" spans="2:54" ht="13.5" customHeight="1">
      <c r="B524" s="2681"/>
      <c r="C524" s="2673"/>
      <c r="D524" s="2682"/>
      <c r="E524" s="1393" t="s">
        <v>918</v>
      </c>
      <c r="F524" s="2527" t="s">
        <v>898</v>
      </c>
      <c r="G524" s="2527"/>
      <c r="H524" s="2527"/>
      <c r="I524" s="2527"/>
      <c r="J524" s="2527"/>
      <c r="K524" s="2527"/>
      <c r="L524" s="2527"/>
      <c r="M524" s="2527"/>
      <c r="N524" s="2527"/>
      <c r="O524" s="2527"/>
      <c r="P524" s="2786"/>
      <c r="Q524" s="2724"/>
      <c r="R524" s="2527"/>
      <c r="S524" s="2527"/>
      <c r="T524" s="1388" t="s">
        <v>907</v>
      </c>
      <c r="U524" s="2527"/>
      <c r="V524" s="2527"/>
      <c r="W524" s="2527"/>
      <c r="X524" s="1388" t="s">
        <v>907</v>
      </c>
      <c r="Y524" s="2527"/>
      <c r="Z524" s="2527"/>
      <c r="AA524" s="2527"/>
      <c r="AB524" s="1388" t="s">
        <v>907</v>
      </c>
      <c r="AC524" s="2527"/>
      <c r="AD524" s="2527"/>
      <c r="AE524" s="2527"/>
      <c r="AF524" s="1388" t="s">
        <v>907</v>
      </c>
      <c r="AG524" s="2527"/>
      <c r="AH524" s="2527"/>
      <c r="AI524" s="2786"/>
      <c r="AJ524" s="2543">
        <f t="shared" si="151"/>
        <v>0</v>
      </c>
      <c r="AK524" s="2544"/>
      <c r="AL524" s="2545"/>
      <c r="AM524" s="2505">
        <v>1</v>
      </c>
      <c r="AN524" s="2506"/>
      <c r="AO524" s="2507"/>
      <c r="AP524" s="2499">
        <f t="shared" si="152"/>
        <v>0</v>
      </c>
      <c r="AQ524" s="2500"/>
      <c r="AR524" s="2501"/>
      <c r="AS524" s="2555">
        <f ca="1">SUMIF(床・天井!R$6:R$89,F524,床・天井!I$6:I$89)+SUMIF(見積拾!C$120:D$128,F524,見積拾!T$120:T$128)</f>
        <v>0</v>
      </c>
      <c r="AT524" s="2556"/>
      <c r="AU524" s="2556"/>
      <c r="AV524" s="2557"/>
      <c r="AW524" s="2520">
        <f t="shared" ca="1" si="153"/>
        <v>0</v>
      </c>
      <c r="AX524" s="2521"/>
      <c r="AY524" s="2521"/>
      <c r="AZ524" s="2522"/>
      <c r="BA524" s="25" t="b">
        <f t="shared" ca="1" si="154"/>
        <v>0</v>
      </c>
      <c r="BB524"/>
    </row>
    <row r="525" spans="2:54" ht="13.5" customHeight="1">
      <c r="B525" s="2681"/>
      <c r="C525" s="2673"/>
      <c r="D525" s="2682"/>
      <c r="E525" s="1394" t="s">
        <v>918</v>
      </c>
      <c r="F525" s="2656" t="s">
        <v>898</v>
      </c>
      <c r="G525" s="2656"/>
      <c r="H525" s="2656"/>
      <c r="I525" s="2656"/>
      <c r="J525" s="2656"/>
      <c r="K525" s="2656"/>
      <c r="L525" s="2656"/>
      <c r="M525" s="2656"/>
      <c r="N525" s="2656"/>
      <c r="O525" s="2656"/>
      <c r="P525" s="2672"/>
      <c r="Q525" s="2657"/>
      <c r="R525" s="2656"/>
      <c r="S525" s="2656"/>
      <c r="T525" s="1390" t="s">
        <v>907</v>
      </c>
      <c r="U525" s="2656"/>
      <c r="V525" s="2656"/>
      <c r="W525" s="2656"/>
      <c r="X525" s="1390" t="s">
        <v>907</v>
      </c>
      <c r="Y525" s="2656"/>
      <c r="Z525" s="2656"/>
      <c r="AA525" s="2656"/>
      <c r="AB525" s="1390" t="s">
        <v>907</v>
      </c>
      <c r="AC525" s="2656"/>
      <c r="AD525" s="2656"/>
      <c r="AE525" s="2656"/>
      <c r="AF525" s="1390" t="s">
        <v>907</v>
      </c>
      <c r="AG525" s="2656"/>
      <c r="AH525" s="2656"/>
      <c r="AI525" s="2672"/>
      <c r="AJ525" s="2662">
        <f t="shared" si="151"/>
        <v>0</v>
      </c>
      <c r="AK525" s="2663"/>
      <c r="AL525" s="2664"/>
      <c r="AM525" s="2558">
        <v>1</v>
      </c>
      <c r="AN525" s="2559"/>
      <c r="AO525" s="2560"/>
      <c r="AP525" s="2662">
        <f t="shared" si="152"/>
        <v>0</v>
      </c>
      <c r="AQ525" s="2663"/>
      <c r="AR525" s="2664"/>
      <c r="AS525" s="2555">
        <f ca="1">SUMIF(床・天井!R$6:R$89,F525,床・天井!I$6:I$89)+SUMIF(見積拾!C$120:D$128,F525,見積拾!T$120:T$128)</f>
        <v>0</v>
      </c>
      <c r="AT525" s="2556"/>
      <c r="AU525" s="2556"/>
      <c r="AV525" s="2557"/>
      <c r="AW525" s="2665">
        <f t="shared" ca="1" si="153"/>
        <v>0</v>
      </c>
      <c r="AX525" s="2666"/>
      <c r="AY525" s="2666"/>
      <c r="AZ525" s="2667"/>
      <c r="BA525" s="25" t="b">
        <f t="shared" ca="1" si="154"/>
        <v>0</v>
      </c>
      <c r="BB525"/>
    </row>
    <row r="526" spans="2:54" ht="13.5" customHeight="1">
      <c r="B526" s="2681"/>
      <c r="C526" s="2673"/>
      <c r="D526" s="2682"/>
      <c r="E526" s="2789" t="s">
        <v>939</v>
      </c>
      <c r="F526" s="2790"/>
      <c r="G526" s="335" t="s">
        <v>893</v>
      </c>
      <c r="H526" s="3093" t="s">
        <v>940</v>
      </c>
      <c r="I526" s="3093"/>
      <c r="J526" s="3093"/>
      <c r="K526" s="3093"/>
      <c r="L526" s="3093"/>
      <c r="M526" s="3093"/>
      <c r="N526" s="3093"/>
      <c r="O526" s="3093"/>
      <c r="P526" s="3094"/>
      <c r="Q526" s="2787">
        <v>2900</v>
      </c>
      <c r="R526" s="2728"/>
      <c r="S526" s="2728"/>
      <c r="T526" s="336" t="s">
        <v>64</v>
      </c>
      <c r="U526" s="3096" t="s">
        <v>1173</v>
      </c>
      <c r="V526" s="3096"/>
      <c r="W526" s="3096"/>
      <c r="X526" s="336" t="s">
        <v>64</v>
      </c>
      <c r="Y526" s="3096" t="s">
        <v>1174</v>
      </c>
      <c r="Z526" s="3096"/>
      <c r="AA526" s="3096"/>
      <c r="AB526" s="336" t="s">
        <v>64</v>
      </c>
      <c r="AC526" s="2728"/>
      <c r="AD526" s="2728"/>
      <c r="AE526" s="2728"/>
      <c r="AF526" s="336" t="s">
        <v>64</v>
      </c>
      <c r="AG526" s="2728"/>
      <c r="AH526" s="2728"/>
      <c r="AI526" s="2728"/>
      <c r="AJ526" s="2609">
        <f t="shared" si="151"/>
        <v>2900</v>
      </c>
      <c r="AK526" s="2610"/>
      <c r="AL526" s="2611"/>
      <c r="AM526" s="2644">
        <v>1</v>
      </c>
      <c r="AN526" s="2645"/>
      <c r="AO526" s="2692"/>
      <c r="AP526" s="2651">
        <f t="shared" si="152"/>
        <v>2900</v>
      </c>
      <c r="AQ526" s="2652"/>
      <c r="AR526" s="2653"/>
      <c r="AS526" s="3084">
        <f>SUMIF(床・天井!S$6:S$89,H526,床・天井!I$6:I$89)+SUMIF(床・天井!T$6:T$89,H526,床・天井!I$6:I$89)+SUMIF(見積拾!D$129:D$133,H526,見積拾!T$129:T$133)</f>
        <v>0</v>
      </c>
      <c r="AT526" s="3085"/>
      <c r="AU526" s="3085"/>
      <c r="AV526" s="3086"/>
      <c r="AW526" s="2609">
        <f t="shared" si="153"/>
        <v>0</v>
      </c>
      <c r="AX526" s="2610"/>
      <c r="AY526" s="2610"/>
      <c r="AZ526" s="2611"/>
      <c r="BA526" s="25" t="b">
        <f t="shared" si="154"/>
        <v>0</v>
      </c>
    </row>
    <row r="527" spans="2:54" ht="13.5" customHeight="1">
      <c r="B527" s="2681"/>
      <c r="C527" s="2673"/>
      <c r="D527" s="2682"/>
      <c r="E527" s="2734"/>
      <c r="F527" s="2674"/>
      <c r="G527" s="337" t="s">
        <v>893</v>
      </c>
      <c r="H527" s="2712" t="s">
        <v>941</v>
      </c>
      <c r="I527" s="2712"/>
      <c r="J527" s="2712"/>
      <c r="K527" s="2712"/>
      <c r="L527" s="2712"/>
      <c r="M527" s="2712"/>
      <c r="N527" s="2712"/>
      <c r="O527" s="2712"/>
      <c r="P527" s="2713"/>
      <c r="Q527" s="2694">
        <v>1360</v>
      </c>
      <c r="R527" s="2689"/>
      <c r="S527" s="2689"/>
      <c r="T527" s="326" t="s">
        <v>64</v>
      </c>
      <c r="U527" s="2710" t="s">
        <v>1173</v>
      </c>
      <c r="V527" s="2710"/>
      <c r="W527" s="2710"/>
      <c r="X527" s="326" t="s">
        <v>64</v>
      </c>
      <c r="Y527" s="2710" t="s">
        <v>1174</v>
      </c>
      <c r="Z527" s="2710"/>
      <c r="AA527" s="2710"/>
      <c r="AB527" s="326" t="s">
        <v>64</v>
      </c>
      <c r="AC527" s="2689"/>
      <c r="AD527" s="2689"/>
      <c r="AE527" s="2689"/>
      <c r="AF527" s="326" t="s">
        <v>64</v>
      </c>
      <c r="AG527" s="2689"/>
      <c r="AH527" s="2689"/>
      <c r="AI527" s="2689"/>
      <c r="AJ527" s="2561">
        <f t="shared" si="151"/>
        <v>1360</v>
      </c>
      <c r="AK527" s="2562"/>
      <c r="AL527" s="2563"/>
      <c r="AM527" s="2502">
        <v>1</v>
      </c>
      <c r="AN527" s="2503"/>
      <c r="AO527" s="2504"/>
      <c r="AP527" s="2499">
        <f t="shared" si="152"/>
        <v>1360</v>
      </c>
      <c r="AQ527" s="2500"/>
      <c r="AR527" s="2501"/>
      <c r="AS527" s="2555">
        <f>SUMIF(床・天井!S$6:S$89,H527,床・天井!I$6:I$89)+SUMIF(床・天井!T$6:T$89,H527,床・天井!I$6:I$89)+SUMIF(見積拾!D$129:D$133,H527,見積拾!T$129:T$133)</f>
        <v>0</v>
      </c>
      <c r="AT527" s="2556"/>
      <c r="AU527" s="2556"/>
      <c r="AV527" s="2557"/>
      <c r="AW527" s="2561">
        <f t="shared" si="153"/>
        <v>0</v>
      </c>
      <c r="AX527" s="2562"/>
      <c r="AY527" s="2562"/>
      <c r="AZ527" s="2563"/>
      <c r="BA527" s="25" t="b">
        <f t="shared" si="154"/>
        <v>0</v>
      </c>
    </row>
    <row r="528" spans="2:54" ht="13.5" customHeight="1">
      <c r="B528" s="2681"/>
      <c r="C528" s="2673"/>
      <c r="D528" s="2682"/>
      <c r="E528" s="2734"/>
      <c r="F528" s="2674"/>
      <c r="G528" s="337" t="s">
        <v>893</v>
      </c>
      <c r="H528" s="2712" t="s">
        <v>942</v>
      </c>
      <c r="I528" s="2712"/>
      <c r="J528" s="2712"/>
      <c r="K528" s="2712"/>
      <c r="L528" s="2712"/>
      <c r="M528" s="2712"/>
      <c r="N528" s="2712"/>
      <c r="O528" s="2712"/>
      <c r="P528" s="2713"/>
      <c r="Q528" s="2694">
        <v>930</v>
      </c>
      <c r="R528" s="2689"/>
      <c r="S528" s="2689"/>
      <c r="T528" s="326" t="s">
        <v>64</v>
      </c>
      <c r="U528" s="2710" t="s">
        <v>1173</v>
      </c>
      <c r="V528" s="2710"/>
      <c r="W528" s="2710"/>
      <c r="X528" s="326" t="s">
        <v>64</v>
      </c>
      <c r="Y528" s="2710" t="s">
        <v>1174</v>
      </c>
      <c r="Z528" s="2710"/>
      <c r="AA528" s="2710"/>
      <c r="AB528" s="326" t="s">
        <v>64</v>
      </c>
      <c r="AC528" s="2689"/>
      <c r="AD528" s="2689"/>
      <c r="AE528" s="2689"/>
      <c r="AF528" s="326" t="s">
        <v>64</v>
      </c>
      <c r="AG528" s="2689"/>
      <c r="AH528" s="2689"/>
      <c r="AI528" s="2689"/>
      <c r="AJ528" s="2561">
        <f t="shared" si="151"/>
        <v>930</v>
      </c>
      <c r="AK528" s="2562"/>
      <c r="AL528" s="2563"/>
      <c r="AM528" s="2502">
        <v>1</v>
      </c>
      <c r="AN528" s="2503"/>
      <c r="AO528" s="2504"/>
      <c r="AP528" s="2499">
        <f t="shared" si="152"/>
        <v>930</v>
      </c>
      <c r="AQ528" s="2500"/>
      <c r="AR528" s="2501"/>
      <c r="AS528" s="2555">
        <f>SUMIF(床・天井!S$6:S$89,H528,床・天井!I$6:I$89)+SUMIF(床・天井!T$6:T$89,H528,床・天井!I$6:I$89)+SUMIF(見積拾!D$129:D$133,H528,見積拾!T$129:T$133)</f>
        <v>0</v>
      </c>
      <c r="AT528" s="2556"/>
      <c r="AU528" s="2556"/>
      <c r="AV528" s="2557"/>
      <c r="AW528" s="2561">
        <f t="shared" si="153"/>
        <v>0</v>
      </c>
      <c r="AX528" s="2562"/>
      <c r="AY528" s="2562"/>
      <c r="AZ528" s="2563"/>
      <c r="BA528" s="25" t="b">
        <f t="shared" si="154"/>
        <v>0</v>
      </c>
    </row>
    <row r="529" spans="1:54" s="1929" customFormat="1" ht="13.5" customHeight="1">
      <c r="B529" s="2681"/>
      <c r="C529" s="2673"/>
      <c r="D529" s="2683"/>
      <c r="E529" s="2734"/>
      <c r="F529" s="2791"/>
      <c r="G529" s="337" t="s">
        <v>893</v>
      </c>
      <c r="H529" s="2712" t="s">
        <v>1959</v>
      </c>
      <c r="I529" s="2712"/>
      <c r="J529" s="2712"/>
      <c r="K529" s="2712"/>
      <c r="L529" s="2712"/>
      <c r="M529" s="2712"/>
      <c r="N529" s="2712"/>
      <c r="O529" s="2712"/>
      <c r="P529" s="2713"/>
      <c r="Q529" s="2694">
        <v>1790</v>
      </c>
      <c r="R529" s="2689"/>
      <c r="S529" s="2689"/>
      <c r="T529" s="326" t="s">
        <v>64</v>
      </c>
      <c r="U529" s="2710" t="s">
        <v>1173</v>
      </c>
      <c r="V529" s="2710"/>
      <c r="W529" s="2710"/>
      <c r="X529" s="326" t="s">
        <v>64</v>
      </c>
      <c r="Y529" s="2710" t="s">
        <v>1174</v>
      </c>
      <c r="Z529" s="2710"/>
      <c r="AA529" s="2710"/>
      <c r="AB529" s="326" t="s">
        <v>64</v>
      </c>
      <c r="AC529" s="2689"/>
      <c r="AD529" s="2689"/>
      <c r="AE529" s="2689"/>
      <c r="AF529" s="326" t="s">
        <v>64</v>
      </c>
      <c r="AG529" s="2689"/>
      <c r="AH529" s="2689"/>
      <c r="AI529" s="2689"/>
      <c r="AJ529" s="2561">
        <f t="shared" si="151"/>
        <v>1790</v>
      </c>
      <c r="AK529" s="2562"/>
      <c r="AL529" s="2563"/>
      <c r="AM529" s="2502">
        <v>1</v>
      </c>
      <c r="AN529" s="2503"/>
      <c r="AO529" s="2504"/>
      <c r="AP529" s="2499">
        <f t="shared" si="152"/>
        <v>1790</v>
      </c>
      <c r="AQ529" s="2500"/>
      <c r="AR529" s="2501"/>
      <c r="AS529" s="2555">
        <f>SUMIF(床・天井!S$6:S$89,H529,床・天井!I$6:I$89)+SUMIF(床・天井!T$6:T$89,H529,床・天井!I$6:I$89)+SUMIF(見積拾!D$129:D$133,H529,見積拾!T$129:T$133)</f>
        <v>0</v>
      </c>
      <c r="AT529" s="2556"/>
      <c r="AU529" s="2556"/>
      <c r="AV529" s="2557"/>
      <c r="AW529" s="2561">
        <f t="shared" si="153"/>
        <v>0</v>
      </c>
      <c r="AX529" s="2562"/>
      <c r="AY529" s="2562"/>
      <c r="AZ529" s="2563"/>
      <c r="BA529" s="25" t="b">
        <f t="shared" si="154"/>
        <v>0</v>
      </c>
    </row>
    <row r="530" spans="1:54" s="1929" customFormat="1" ht="13.5" customHeight="1">
      <c r="B530" s="2681"/>
      <c r="C530" s="2673"/>
      <c r="D530" s="2683"/>
      <c r="E530" s="2734"/>
      <c r="F530" s="2791"/>
      <c r="G530" s="337" t="s">
        <v>893</v>
      </c>
      <c r="H530" s="2712" t="s">
        <v>1960</v>
      </c>
      <c r="I530" s="2712"/>
      <c r="J530" s="2712"/>
      <c r="K530" s="2712"/>
      <c r="L530" s="2712"/>
      <c r="M530" s="2712"/>
      <c r="N530" s="2712"/>
      <c r="O530" s="2712"/>
      <c r="P530" s="2713"/>
      <c r="Q530" s="2694">
        <v>990</v>
      </c>
      <c r="R530" s="2689"/>
      <c r="S530" s="2689"/>
      <c r="T530" s="326" t="s">
        <v>64</v>
      </c>
      <c r="U530" s="2710" t="s">
        <v>1173</v>
      </c>
      <c r="V530" s="2710"/>
      <c r="W530" s="2710"/>
      <c r="X530" s="326" t="s">
        <v>64</v>
      </c>
      <c r="Y530" s="2710" t="s">
        <v>1174</v>
      </c>
      <c r="Z530" s="2710"/>
      <c r="AA530" s="2710"/>
      <c r="AB530" s="326" t="s">
        <v>64</v>
      </c>
      <c r="AC530" s="2689"/>
      <c r="AD530" s="2689"/>
      <c r="AE530" s="2689"/>
      <c r="AF530" s="326" t="s">
        <v>64</v>
      </c>
      <c r="AG530" s="2689"/>
      <c r="AH530" s="2689"/>
      <c r="AI530" s="2689"/>
      <c r="AJ530" s="2561">
        <f t="shared" si="151"/>
        <v>990</v>
      </c>
      <c r="AK530" s="2562"/>
      <c r="AL530" s="2563"/>
      <c r="AM530" s="2502">
        <v>1</v>
      </c>
      <c r="AN530" s="2503"/>
      <c r="AO530" s="2504"/>
      <c r="AP530" s="2499">
        <f t="shared" si="152"/>
        <v>990</v>
      </c>
      <c r="AQ530" s="2500"/>
      <c r="AR530" s="2501"/>
      <c r="AS530" s="2555">
        <f>SUMIF(床・天井!S$6:S$89,H530,床・天井!I$6:I$89)+SUMIF(床・天井!T$6:T$89,H530,床・天井!I$6:I$89)+SUMIF(見積拾!D$129:D$133,H530,見積拾!T$129:T$133)</f>
        <v>0</v>
      </c>
      <c r="AT530" s="2556"/>
      <c r="AU530" s="2556"/>
      <c r="AV530" s="2557"/>
      <c r="AW530" s="2561">
        <f t="shared" si="153"/>
        <v>0</v>
      </c>
      <c r="AX530" s="2562"/>
      <c r="AY530" s="2562"/>
      <c r="AZ530" s="2563"/>
      <c r="BA530" s="25" t="b">
        <f t="shared" si="154"/>
        <v>0</v>
      </c>
    </row>
    <row r="531" spans="1:54" s="1929" customFormat="1" ht="13.5" customHeight="1">
      <c r="B531" s="2681"/>
      <c r="C531" s="2673"/>
      <c r="D531" s="2683"/>
      <c r="E531" s="2734"/>
      <c r="F531" s="2791"/>
      <c r="G531" s="337" t="s">
        <v>893</v>
      </c>
      <c r="H531" s="2712" t="s">
        <v>1961</v>
      </c>
      <c r="I531" s="2712"/>
      <c r="J531" s="2712"/>
      <c r="K531" s="2712"/>
      <c r="L531" s="2712"/>
      <c r="M531" s="2712"/>
      <c r="N531" s="2712"/>
      <c r="O531" s="2712"/>
      <c r="P531" s="2713"/>
      <c r="Q531" s="2694">
        <v>1750</v>
      </c>
      <c r="R531" s="2689"/>
      <c r="S531" s="2689"/>
      <c r="T531" s="326" t="s">
        <v>64</v>
      </c>
      <c r="U531" s="2710" t="s">
        <v>1173</v>
      </c>
      <c r="V531" s="2710"/>
      <c r="W531" s="2710"/>
      <c r="X531" s="326" t="s">
        <v>64</v>
      </c>
      <c r="Y531" s="2710" t="s">
        <v>1174</v>
      </c>
      <c r="Z531" s="2710"/>
      <c r="AA531" s="2710"/>
      <c r="AB531" s="326" t="s">
        <v>64</v>
      </c>
      <c r="AC531" s="2689"/>
      <c r="AD531" s="2689"/>
      <c r="AE531" s="2689"/>
      <c r="AF531" s="326" t="s">
        <v>64</v>
      </c>
      <c r="AG531" s="2689"/>
      <c r="AH531" s="2689"/>
      <c r="AI531" s="2689"/>
      <c r="AJ531" s="2561">
        <f t="shared" si="151"/>
        <v>1750</v>
      </c>
      <c r="AK531" s="2562"/>
      <c r="AL531" s="2563"/>
      <c r="AM531" s="2502">
        <v>1</v>
      </c>
      <c r="AN531" s="2503"/>
      <c r="AO531" s="2504"/>
      <c r="AP531" s="2499">
        <f t="shared" si="152"/>
        <v>1750</v>
      </c>
      <c r="AQ531" s="2500"/>
      <c r="AR531" s="2501"/>
      <c r="AS531" s="2555">
        <f>SUMIF(床・天井!S$6:S$89,H531,床・天井!I$6:I$89)+SUMIF(床・天井!T$6:T$89,H531,床・天井!I$6:I$89)+SUMIF(見積拾!D$129:D$133,H531,見積拾!T$129:T$133)</f>
        <v>0</v>
      </c>
      <c r="AT531" s="2556"/>
      <c r="AU531" s="2556"/>
      <c r="AV531" s="2557"/>
      <c r="AW531" s="2561">
        <f t="shared" si="153"/>
        <v>0</v>
      </c>
      <c r="AX531" s="2562"/>
      <c r="AY531" s="2562"/>
      <c r="AZ531" s="2563"/>
      <c r="BA531" s="25" t="b">
        <f t="shared" si="154"/>
        <v>0</v>
      </c>
    </row>
    <row r="532" spans="1:54" s="1929" customFormat="1" ht="13.5" customHeight="1">
      <c r="B532" s="2681"/>
      <c r="C532" s="2673"/>
      <c r="D532" s="2683"/>
      <c r="E532" s="2734"/>
      <c r="F532" s="2791"/>
      <c r="G532" s="337" t="s">
        <v>893</v>
      </c>
      <c r="H532" s="2712" t="s">
        <v>1962</v>
      </c>
      <c r="I532" s="2712"/>
      <c r="J532" s="2712"/>
      <c r="K532" s="2712"/>
      <c r="L532" s="2712"/>
      <c r="M532" s="2712"/>
      <c r="N532" s="2712"/>
      <c r="O532" s="2712"/>
      <c r="P532" s="2713"/>
      <c r="Q532" s="2694">
        <v>810</v>
      </c>
      <c r="R532" s="2689"/>
      <c r="S532" s="2689"/>
      <c r="T532" s="326" t="s">
        <v>64</v>
      </c>
      <c r="U532" s="2710" t="s">
        <v>1173</v>
      </c>
      <c r="V532" s="2710"/>
      <c r="W532" s="2710"/>
      <c r="X532" s="326" t="s">
        <v>64</v>
      </c>
      <c r="Y532" s="2710" t="s">
        <v>1174</v>
      </c>
      <c r="Z532" s="2710"/>
      <c r="AA532" s="2710"/>
      <c r="AB532" s="326" t="s">
        <v>64</v>
      </c>
      <c r="AC532" s="2689"/>
      <c r="AD532" s="2689"/>
      <c r="AE532" s="2689"/>
      <c r="AF532" s="326" t="s">
        <v>64</v>
      </c>
      <c r="AG532" s="2689"/>
      <c r="AH532" s="2689"/>
      <c r="AI532" s="2689"/>
      <c r="AJ532" s="2561">
        <f t="shared" si="151"/>
        <v>810</v>
      </c>
      <c r="AK532" s="2562"/>
      <c r="AL532" s="2563"/>
      <c r="AM532" s="2502">
        <v>1</v>
      </c>
      <c r="AN532" s="2503"/>
      <c r="AO532" s="2504"/>
      <c r="AP532" s="2499">
        <f t="shared" si="152"/>
        <v>810</v>
      </c>
      <c r="AQ532" s="2500"/>
      <c r="AR532" s="2501"/>
      <c r="AS532" s="2555">
        <f>SUMIF(床・天井!S$6:S$89,H532,床・天井!I$6:I$89)+SUMIF(床・天井!T$6:T$89,H532,床・天井!I$6:I$89)+SUMIF(見積拾!D$129:D$133,H532,見積拾!T$129:T$133)</f>
        <v>0</v>
      </c>
      <c r="AT532" s="2556"/>
      <c r="AU532" s="2556"/>
      <c r="AV532" s="2557"/>
      <c r="AW532" s="2561">
        <f t="shared" si="153"/>
        <v>0</v>
      </c>
      <c r="AX532" s="2562"/>
      <c r="AY532" s="2562"/>
      <c r="AZ532" s="2563"/>
      <c r="BA532" s="25" t="b">
        <f t="shared" si="154"/>
        <v>0</v>
      </c>
    </row>
    <row r="533" spans="1:54" s="1929" customFormat="1" ht="13.5" customHeight="1">
      <c r="B533" s="2681"/>
      <c r="C533" s="2673"/>
      <c r="D533" s="2683"/>
      <c r="E533" s="2734"/>
      <c r="F533" s="2791"/>
      <c r="G533" s="337" t="s">
        <v>893</v>
      </c>
      <c r="H533" s="2712" t="s">
        <v>1270</v>
      </c>
      <c r="I533" s="2712"/>
      <c r="J533" s="2712"/>
      <c r="K533" s="2712"/>
      <c r="L533" s="2712"/>
      <c r="M533" s="2712"/>
      <c r="N533" s="2712"/>
      <c r="O533" s="2712"/>
      <c r="P533" s="2713"/>
      <c r="Q533" s="2694">
        <v>1880</v>
      </c>
      <c r="R533" s="2689"/>
      <c r="S533" s="2689"/>
      <c r="T533" s="326" t="s">
        <v>64</v>
      </c>
      <c r="U533" s="2710" t="s">
        <v>1173</v>
      </c>
      <c r="V533" s="2710"/>
      <c r="W533" s="2710"/>
      <c r="X533" s="326" t="s">
        <v>64</v>
      </c>
      <c r="Y533" s="2710" t="s">
        <v>1174</v>
      </c>
      <c r="Z533" s="2710"/>
      <c r="AA533" s="2710"/>
      <c r="AB533" s="326" t="s">
        <v>64</v>
      </c>
      <c r="AC533" s="2689"/>
      <c r="AD533" s="2689"/>
      <c r="AE533" s="2689"/>
      <c r="AF533" s="326" t="s">
        <v>64</v>
      </c>
      <c r="AG533" s="2689"/>
      <c r="AH533" s="2689"/>
      <c r="AI533" s="2689"/>
      <c r="AJ533" s="2561">
        <f t="shared" si="151"/>
        <v>1880</v>
      </c>
      <c r="AK533" s="2562"/>
      <c r="AL533" s="2563"/>
      <c r="AM533" s="2502">
        <v>1</v>
      </c>
      <c r="AN533" s="2503"/>
      <c r="AO533" s="2504"/>
      <c r="AP533" s="2499">
        <f t="shared" si="152"/>
        <v>1880</v>
      </c>
      <c r="AQ533" s="2500"/>
      <c r="AR533" s="2501"/>
      <c r="AS533" s="2555">
        <f>SUMIF(床・天井!S$6:S$89,H533,床・天井!I$6:I$89)+SUMIF(床・天井!T$6:T$89,H533,床・天井!I$6:I$89)+SUMIF(見積拾!D$129:D$133,H533,見積拾!T$129:T$133)</f>
        <v>0</v>
      </c>
      <c r="AT533" s="2556"/>
      <c r="AU533" s="2556"/>
      <c r="AV533" s="2557"/>
      <c r="AW533" s="2561">
        <f t="shared" si="153"/>
        <v>0</v>
      </c>
      <c r="AX533" s="2562"/>
      <c r="AY533" s="2562"/>
      <c r="AZ533" s="2563"/>
      <c r="BA533" s="25" t="b">
        <f t="shared" si="154"/>
        <v>0</v>
      </c>
    </row>
    <row r="534" spans="1:54" s="1929" customFormat="1" ht="13.5" customHeight="1">
      <c r="B534" s="2681"/>
      <c r="C534" s="2673"/>
      <c r="D534" s="2683"/>
      <c r="E534" s="2734"/>
      <c r="F534" s="2791"/>
      <c r="G534" s="337" t="s">
        <v>893</v>
      </c>
      <c r="H534" s="2712" t="s">
        <v>1963</v>
      </c>
      <c r="I534" s="2712"/>
      <c r="J534" s="2712"/>
      <c r="K534" s="2712"/>
      <c r="L534" s="2712"/>
      <c r="M534" s="2712"/>
      <c r="N534" s="2712"/>
      <c r="O534" s="2712"/>
      <c r="P534" s="2713"/>
      <c r="Q534" s="2694">
        <v>730</v>
      </c>
      <c r="R534" s="2689"/>
      <c r="S534" s="2689"/>
      <c r="T534" s="326" t="s">
        <v>64</v>
      </c>
      <c r="U534" s="2710" t="s">
        <v>1173</v>
      </c>
      <c r="V534" s="2710"/>
      <c r="W534" s="2710"/>
      <c r="X534" s="326" t="s">
        <v>64</v>
      </c>
      <c r="Y534" s="2710" t="s">
        <v>1174</v>
      </c>
      <c r="Z534" s="2710"/>
      <c r="AA534" s="2710"/>
      <c r="AB534" s="326" t="s">
        <v>64</v>
      </c>
      <c r="AC534" s="2689"/>
      <c r="AD534" s="2689"/>
      <c r="AE534" s="2689"/>
      <c r="AF534" s="326" t="s">
        <v>64</v>
      </c>
      <c r="AG534" s="2689"/>
      <c r="AH534" s="2689"/>
      <c r="AI534" s="2689"/>
      <c r="AJ534" s="2561">
        <f t="shared" si="151"/>
        <v>730</v>
      </c>
      <c r="AK534" s="2562"/>
      <c r="AL534" s="2563"/>
      <c r="AM534" s="2502">
        <v>1</v>
      </c>
      <c r="AN534" s="2503"/>
      <c r="AO534" s="2504"/>
      <c r="AP534" s="2499">
        <f t="shared" si="152"/>
        <v>730</v>
      </c>
      <c r="AQ534" s="2500"/>
      <c r="AR534" s="2501"/>
      <c r="AS534" s="2555">
        <f>SUMIF(床・天井!S$6:S$89,H534,床・天井!I$6:I$89)+SUMIF(床・天井!T$6:T$89,H534,床・天井!I$6:I$89)+SUMIF(見積拾!D$129:D$133,H534,見積拾!T$129:T$133)</f>
        <v>0</v>
      </c>
      <c r="AT534" s="2556"/>
      <c r="AU534" s="2556"/>
      <c r="AV534" s="2557"/>
      <c r="AW534" s="2561">
        <f t="shared" si="153"/>
        <v>0</v>
      </c>
      <c r="AX534" s="2562"/>
      <c r="AY534" s="2562"/>
      <c r="AZ534" s="2563"/>
      <c r="BA534" s="25" t="b">
        <f t="shared" si="154"/>
        <v>0</v>
      </c>
    </row>
    <row r="535" spans="1:54" ht="13.5" customHeight="1">
      <c r="B535" s="2681"/>
      <c r="C535" s="2673"/>
      <c r="D535" s="2682"/>
      <c r="E535" s="2734"/>
      <c r="F535" s="2674"/>
      <c r="G535" s="337" t="s">
        <v>893</v>
      </c>
      <c r="H535" s="2712"/>
      <c r="I535" s="2712"/>
      <c r="J535" s="2712"/>
      <c r="K535" s="2712"/>
      <c r="L535" s="2712"/>
      <c r="M535" s="2712"/>
      <c r="N535" s="2712"/>
      <c r="O535" s="2712"/>
      <c r="P535" s="2713"/>
      <c r="Q535" s="2694"/>
      <c r="R535" s="2689"/>
      <c r="S535" s="2689"/>
      <c r="T535" s="326" t="s">
        <v>64</v>
      </c>
      <c r="U535" s="2719"/>
      <c r="V535" s="2719"/>
      <c r="W535" s="2719"/>
      <c r="X535" s="326" t="s">
        <v>64</v>
      </c>
      <c r="Y535" s="2719"/>
      <c r="Z535" s="2719"/>
      <c r="AA535" s="2719"/>
      <c r="AB535" s="326" t="s">
        <v>64</v>
      </c>
      <c r="AC535" s="2689"/>
      <c r="AD535" s="2689"/>
      <c r="AE535" s="2689"/>
      <c r="AF535" s="326" t="s">
        <v>64</v>
      </c>
      <c r="AG535" s="2689"/>
      <c r="AH535" s="2689"/>
      <c r="AI535" s="2689"/>
      <c r="AJ535" s="2499">
        <f t="shared" si="151"/>
        <v>0</v>
      </c>
      <c r="AK535" s="2500"/>
      <c r="AL535" s="2501"/>
      <c r="AM535" s="2502">
        <v>1</v>
      </c>
      <c r="AN535" s="2503"/>
      <c r="AO535" s="2504"/>
      <c r="AP535" s="2499">
        <f t="shared" si="152"/>
        <v>0</v>
      </c>
      <c r="AQ535" s="2500"/>
      <c r="AR535" s="2501"/>
      <c r="AS535" s="2555">
        <f>SUMIF(床・天井!S$6:S$89,H535,床・天井!I$6:I$89)+SUMIF(床・天井!T$6:T$89,H535,床・天井!I$6:I$89)+SUMIF(見積拾!D$129:D$133,H535,見積拾!T$129:T$133)</f>
        <v>0</v>
      </c>
      <c r="AT535" s="2556"/>
      <c r="AU535" s="2556"/>
      <c r="AV535" s="2557"/>
      <c r="AW535" s="2561">
        <f t="shared" si="153"/>
        <v>0</v>
      </c>
      <c r="AX535" s="2562"/>
      <c r="AY535" s="2562"/>
      <c r="AZ535" s="2563"/>
      <c r="BA535" s="25" t="b">
        <f t="shared" si="154"/>
        <v>0</v>
      </c>
      <c r="BB535"/>
    </row>
    <row r="536" spans="1:54" ht="13.5" customHeight="1" thickBot="1">
      <c r="B536" s="2681"/>
      <c r="C536" s="2673"/>
      <c r="D536" s="2682"/>
      <c r="E536" s="2734"/>
      <c r="F536" s="2674"/>
      <c r="G536" s="338" t="s">
        <v>65</v>
      </c>
      <c r="H536" s="3090" t="s">
        <v>943</v>
      </c>
      <c r="I536" s="3090"/>
      <c r="J536" s="3090"/>
      <c r="K536" s="3090"/>
      <c r="L536" s="3090"/>
      <c r="M536" s="3090"/>
      <c r="N536" s="3090"/>
      <c r="O536" s="3090"/>
      <c r="P536" s="3091"/>
      <c r="Q536" s="3092"/>
      <c r="R536" s="2688"/>
      <c r="S536" s="2688"/>
      <c r="T536" s="332"/>
      <c r="U536" s="2688"/>
      <c r="V536" s="2688"/>
      <c r="W536" s="2688"/>
      <c r="X536" s="332"/>
      <c r="Y536" s="2688"/>
      <c r="Z536" s="2688"/>
      <c r="AA536" s="2688"/>
      <c r="AB536" s="332"/>
      <c r="AC536" s="2688"/>
      <c r="AD536" s="2688"/>
      <c r="AE536" s="2688"/>
      <c r="AF536" s="332"/>
      <c r="AG536" s="2688"/>
      <c r="AH536" s="2688"/>
      <c r="AI536" s="2688"/>
      <c r="AJ536" s="2662">
        <f t="shared" si="151"/>
        <v>0</v>
      </c>
      <c r="AK536" s="2663"/>
      <c r="AL536" s="2664"/>
      <c r="AM536" s="2558">
        <v>1</v>
      </c>
      <c r="AN536" s="2559"/>
      <c r="AO536" s="2560"/>
      <c r="AP536" s="2662">
        <f t="shared" si="152"/>
        <v>0</v>
      </c>
      <c r="AQ536" s="2663"/>
      <c r="AR536" s="2664"/>
      <c r="AS536" s="2721"/>
      <c r="AT536" s="2722"/>
      <c r="AU536" s="2722"/>
      <c r="AV536" s="2723"/>
      <c r="AW536" s="2665">
        <f t="shared" si="153"/>
        <v>0</v>
      </c>
      <c r="AX536" s="2666"/>
      <c r="AY536" s="2666"/>
      <c r="AZ536" s="2667"/>
      <c r="BA536" s="25" t="b">
        <f t="shared" si="154"/>
        <v>0</v>
      </c>
      <c r="BB536"/>
    </row>
    <row r="537" spans="1:54" ht="13.5" customHeight="1" thickBot="1">
      <c r="B537" s="2684"/>
      <c r="C537" s="2685"/>
      <c r="D537" s="2686"/>
      <c r="E537" s="329"/>
      <c r="F537" s="330"/>
      <c r="G537" s="330"/>
      <c r="H537" s="330"/>
      <c r="I537" s="330"/>
      <c r="J537" s="330"/>
      <c r="K537" s="330"/>
      <c r="L537" s="330"/>
      <c r="M537" s="330"/>
      <c r="N537" s="330"/>
      <c r="O537" s="330"/>
      <c r="P537" s="330"/>
      <c r="Q537" s="329"/>
      <c r="R537" s="330"/>
      <c r="S537" s="330"/>
      <c r="T537" s="330"/>
      <c r="U537" s="330"/>
      <c r="V537" s="330"/>
      <c r="W537" s="330"/>
      <c r="X537" s="330"/>
      <c r="Y537" s="330"/>
      <c r="Z537" s="330"/>
      <c r="AA537" s="330"/>
      <c r="AB537" s="330"/>
      <c r="AC537" s="330"/>
      <c r="AD537" s="330"/>
      <c r="AE537" s="330"/>
      <c r="AF537" s="330"/>
      <c r="AG537" s="330"/>
      <c r="AH537" s="330"/>
      <c r="AI537" s="331"/>
      <c r="AJ537" s="3076" t="str">
        <f ca="1">IF(AS537=床・天井!R91+見積拾!T134,"面積合計及び部分別評点数","補助票と面積が違います！")</f>
        <v>面積合計及び部分別評点数</v>
      </c>
      <c r="AK537" s="3077"/>
      <c r="AL537" s="3077"/>
      <c r="AM537" s="3077"/>
      <c r="AN537" s="3077"/>
      <c r="AO537" s="3077"/>
      <c r="AP537" s="3077"/>
      <c r="AQ537" s="3077"/>
      <c r="AR537" s="3078"/>
      <c r="AS537" s="3065">
        <f ca="1">SUM(AS467:AV525)</f>
        <v>0</v>
      </c>
      <c r="AT537" s="3066"/>
      <c r="AU537" s="3066"/>
      <c r="AV537" s="3067"/>
      <c r="AW537" s="2668">
        <f ca="1">SUM(AW466:AZ536)</f>
        <v>0</v>
      </c>
      <c r="AX537" s="2668"/>
      <c r="AY537" s="2668"/>
      <c r="AZ537" s="2669"/>
      <c r="BA537" s="25" t="b">
        <v>1</v>
      </c>
      <c r="BB537"/>
    </row>
    <row r="538" spans="1:54" ht="13.5" customHeight="1">
      <c r="BA538" s="25" t="b">
        <v>0</v>
      </c>
      <c r="BB538"/>
    </row>
    <row r="539" spans="1:54" ht="13.5" customHeight="1">
      <c r="BA539" s="25" t="b">
        <v>0</v>
      </c>
      <c r="BB539"/>
    </row>
    <row r="540" spans="1:54" ht="13.5" customHeight="1">
      <c r="C540" s="26" t="s">
        <v>950</v>
      </c>
      <c r="D540" s="27"/>
      <c r="E540" s="27"/>
      <c r="F540" s="27"/>
      <c r="G540" s="27"/>
      <c r="H540" s="27"/>
      <c r="I540" s="27"/>
      <c r="J540" s="27"/>
      <c r="BA540" s="25" t="b">
        <v>0</v>
      </c>
      <c r="BB540"/>
    </row>
    <row r="541" spans="1:54" ht="13.5" customHeight="1">
      <c r="BA541" s="25" t="b">
        <v>0</v>
      </c>
      <c r="BB541"/>
    </row>
    <row r="542" spans="1:54" ht="13.5" customHeight="1">
      <c r="B542" s="137"/>
      <c r="C542" s="138"/>
      <c r="D542" s="139"/>
      <c r="E542" s="291" t="s">
        <v>759</v>
      </c>
      <c r="F542" s="292"/>
      <c r="G542" s="292"/>
      <c r="H542" s="292"/>
      <c r="I542" s="292"/>
      <c r="J542" s="292"/>
      <c r="K542" s="292"/>
      <c r="L542" s="292"/>
      <c r="M542" s="292"/>
      <c r="N542" s="292"/>
      <c r="O542" s="292"/>
      <c r="P542" s="293"/>
      <c r="Q542" s="292" t="s">
        <v>885</v>
      </c>
      <c r="R542" s="292"/>
      <c r="S542" s="292"/>
      <c r="T542" s="320"/>
      <c r="U542" s="292" t="s">
        <v>886</v>
      </c>
      <c r="V542" s="292"/>
      <c r="W542" s="292"/>
      <c r="X542" s="320"/>
      <c r="Y542" s="292" t="s">
        <v>887</v>
      </c>
      <c r="Z542" s="292"/>
      <c r="AA542" s="292"/>
      <c r="AB542" s="320"/>
      <c r="AC542" s="292" t="s">
        <v>888</v>
      </c>
      <c r="AD542" s="292"/>
      <c r="AE542" s="292"/>
      <c r="AF542" s="292" t="s">
        <v>888</v>
      </c>
      <c r="AG542" s="292"/>
      <c r="AH542" s="293"/>
      <c r="AI542" s="293"/>
      <c r="AJ542" s="291" t="s">
        <v>889</v>
      </c>
      <c r="AK542" s="292"/>
      <c r="AL542" s="293"/>
      <c r="AM542" s="291" t="s">
        <v>765</v>
      </c>
      <c r="AN542" s="292"/>
      <c r="AO542" s="293"/>
      <c r="AP542" s="291" t="s">
        <v>890</v>
      </c>
      <c r="AQ542" s="292"/>
      <c r="AR542" s="293"/>
      <c r="AS542" s="294" t="s">
        <v>891</v>
      </c>
      <c r="AT542" s="291"/>
      <c r="AU542" s="291"/>
      <c r="AV542" s="291"/>
      <c r="AW542" s="2658" t="s">
        <v>762</v>
      </c>
      <c r="AX542" s="2658"/>
      <c r="AY542" s="2658"/>
      <c r="AZ542" s="2658"/>
      <c r="BA542" s="25" t="b">
        <v>0</v>
      </c>
      <c r="BB542"/>
    </row>
    <row r="543" spans="1:54" ht="13.5" customHeight="1">
      <c r="A543">
        <f>ROW()</f>
        <v>543</v>
      </c>
      <c r="B543" s="2681" t="s">
        <v>951</v>
      </c>
      <c r="C543" s="2673"/>
      <c r="D543" s="2682"/>
      <c r="E543" s="1396" t="s">
        <v>893</v>
      </c>
      <c r="F543" s="3079" t="s">
        <v>914</v>
      </c>
      <c r="G543" s="3079"/>
      <c r="H543" s="3079"/>
      <c r="I543" s="3079"/>
      <c r="J543" s="3079"/>
      <c r="K543" s="3079"/>
      <c r="L543" s="3079"/>
      <c r="M543" s="3079"/>
      <c r="N543" s="3079"/>
      <c r="O543" s="3079"/>
      <c r="P543" s="3080"/>
      <c r="Q543" s="3087"/>
      <c r="R543" s="2720"/>
      <c r="S543" s="2720"/>
      <c r="T543" s="1397"/>
      <c r="U543" s="2720"/>
      <c r="V543" s="2720"/>
      <c r="W543" s="2720"/>
      <c r="X543" s="1397"/>
      <c r="Y543" s="2720"/>
      <c r="Z543" s="2720"/>
      <c r="AA543" s="2720"/>
      <c r="AB543" s="1397"/>
      <c r="AC543" s="2720"/>
      <c r="AD543" s="2720"/>
      <c r="AE543" s="2720"/>
      <c r="AF543" s="1397"/>
      <c r="AG543" s="2720"/>
      <c r="AH543" s="2720"/>
      <c r="AI543" s="3095"/>
      <c r="AJ543" s="2543">
        <f t="shared" ref="AJ543:AJ573" si="163">ROUNDDOWN(SUM(Q543:AI543),-1)</f>
        <v>0</v>
      </c>
      <c r="AK543" s="2544"/>
      <c r="AL543" s="2545"/>
      <c r="AM543" s="2505">
        <v>1</v>
      </c>
      <c r="AN543" s="2506"/>
      <c r="AO543" s="2507"/>
      <c r="AP543" s="2543">
        <f t="shared" ref="AP543:AP573" si="164">INT(AJ543*AM543)</f>
        <v>0</v>
      </c>
      <c r="AQ543" s="2544"/>
      <c r="AR543" s="2545"/>
      <c r="AS543" s="2659"/>
      <c r="AT543" s="2660"/>
      <c r="AU543" s="2660"/>
      <c r="AV543" s="2661"/>
      <c r="AW543" s="2520">
        <f t="shared" ref="AW543:AW573" si="165">INT(AP543*AS543)</f>
        <v>0</v>
      </c>
      <c r="AX543" s="2521"/>
      <c r="AY543" s="2521"/>
      <c r="AZ543" s="2522"/>
      <c r="BA543" s="25" t="b">
        <f ca="1">AW597=0</f>
        <v>1</v>
      </c>
      <c r="BB543"/>
    </row>
    <row r="544" spans="1:54" ht="13.5" customHeight="1">
      <c r="B544" s="2681"/>
      <c r="C544" s="2673"/>
      <c r="D544" s="2682"/>
      <c r="E544" s="1396" t="s">
        <v>893</v>
      </c>
      <c r="F544" s="2500" t="s">
        <v>1815</v>
      </c>
      <c r="G544" s="2500"/>
      <c r="H544" s="2500"/>
      <c r="I544" s="2500"/>
      <c r="J544" s="2500"/>
      <c r="K544" s="2500"/>
      <c r="L544" s="2500"/>
      <c r="M544" s="2500"/>
      <c r="N544" s="2500"/>
      <c r="O544" s="2500"/>
      <c r="P544" s="2501"/>
      <c r="Q544" s="2542">
        <v>8812</v>
      </c>
      <c r="R544" s="2518"/>
      <c r="S544" s="2518"/>
      <c r="T544" s="2299" t="s">
        <v>1664</v>
      </c>
      <c r="U544" s="2518" t="s">
        <v>1173</v>
      </c>
      <c r="V544" s="2518"/>
      <c r="W544" s="2518"/>
      <c r="X544" s="2299" t="s">
        <v>895</v>
      </c>
      <c r="Y544" s="2518">
        <v>1200</v>
      </c>
      <c r="Z544" s="2518"/>
      <c r="AA544" s="2518"/>
      <c r="AB544" s="2301" t="s">
        <v>1180</v>
      </c>
      <c r="AC544" s="2518"/>
      <c r="AD544" s="2518"/>
      <c r="AE544" s="2518"/>
      <c r="AF544" s="1379" t="s">
        <v>1180</v>
      </c>
      <c r="AG544" s="2518"/>
      <c r="AH544" s="2518"/>
      <c r="AI544" s="2519"/>
      <c r="AJ544" s="2520">
        <f t="shared" si="163"/>
        <v>10010</v>
      </c>
      <c r="AK544" s="2521"/>
      <c r="AL544" s="2522"/>
      <c r="AM544" s="2505">
        <v>1</v>
      </c>
      <c r="AN544" s="2506"/>
      <c r="AO544" s="2507"/>
      <c r="AP544" s="2499">
        <f t="shared" si="164"/>
        <v>10010</v>
      </c>
      <c r="AQ544" s="2500"/>
      <c r="AR544" s="2501"/>
      <c r="AS544" s="2555">
        <f ca="1">SUMIF(床・天井!U$6:U$89,F544,床・天井!I$6:I$89)+SUMIF(見積拾!C$142:D$146,F544,見積拾!T$142:T$146)</f>
        <v>0</v>
      </c>
      <c r="AT544" s="2556"/>
      <c r="AU544" s="2556"/>
      <c r="AV544" s="2557"/>
      <c r="AW544" s="2520">
        <f t="shared" ca="1" si="165"/>
        <v>0</v>
      </c>
      <c r="AX544" s="2521"/>
      <c r="AY544" s="2521"/>
      <c r="AZ544" s="2522"/>
      <c r="BA544" s="25" t="b">
        <f t="shared" ref="BA544:BA574" ca="1" si="166">AW544&lt;&gt;0</f>
        <v>0</v>
      </c>
      <c r="BB544"/>
    </row>
    <row r="545" spans="2:54" ht="13.5" customHeight="1">
      <c r="B545" s="2681"/>
      <c r="C545" s="2673"/>
      <c r="D545" s="2682"/>
      <c r="E545" s="1396" t="s">
        <v>893</v>
      </c>
      <c r="F545" s="2500" t="s">
        <v>1816</v>
      </c>
      <c r="G545" s="2500"/>
      <c r="H545" s="2500"/>
      <c r="I545" s="2500"/>
      <c r="J545" s="2500"/>
      <c r="K545" s="2500"/>
      <c r="L545" s="2500"/>
      <c r="M545" s="2500"/>
      <c r="N545" s="2500"/>
      <c r="O545" s="2500"/>
      <c r="P545" s="2501"/>
      <c r="Q545" s="2542">
        <v>4474</v>
      </c>
      <c r="R545" s="2518"/>
      <c r="S545" s="2518"/>
      <c r="T545" s="2299" t="s">
        <v>1664</v>
      </c>
      <c r="U545" s="2518" t="s">
        <v>1173</v>
      </c>
      <c r="V545" s="2518"/>
      <c r="W545" s="2518"/>
      <c r="X545" s="2299" t="s">
        <v>895</v>
      </c>
      <c r="Y545" s="2518">
        <v>1200</v>
      </c>
      <c r="Z545" s="2518"/>
      <c r="AA545" s="2518"/>
      <c r="AB545" s="2301" t="s">
        <v>1180</v>
      </c>
      <c r="AC545" s="2518"/>
      <c r="AD545" s="2518"/>
      <c r="AE545" s="2518"/>
      <c r="AF545" s="1379" t="s">
        <v>1180</v>
      </c>
      <c r="AG545" s="2518"/>
      <c r="AH545" s="2518"/>
      <c r="AI545" s="2519"/>
      <c r="AJ545" s="2520">
        <f t="shared" si="163"/>
        <v>5670</v>
      </c>
      <c r="AK545" s="2521"/>
      <c r="AL545" s="2522"/>
      <c r="AM545" s="2505">
        <v>1</v>
      </c>
      <c r="AN545" s="2506"/>
      <c r="AO545" s="2507"/>
      <c r="AP545" s="2499">
        <f t="shared" si="164"/>
        <v>5670</v>
      </c>
      <c r="AQ545" s="2500"/>
      <c r="AR545" s="2501"/>
      <c r="AS545" s="2555">
        <f ca="1">SUMIF(床・天井!U$6:U$89,F545,床・天井!I$6:I$89)+SUMIF(見積拾!C$142:D$146,F545,見積拾!T$142:T$146)</f>
        <v>0</v>
      </c>
      <c r="AT545" s="2556"/>
      <c r="AU545" s="2556"/>
      <c r="AV545" s="2557"/>
      <c r="AW545" s="2520">
        <f t="shared" ca="1" si="165"/>
        <v>0</v>
      </c>
      <c r="AX545" s="2521"/>
      <c r="AY545" s="2521"/>
      <c r="AZ545" s="2522"/>
      <c r="BA545" s="25" t="b">
        <f t="shared" ca="1" si="166"/>
        <v>0</v>
      </c>
      <c r="BB545"/>
    </row>
    <row r="546" spans="2:54" ht="13.5" customHeight="1">
      <c r="B546" s="2681"/>
      <c r="C546" s="2673"/>
      <c r="D546" s="2682"/>
      <c r="E546" s="1396" t="s">
        <v>893</v>
      </c>
      <c r="F546" s="2500" t="s">
        <v>1817</v>
      </c>
      <c r="G546" s="2500"/>
      <c r="H546" s="2500"/>
      <c r="I546" s="2500"/>
      <c r="J546" s="2500"/>
      <c r="K546" s="2500"/>
      <c r="L546" s="2500"/>
      <c r="M546" s="2500"/>
      <c r="N546" s="2500"/>
      <c r="O546" s="2500"/>
      <c r="P546" s="2501"/>
      <c r="Q546" s="2542">
        <v>2650</v>
      </c>
      <c r="R546" s="2518"/>
      <c r="S546" s="2518"/>
      <c r="T546" s="2299" t="s">
        <v>1664</v>
      </c>
      <c r="U546" s="2518" t="s">
        <v>1173</v>
      </c>
      <c r="V546" s="2518"/>
      <c r="W546" s="2518"/>
      <c r="X546" s="2299" t="s">
        <v>895</v>
      </c>
      <c r="Y546" s="2518">
        <v>1200</v>
      </c>
      <c r="Z546" s="2518"/>
      <c r="AA546" s="2518"/>
      <c r="AB546" s="2301" t="s">
        <v>1180</v>
      </c>
      <c r="AC546" s="2518"/>
      <c r="AD546" s="2518"/>
      <c r="AE546" s="2518"/>
      <c r="AF546" s="1379" t="s">
        <v>1180</v>
      </c>
      <c r="AG546" s="2518"/>
      <c r="AH546" s="2518"/>
      <c r="AI546" s="2519"/>
      <c r="AJ546" s="2520">
        <f t="shared" si="163"/>
        <v>3850</v>
      </c>
      <c r="AK546" s="2521"/>
      <c r="AL546" s="2522"/>
      <c r="AM546" s="2505">
        <v>1</v>
      </c>
      <c r="AN546" s="2506"/>
      <c r="AO546" s="2507"/>
      <c r="AP546" s="2499">
        <f t="shared" si="164"/>
        <v>3850</v>
      </c>
      <c r="AQ546" s="2500"/>
      <c r="AR546" s="2501"/>
      <c r="AS546" s="2555">
        <f ca="1">SUMIF(床・天井!U$6:U$89,F546,床・天井!I$6:I$89)+SUMIF(見積拾!C$142:D$146,F546,見積拾!T$142:T$146)</f>
        <v>0</v>
      </c>
      <c r="AT546" s="2556"/>
      <c r="AU546" s="2556"/>
      <c r="AV546" s="2557"/>
      <c r="AW546" s="2520">
        <f t="shared" ca="1" si="165"/>
        <v>0</v>
      </c>
      <c r="AX546" s="2521"/>
      <c r="AY546" s="2521"/>
      <c r="AZ546" s="2522"/>
      <c r="BA546" s="25" t="b">
        <f t="shared" ca="1" si="166"/>
        <v>0</v>
      </c>
      <c r="BB546"/>
    </row>
    <row r="547" spans="2:54" ht="13.5" customHeight="1">
      <c r="B547" s="2681"/>
      <c r="C547" s="2673"/>
      <c r="D547" s="2682"/>
      <c r="E547" s="1396" t="s">
        <v>893</v>
      </c>
      <c r="F547" s="2500" t="s">
        <v>1818</v>
      </c>
      <c r="G547" s="2500"/>
      <c r="H547" s="2500"/>
      <c r="I547" s="2500"/>
      <c r="J547" s="2500"/>
      <c r="K547" s="2500"/>
      <c r="L547" s="2500"/>
      <c r="M547" s="2500"/>
      <c r="N547" s="2500"/>
      <c r="O547" s="2500"/>
      <c r="P547" s="2501"/>
      <c r="Q547" s="2542">
        <v>1120</v>
      </c>
      <c r="R547" s="2518"/>
      <c r="S547" s="2518"/>
      <c r="T547" s="2299" t="s">
        <v>1664</v>
      </c>
      <c r="U547" s="2518" t="s">
        <v>1173</v>
      </c>
      <c r="V547" s="2518"/>
      <c r="W547" s="2518"/>
      <c r="X547" s="2299" t="s">
        <v>895</v>
      </c>
      <c r="Y547" s="2518">
        <v>1200</v>
      </c>
      <c r="Z547" s="2518"/>
      <c r="AA547" s="2518"/>
      <c r="AB547" s="2301" t="s">
        <v>1180</v>
      </c>
      <c r="AC547" s="2518"/>
      <c r="AD547" s="2518"/>
      <c r="AE547" s="2518"/>
      <c r="AF547" s="1379" t="s">
        <v>1180</v>
      </c>
      <c r="AG547" s="2518"/>
      <c r="AH547" s="2518"/>
      <c r="AI547" s="2519"/>
      <c r="AJ547" s="2520">
        <f t="shared" si="163"/>
        <v>2320</v>
      </c>
      <c r="AK547" s="2521"/>
      <c r="AL547" s="2522"/>
      <c r="AM547" s="2505">
        <v>1</v>
      </c>
      <c r="AN547" s="2506"/>
      <c r="AO547" s="2507"/>
      <c r="AP547" s="2499">
        <f t="shared" si="164"/>
        <v>2320</v>
      </c>
      <c r="AQ547" s="2500"/>
      <c r="AR547" s="2501"/>
      <c r="AS547" s="2555">
        <f ca="1">SUMIF(床・天井!U$6:U$89,F547,床・天井!I$6:I$89)+SUMIF(見積拾!C$142:D$146,F547,見積拾!T$142:T$146)</f>
        <v>0</v>
      </c>
      <c r="AT547" s="2556"/>
      <c r="AU547" s="2556"/>
      <c r="AV547" s="2557"/>
      <c r="AW547" s="2520">
        <f t="shared" ca="1" si="165"/>
        <v>0</v>
      </c>
      <c r="AX547" s="2521"/>
      <c r="AY547" s="2521"/>
      <c r="AZ547" s="2522"/>
      <c r="BA547" s="25" t="b">
        <f t="shared" ca="1" si="166"/>
        <v>0</v>
      </c>
      <c r="BB547"/>
    </row>
    <row r="548" spans="2:54" ht="13.5" customHeight="1">
      <c r="B548" s="2681"/>
      <c r="C548" s="2673"/>
      <c r="D548" s="2682"/>
      <c r="E548" s="1396" t="s">
        <v>893</v>
      </c>
      <c r="F548" s="2500" t="s">
        <v>1178</v>
      </c>
      <c r="G548" s="2500"/>
      <c r="H548" s="2500"/>
      <c r="I548" s="2500"/>
      <c r="J548" s="2500"/>
      <c r="K548" s="2500"/>
      <c r="L548" s="2500"/>
      <c r="M548" s="2500"/>
      <c r="N548" s="2500"/>
      <c r="O548" s="2500"/>
      <c r="P548" s="2501"/>
      <c r="Q548" s="2542">
        <v>476</v>
      </c>
      <c r="R548" s="2518"/>
      <c r="S548" s="2518"/>
      <c r="T548" s="2299" t="s">
        <v>1664</v>
      </c>
      <c r="U548" s="2518">
        <v>1365</v>
      </c>
      <c r="V548" s="2518"/>
      <c r="W548" s="2518"/>
      <c r="X548" s="2299" t="s">
        <v>895</v>
      </c>
      <c r="Y548" s="2518">
        <v>1200</v>
      </c>
      <c r="Z548" s="2518"/>
      <c r="AA548" s="2518"/>
      <c r="AB548" s="2301" t="s">
        <v>1180</v>
      </c>
      <c r="AC548" s="2518"/>
      <c r="AD548" s="2518"/>
      <c r="AE548" s="2518"/>
      <c r="AF548" s="1379" t="s">
        <v>1180</v>
      </c>
      <c r="AG548" s="2518"/>
      <c r="AH548" s="2518"/>
      <c r="AI548" s="2519"/>
      <c r="AJ548" s="2520">
        <f t="shared" si="163"/>
        <v>3040</v>
      </c>
      <c r="AK548" s="2521"/>
      <c r="AL548" s="2522"/>
      <c r="AM548" s="2505">
        <v>1</v>
      </c>
      <c r="AN548" s="2506"/>
      <c r="AO548" s="2507"/>
      <c r="AP548" s="2499">
        <f t="shared" si="164"/>
        <v>3040</v>
      </c>
      <c r="AQ548" s="2500"/>
      <c r="AR548" s="2501"/>
      <c r="AS548" s="2555">
        <f ca="1">SUMIF(床・天井!U$6:U$89,F548,床・天井!I$6:I$89)+SUMIF(見積拾!C$142:D$146,F548,見積拾!T$142:T$146)</f>
        <v>0</v>
      </c>
      <c r="AT548" s="2556"/>
      <c r="AU548" s="2556"/>
      <c r="AV548" s="2557"/>
      <c r="AW548" s="2520">
        <f t="shared" ca="1" si="165"/>
        <v>0</v>
      </c>
      <c r="AX548" s="2521"/>
      <c r="AY548" s="2521"/>
      <c r="AZ548" s="2522"/>
      <c r="BA548" s="25" t="b">
        <f t="shared" ca="1" si="166"/>
        <v>0</v>
      </c>
      <c r="BB548"/>
    </row>
    <row r="549" spans="2:54" ht="13.5" customHeight="1">
      <c r="B549" s="2681"/>
      <c r="C549" s="2673"/>
      <c r="D549" s="2682"/>
      <c r="E549" s="1396" t="s">
        <v>893</v>
      </c>
      <c r="F549" s="2500" t="s">
        <v>1819</v>
      </c>
      <c r="G549" s="2500"/>
      <c r="H549" s="2500"/>
      <c r="I549" s="2500"/>
      <c r="J549" s="2500"/>
      <c r="K549" s="2500"/>
      <c r="L549" s="2500"/>
      <c r="M549" s="2500"/>
      <c r="N549" s="2500"/>
      <c r="O549" s="2500"/>
      <c r="P549" s="2501"/>
      <c r="Q549" s="2542">
        <v>434</v>
      </c>
      <c r="R549" s="2518"/>
      <c r="S549" s="2518"/>
      <c r="T549" s="2299" t="s">
        <v>1664</v>
      </c>
      <c r="U549" s="2518">
        <v>819</v>
      </c>
      <c r="V549" s="2518"/>
      <c r="W549" s="2518"/>
      <c r="X549" s="2299" t="s">
        <v>895</v>
      </c>
      <c r="Y549" s="2518">
        <v>1200</v>
      </c>
      <c r="Z549" s="2518"/>
      <c r="AA549" s="2518"/>
      <c r="AB549" s="2301" t="s">
        <v>1180</v>
      </c>
      <c r="AC549" s="2518"/>
      <c r="AD549" s="2518"/>
      <c r="AE549" s="2518"/>
      <c r="AF549" s="1379" t="s">
        <v>1180</v>
      </c>
      <c r="AG549" s="2518"/>
      <c r="AH549" s="2518"/>
      <c r="AI549" s="2519"/>
      <c r="AJ549" s="2520">
        <f t="shared" si="163"/>
        <v>2450</v>
      </c>
      <c r="AK549" s="2521"/>
      <c r="AL549" s="2522"/>
      <c r="AM549" s="2505">
        <v>1</v>
      </c>
      <c r="AN549" s="2506"/>
      <c r="AO549" s="2507"/>
      <c r="AP549" s="2499">
        <f t="shared" si="164"/>
        <v>2450</v>
      </c>
      <c r="AQ549" s="2500"/>
      <c r="AR549" s="2501"/>
      <c r="AS549" s="2555">
        <f ca="1">SUMIF(床・天井!U$6:U$89,F549,床・天井!I$6:I$89)+SUMIF(見積拾!C$142:D$146,F549,見積拾!T$142:T$146)</f>
        <v>0</v>
      </c>
      <c r="AT549" s="2556"/>
      <c r="AU549" s="2556"/>
      <c r="AV549" s="2557"/>
      <c r="AW549" s="2520">
        <f t="shared" ca="1" si="165"/>
        <v>0</v>
      </c>
      <c r="AX549" s="2521"/>
      <c r="AY549" s="2521"/>
      <c r="AZ549" s="2522"/>
      <c r="BA549" s="25" t="b">
        <f t="shared" ca="1" si="166"/>
        <v>0</v>
      </c>
      <c r="BB549"/>
    </row>
    <row r="550" spans="2:54" ht="13.5" customHeight="1">
      <c r="B550" s="2681"/>
      <c r="C550" s="2673"/>
      <c r="D550" s="2682"/>
      <c r="E550" s="1396" t="s">
        <v>893</v>
      </c>
      <c r="F550" s="2500" t="s">
        <v>1820</v>
      </c>
      <c r="G550" s="2500"/>
      <c r="H550" s="2500"/>
      <c r="I550" s="2500"/>
      <c r="J550" s="2500"/>
      <c r="K550" s="2500"/>
      <c r="L550" s="2500"/>
      <c r="M550" s="2500"/>
      <c r="N550" s="2500"/>
      <c r="O550" s="2500"/>
      <c r="P550" s="2501"/>
      <c r="Q550" s="2542">
        <v>591</v>
      </c>
      <c r="R550" s="2518"/>
      <c r="S550" s="2518"/>
      <c r="T550" s="2299" t="s">
        <v>1664</v>
      </c>
      <c r="U550" s="2518">
        <v>819</v>
      </c>
      <c r="V550" s="2518"/>
      <c r="W550" s="2518"/>
      <c r="X550" s="2299" t="s">
        <v>895</v>
      </c>
      <c r="Y550" s="2518" t="s">
        <v>1174</v>
      </c>
      <c r="Z550" s="2518"/>
      <c r="AA550" s="2518"/>
      <c r="AB550" s="2301" t="s">
        <v>1180</v>
      </c>
      <c r="AC550" s="2518"/>
      <c r="AD550" s="2518"/>
      <c r="AE550" s="2518"/>
      <c r="AF550" s="1379" t="s">
        <v>1180</v>
      </c>
      <c r="AG550" s="2518"/>
      <c r="AH550" s="2518"/>
      <c r="AI550" s="2519"/>
      <c r="AJ550" s="2520">
        <f t="shared" si="163"/>
        <v>1410</v>
      </c>
      <c r="AK550" s="2521"/>
      <c r="AL550" s="2522"/>
      <c r="AM550" s="2505">
        <v>1</v>
      </c>
      <c r="AN550" s="2506"/>
      <c r="AO550" s="2507"/>
      <c r="AP550" s="2499">
        <f t="shared" si="164"/>
        <v>1410</v>
      </c>
      <c r="AQ550" s="2500"/>
      <c r="AR550" s="2501"/>
      <c r="AS550" s="2555">
        <f ca="1">SUMIF(床・天井!U$6:U$89,F550,床・天井!I$6:I$89)+SUMIF(見積拾!C$142:D$146,F550,見積拾!T$142:T$146)</f>
        <v>0</v>
      </c>
      <c r="AT550" s="2556"/>
      <c r="AU550" s="2556"/>
      <c r="AV550" s="2557"/>
      <c r="AW550" s="2520">
        <f t="shared" ca="1" si="165"/>
        <v>0</v>
      </c>
      <c r="AX550" s="2521"/>
      <c r="AY550" s="2521"/>
      <c r="AZ550" s="2522"/>
      <c r="BA550" s="25" t="b">
        <f t="shared" ca="1" si="166"/>
        <v>0</v>
      </c>
      <c r="BB550"/>
    </row>
    <row r="551" spans="2:54" ht="13.5" customHeight="1">
      <c r="B551" s="2681"/>
      <c r="C551" s="2673"/>
      <c r="D551" s="2682"/>
      <c r="E551" s="1396" t="s">
        <v>893</v>
      </c>
      <c r="F551" s="2500" t="s">
        <v>1742</v>
      </c>
      <c r="G551" s="2500"/>
      <c r="H551" s="2500"/>
      <c r="I551" s="2500"/>
      <c r="J551" s="2500"/>
      <c r="K551" s="2500"/>
      <c r="L551" s="2500"/>
      <c r="M551" s="2500"/>
      <c r="N551" s="2500"/>
      <c r="O551" s="2500"/>
      <c r="P551" s="2501"/>
      <c r="Q551" s="2542">
        <v>820</v>
      </c>
      <c r="R551" s="2518"/>
      <c r="S551" s="2518"/>
      <c r="T551" s="2299" t="s">
        <v>1664</v>
      </c>
      <c r="U551" s="2518" t="s">
        <v>1173</v>
      </c>
      <c r="V551" s="2518"/>
      <c r="W551" s="2518"/>
      <c r="X551" s="2299" t="s">
        <v>895</v>
      </c>
      <c r="Y551" s="2518">
        <v>1200</v>
      </c>
      <c r="Z551" s="2518"/>
      <c r="AA551" s="2518"/>
      <c r="AB551" s="2301" t="s">
        <v>1180</v>
      </c>
      <c r="AC551" s="2518"/>
      <c r="AD551" s="2518"/>
      <c r="AE551" s="2518"/>
      <c r="AF551" s="1379" t="s">
        <v>1180</v>
      </c>
      <c r="AG551" s="2518"/>
      <c r="AH551" s="2518"/>
      <c r="AI551" s="2519"/>
      <c r="AJ551" s="2520">
        <f t="shared" si="163"/>
        <v>2020</v>
      </c>
      <c r="AK551" s="2521"/>
      <c r="AL551" s="2522"/>
      <c r="AM551" s="2505">
        <v>1</v>
      </c>
      <c r="AN551" s="2506"/>
      <c r="AO551" s="2507"/>
      <c r="AP551" s="2499">
        <f t="shared" si="164"/>
        <v>2020</v>
      </c>
      <c r="AQ551" s="2500"/>
      <c r="AR551" s="2501"/>
      <c r="AS551" s="2555">
        <f ca="1">SUMIF(床・天井!U$6:U$89,F551,床・天井!I$6:I$89)+SUMIF(見積拾!C$142:D$146,F551,見積拾!T$142:T$146)</f>
        <v>0</v>
      </c>
      <c r="AT551" s="2556"/>
      <c r="AU551" s="2556"/>
      <c r="AV551" s="2557"/>
      <c r="AW551" s="2520">
        <f t="shared" ca="1" si="165"/>
        <v>0</v>
      </c>
      <c r="AX551" s="2521"/>
      <c r="AY551" s="2521"/>
      <c r="AZ551" s="2522"/>
      <c r="BA551" s="25" t="b">
        <f t="shared" ca="1" si="166"/>
        <v>0</v>
      </c>
      <c r="BB551"/>
    </row>
    <row r="552" spans="2:54" ht="13.5" customHeight="1">
      <c r="B552" s="2681"/>
      <c r="C552" s="2673"/>
      <c r="D552" s="2682"/>
      <c r="E552" s="1396" t="s">
        <v>893</v>
      </c>
      <c r="F552" s="2500" t="s">
        <v>1821</v>
      </c>
      <c r="G552" s="2500"/>
      <c r="H552" s="2500"/>
      <c r="I552" s="2500"/>
      <c r="J552" s="2500"/>
      <c r="K552" s="2500"/>
      <c r="L552" s="2500"/>
      <c r="M552" s="2500"/>
      <c r="N552" s="2500"/>
      <c r="O552" s="2500"/>
      <c r="P552" s="2501"/>
      <c r="Q552" s="2542">
        <v>1370</v>
      </c>
      <c r="R552" s="2518"/>
      <c r="S552" s="2518"/>
      <c r="T552" s="2299" t="s">
        <v>1664</v>
      </c>
      <c r="U552" s="2518" t="s">
        <v>1173</v>
      </c>
      <c r="V552" s="2518"/>
      <c r="W552" s="2518"/>
      <c r="X552" s="2299" t="s">
        <v>895</v>
      </c>
      <c r="Y552" s="2518">
        <v>1200</v>
      </c>
      <c r="Z552" s="2518"/>
      <c r="AA552" s="2518"/>
      <c r="AB552" s="2301" t="s">
        <v>1180</v>
      </c>
      <c r="AC552" s="2518"/>
      <c r="AD552" s="2518"/>
      <c r="AE552" s="2518"/>
      <c r="AF552" s="1379" t="s">
        <v>1180</v>
      </c>
      <c r="AG552" s="2518"/>
      <c r="AH552" s="2518"/>
      <c r="AI552" s="2519"/>
      <c r="AJ552" s="2520">
        <f t="shared" si="163"/>
        <v>2570</v>
      </c>
      <c r="AK552" s="2521"/>
      <c r="AL552" s="2522"/>
      <c r="AM552" s="2505">
        <v>1</v>
      </c>
      <c r="AN552" s="2506"/>
      <c r="AO552" s="2507"/>
      <c r="AP552" s="2499">
        <f t="shared" si="164"/>
        <v>2570</v>
      </c>
      <c r="AQ552" s="2500"/>
      <c r="AR552" s="2501"/>
      <c r="AS552" s="2555">
        <f ca="1">SUMIF(床・天井!U$6:U$89,F552,床・天井!I$6:I$89)+SUMIF(見積拾!C$142:D$146,F552,見積拾!T$142:T$146)</f>
        <v>0</v>
      </c>
      <c r="AT552" s="2556"/>
      <c r="AU552" s="2556"/>
      <c r="AV552" s="2557"/>
      <c r="AW552" s="2520">
        <f t="shared" ca="1" si="165"/>
        <v>0</v>
      </c>
      <c r="AX552" s="2521"/>
      <c r="AY552" s="2521"/>
      <c r="AZ552" s="2522"/>
      <c r="BA552" s="25" t="b">
        <f t="shared" ca="1" si="166"/>
        <v>0</v>
      </c>
      <c r="BB552"/>
    </row>
    <row r="553" spans="2:54" ht="13.5" customHeight="1">
      <c r="B553" s="2681"/>
      <c r="C553" s="2673"/>
      <c r="D553" s="2682"/>
      <c r="E553" s="1396" t="s">
        <v>893</v>
      </c>
      <c r="F553" s="2500" t="s">
        <v>1747</v>
      </c>
      <c r="G553" s="2500"/>
      <c r="H553" s="2500"/>
      <c r="I553" s="2500"/>
      <c r="J553" s="2500"/>
      <c r="K553" s="2500"/>
      <c r="L553" s="2500"/>
      <c r="M553" s="2500"/>
      <c r="N553" s="2500"/>
      <c r="O553" s="2500"/>
      <c r="P553" s="2501"/>
      <c r="Q553" s="2542">
        <v>19273</v>
      </c>
      <c r="R553" s="2518"/>
      <c r="S553" s="2518"/>
      <c r="T553" s="2299" t="s">
        <v>1664</v>
      </c>
      <c r="U553" s="2518">
        <v>1365</v>
      </c>
      <c r="V553" s="2518"/>
      <c r="W553" s="2518"/>
      <c r="X553" s="2299" t="s">
        <v>895</v>
      </c>
      <c r="Y553" s="2518">
        <v>1200</v>
      </c>
      <c r="Z553" s="2518"/>
      <c r="AA553" s="2518"/>
      <c r="AB553" s="2301" t="s">
        <v>1180</v>
      </c>
      <c r="AC553" s="2518"/>
      <c r="AD553" s="2518"/>
      <c r="AE553" s="2518"/>
      <c r="AF553" s="1379" t="s">
        <v>1180</v>
      </c>
      <c r="AG553" s="2518"/>
      <c r="AH553" s="2518"/>
      <c r="AI553" s="2519"/>
      <c r="AJ553" s="2520">
        <f t="shared" si="163"/>
        <v>21830</v>
      </c>
      <c r="AK553" s="2521"/>
      <c r="AL553" s="2522"/>
      <c r="AM553" s="2505">
        <v>1</v>
      </c>
      <c r="AN553" s="2506"/>
      <c r="AO553" s="2507"/>
      <c r="AP553" s="2499">
        <f t="shared" si="164"/>
        <v>21830</v>
      </c>
      <c r="AQ553" s="2500"/>
      <c r="AR553" s="2501"/>
      <c r="AS553" s="2555">
        <f ca="1">SUMIF(床・天井!U$6:U$89,F553,床・天井!I$6:I$89)+SUMIF(見積拾!C$142:D$146,F553,見積拾!T$142:T$146)</f>
        <v>0</v>
      </c>
      <c r="AT553" s="2556"/>
      <c r="AU553" s="2556"/>
      <c r="AV553" s="2557"/>
      <c r="AW553" s="2520">
        <f t="shared" ca="1" si="165"/>
        <v>0</v>
      </c>
      <c r="AX553" s="2521"/>
      <c r="AY553" s="2521"/>
      <c r="AZ553" s="2522"/>
      <c r="BA553" s="25" t="b">
        <f t="shared" ca="1" si="166"/>
        <v>0</v>
      </c>
      <c r="BB553"/>
    </row>
    <row r="554" spans="2:54" ht="13.5" customHeight="1">
      <c r="B554" s="2681"/>
      <c r="C554" s="2673"/>
      <c r="D554" s="2682"/>
      <c r="E554" s="1396" t="s">
        <v>893</v>
      </c>
      <c r="F554" s="2500" t="s">
        <v>1748</v>
      </c>
      <c r="G554" s="2500"/>
      <c r="H554" s="2500"/>
      <c r="I554" s="2500"/>
      <c r="J554" s="2500"/>
      <c r="K554" s="2500"/>
      <c r="L554" s="2500"/>
      <c r="M554" s="2500"/>
      <c r="N554" s="2500"/>
      <c r="O554" s="2500"/>
      <c r="P554" s="2501"/>
      <c r="Q554" s="2542">
        <v>11496</v>
      </c>
      <c r="R554" s="2518"/>
      <c r="S554" s="2518"/>
      <c r="T554" s="2299" t="s">
        <v>1664</v>
      </c>
      <c r="U554" s="2518">
        <v>1365</v>
      </c>
      <c r="V554" s="2518"/>
      <c r="W554" s="2518"/>
      <c r="X554" s="2299" t="s">
        <v>895</v>
      </c>
      <c r="Y554" s="2518">
        <v>1200</v>
      </c>
      <c r="Z554" s="2518"/>
      <c r="AA554" s="2518"/>
      <c r="AB554" s="2301" t="s">
        <v>1180</v>
      </c>
      <c r="AC554" s="2518"/>
      <c r="AD554" s="2518"/>
      <c r="AE554" s="2518"/>
      <c r="AF554" s="1379" t="s">
        <v>1180</v>
      </c>
      <c r="AG554" s="2518"/>
      <c r="AH554" s="2518"/>
      <c r="AI554" s="2519"/>
      <c r="AJ554" s="2520">
        <f t="shared" si="163"/>
        <v>14060</v>
      </c>
      <c r="AK554" s="2521"/>
      <c r="AL554" s="2522"/>
      <c r="AM554" s="2505">
        <v>1</v>
      </c>
      <c r="AN554" s="2506"/>
      <c r="AO554" s="2507"/>
      <c r="AP554" s="2499">
        <f t="shared" si="164"/>
        <v>14060</v>
      </c>
      <c r="AQ554" s="2500"/>
      <c r="AR554" s="2501"/>
      <c r="AS554" s="2555">
        <f ca="1">SUMIF(床・天井!U$6:U$89,F554,床・天井!I$6:I$89)+SUMIF(見積拾!C$142:D$146,F554,見積拾!T$142:T$146)</f>
        <v>0</v>
      </c>
      <c r="AT554" s="2556"/>
      <c r="AU554" s="2556"/>
      <c r="AV554" s="2557"/>
      <c r="AW554" s="2520">
        <f t="shared" ca="1" si="165"/>
        <v>0</v>
      </c>
      <c r="AX554" s="2521"/>
      <c r="AY554" s="2521"/>
      <c r="AZ554" s="2522"/>
      <c r="BA554" s="25" t="b">
        <f t="shared" ca="1" si="166"/>
        <v>0</v>
      </c>
      <c r="BB554"/>
    </row>
    <row r="555" spans="2:54" ht="13.5" customHeight="1">
      <c r="B555" s="2681"/>
      <c r="C555" s="2673"/>
      <c r="D555" s="2682"/>
      <c r="E555" s="1396" t="s">
        <v>893</v>
      </c>
      <c r="F555" s="2500" t="s">
        <v>1716</v>
      </c>
      <c r="G555" s="2500"/>
      <c r="H555" s="2500"/>
      <c r="I555" s="2500"/>
      <c r="J555" s="2500"/>
      <c r="K555" s="2500"/>
      <c r="L555" s="2500"/>
      <c r="M555" s="2500"/>
      <c r="N555" s="2500"/>
      <c r="O555" s="2500"/>
      <c r="P555" s="2501"/>
      <c r="Q555" s="2542">
        <v>461</v>
      </c>
      <c r="R555" s="2518"/>
      <c r="S555" s="2518"/>
      <c r="T555" s="2299" t="s">
        <v>1664</v>
      </c>
      <c r="U555" s="2518">
        <v>2293</v>
      </c>
      <c r="V555" s="2518"/>
      <c r="W555" s="2518"/>
      <c r="X555" s="2299" t="s">
        <v>895</v>
      </c>
      <c r="Y555" s="2518">
        <v>2020</v>
      </c>
      <c r="Z555" s="2518"/>
      <c r="AA555" s="2518"/>
      <c r="AB555" s="2301" t="s">
        <v>1180</v>
      </c>
      <c r="AC555" s="2518"/>
      <c r="AD555" s="2518"/>
      <c r="AE555" s="2518"/>
      <c r="AF555" s="1379" t="s">
        <v>1180</v>
      </c>
      <c r="AG555" s="2518"/>
      <c r="AH555" s="2518"/>
      <c r="AI555" s="2519"/>
      <c r="AJ555" s="2520">
        <f t="shared" si="163"/>
        <v>4770</v>
      </c>
      <c r="AK555" s="2521"/>
      <c r="AL555" s="2522"/>
      <c r="AM555" s="2505">
        <v>1</v>
      </c>
      <c r="AN555" s="2506"/>
      <c r="AO555" s="2507"/>
      <c r="AP555" s="2499">
        <f t="shared" si="164"/>
        <v>4770</v>
      </c>
      <c r="AQ555" s="2500"/>
      <c r="AR555" s="2501"/>
      <c r="AS555" s="2555">
        <f ca="1">SUMIF(床・天井!U$6:U$89,F555,床・天井!I$6:I$89)+SUMIF(見積拾!C$142:D$146,F555,見積拾!T$142:T$146)</f>
        <v>0</v>
      </c>
      <c r="AT555" s="2556"/>
      <c r="AU555" s="2556"/>
      <c r="AV555" s="2557"/>
      <c r="AW555" s="2520">
        <f t="shared" ca="1" si="165"/>
        <v>0</v>
      </c>
      <c r="AX555" s="2521"/>
      <c r="AY555" s="2521"/>
      <c r="AZ555" s="2522"/>
      <c r="BA555" s="25" t="b">
        <f t="shared" ca="1" si="166"/>
        <v>0</v>
      </c>
      <c r="BB555"/>
    </row>
    <row r="556" spans="2:54" ht="13.5" customHeight="1">
      <c r="B556" s="2681"/>
      <c r="C556" s="2673"/>
      <c r="D556" s="2682"/>
      <c r="E556" s="1396" t="s">
        <v>893</v>
      </c>
      <c r="F556" s="2500" t="s">
        <v>1717</v>
      </c>
      <c r="G556" s="2500"/>
      <c r="H556" s="2500"/>
      <c r="I556" s="2500"/>
      <c r="J556" s="2500"/>
      <c r="K556" s="2500"/>
      <c r="L556" s="2500"/>
      <c r="M556" s="2500"/>
      <c r="N556" s="2500"/>
      <c r="O556" s="2500"/>
      <c r="P556" s="2501"/>
      <c r="Q556" s="2542">
        <v>1955</v>
      </c>
      <c r="R556" s="2518"/>
      <c r="S556" s="2518"/>
      <c r="T556" s="2299" t="s">
        <v>1664</v>
      </c>
      <c r="U556" s="2518">
        <v>2293</v>
      </c>
      <c r="V556" s="2518"/>
      <c r="W556" s="2518"/>
      <c r="X556" s="2299" t="s">
        <v>895</v>
      </c>
      <c r="Y556" s="2518">
        <v>2020</v>
      </c>
      <c r="Z556" s="2518"/>
      <c r="AA556" s="2518"/>
      <c r="AB556" s="2301" t="s">
        <v>1180</v>
      </c>
      <c r="AC556" s="2518"/>
      <c r="AD556" s="2518"/>
      <c r="AE556" s="2518"/>
      <c r="AF556" s="1379" t="s">
        <v>1180</v>
      </c>
      <c r="AG556" s="2518"/>
      <c r="AH556" s="2518"/>
      <c r="AI556" s="2519"/>
      <c r="AJ556" s="2520">
        <f t="shared" si="163"/>
        <v>6260</v>
      </c>
      <c r="AK556" s="2521"/>
      <c r="AL556" s="2522"/>
      <c r="AM556" s="2505">
        <v>1</v>
      </c>
      <c r="AN556" s="2506"/>
      <c r="AO556" s="2507"/>
      <c r="AP556" s="2499">
        <f t="shared" si="164"/>
        <v>6260</v>
      </c>
      <c r="AQ556" s="2500"/>
      <c r="AR556" s="2501"/>
      <c r="AS556" s="2555">
        <f ca="1">SUMIF(床・天井!U$6:U$89,F556,床・天井!I$6:I$89)+SUMIF(見積拾!C$142:D$146,F556,見積拾!T$142:T$146)</f>
        <v>0</v>
      </c>
      <c r="AT556" s="2556"/>
      <c r="AU556" s="2556"/>
      <c r="AV556" s="2557"/>
      <c r="AW556" s="2520">
        <f t="shared" ca="1" si="165"/>
        <v>0</v>
      </c>
      <c r="AX556" s="2521"/>
      <c r="AY556" s="2521"/>
      <c r="AZ556" s="2522"/>
      <c r="BA556" s="25" t="b">
        <f t="shared" ca="1" si="166"/>
        <v>0</v>
      </c>
      <c r="BB556"/>
    </row>
    <row r="557" spans="2:54" ht="13.5" customHeight="1">
      <c r="B557" s="2681"/>
      <c r="C557" s="2673"/>
      <c r="D557" s="2682"/>
      <c r="E557" s="1396" t="s">
        <v>893</v>
      </c>
      <c r="F557" s="2500" t="s">
        <v>1718</v>
      </c>
      <c r="G557" s="2500"/>
      <c r="H557" s="2500"/>
      <c r="I557" s="2500"/>
      <c r="J557" s="2500"/>
      <c r="K557" s="2500"/>
      <c r="L557" s="2500"/>
      <c r="M557" s="2500"/>
      <c r="N557" s="2500"/>
      <c r="O557" s="2500"/>
      <c r="P557" s="2501"/>
      <c r="Q557" s="2542">
        <v>6550</v>
      </c>
      <c r="R557" s="2518"/>
      <c r="S557" s="2518"/>
      <c r="T557" s="2299" t="s">
        <v>1664</v>
      </c>
      <c r="U557" s="2518">
        <v>2293</v>
      </c>
      <c r="V557" s="2518"/>
      <c r="W557" s="2518"/>
      <c r="X557" s="2299" t="s">
        <v>895</v>
      </c>
      <c r="Y557" s="2518">
        <v>2020</v>
      </c>
      <c r="Z557" s="2518"/>
      <c r="AA557" s="2518"/>
      <c r="AB557" s="2301" t="s">
        <v>1180</v>
      </c>
      <c r="AC557" s="2518"/>
      <c r="AD557" s="2518"/>
      <c r="AE557" s="2518"/>
      <c r="AF557" s="1379" t="s">
        <v>1180</v>
      </c>
      <c r="AG557" s="2518"/>
      <c r="AH557" s="2518"/>
      <c r="AI557" s="2519"/>
      <c r="AJ557" s="2520">
        <f t="shared" si="163"/>
        <v>10860</v>
      </c>
      <c r="AK557" s="2521"/>
      <c r="AL557" s="2522"/>
      <c r="AM557" s="2505">
        <v>1</v>
      </c>
      <c r="AN557" s="2506"/>
      <c r="AO557" s="2507"/>
      <c r="AP557" s="2499">
        <f t="shared" si="164"/>
        <v>10860</v>
      </c>
      <c r="AQ557" s="2500"/>
      <c r="AR557" s="2501"/>
      <c r="AS557" s="2555">
        <f ca="1">SUMIF(床・天井!U$6:U$89,F557,床・天井!I$6:I$89)+SUMIF(見積拾!C$142:D$146,F557,見積拾!T$142:T$146)</f>
        <v>0</v>
      </c>
      <c r="AT557" s="2556"/>
      <c r="AU557" s="2556"/>
      <c r="AV557" s="2557"/>
      <c r="AW557" s="2520">
        <f t="shared" ca="1" si="165"/>
        <v>0</v>
      </c>
      <c r="AX557" s="2521"/>
      <c r="AY557" s="2521"/>
      <c r="AZ557" s="2522"/>
      <c r="BA557" s="25" t="b">
        <f t="shared" ca="1" si="166"/>
        <v>0</v>
      </c>
      <c r="BB557"/>
    </row>
    <row r="558" spans="2:54" ht="13.5" customHeight="1">
      <c r="B558" s="2681"/>
      <c r="C558" s="2673"/>
      <c r="D558" s="2682"/>
      <c r="E558" s="1396" t="s">
        <v>893</v>
      </c>
      <c r="F558" s="2500" t="s">
        <v>1712</v>
      </c>
      <c r="G558" s="2500"/>
      <c r="H558" s="2500"/>
      <c r="I558" s="2500"/>
      <c r="J558" s="2500"/>
      <c r="K558" s="2500"/>
      <c r="L558" s="2500"/>
      <c r="M558" s="2500"/>
      <c r="N558" s="2500"/>
      <c r="O558" s="2500"/>
      <c r="P558" s="2501"/>
      <c r="Q558" s="2542">
        <v>2490</v>
      </c>
      <c r="R558" s="2518"/>
      <c r="S558" s="2518"/>
      <c r="T558" s="2299" t="s">
        <v>1664</v>
      </c>
      <c r="U558" s="2518" t="s">
        <v>1173</v>
      </c>
      <c r="V558" s="2518"/>
      <c r="W558" s="2518"/>
      <c r="X558" s="2299" t="s">
        <v>895</v>
      </c>
      <c r="Y558" s="2518">
        <v>1200</v>
      </c>
      <c r="Z558" s="2518"/>
      <c r="AA558" s="2518"/>
      <c r="AB558" s="2301" t="s">
        <v>1180</v>
      </c>
      <c r="AC558" s="2518"/>
      <c r="AD558" s="2518"/>
      <c r="AE558" s="2518"/>
      <c r="AF558" s="1379" t="s">
        <v>1180</v>
      </c>
      <c r="AG558" s="2518"/>
      <c r="AH558" s="2518"/>
      <c r="AI558" s="2519"/>
      <c r="AJ558" s="2520">
        <f t="shared" si="163"/>
        <v>3690</v>
      </c>
      <c r="AK558" s="2521"/>
      <c r="AL558" s="2522"/>
      <c r="AM558" s="2505">
        <v>1</v>
      </c>
      <c r="AN558" s="2506"/>
      <c r="AO558" s="2507"/>
      <c r="AP558" s="2499">
        <f t="shared" si="164"/>
        <v>3690</v>
      </c>
      <c r="AQ558" s="2500"/>
      <c r="AR558" s="2501"/>
      <c r="AS558" s="2555">
        <f ca="1">SUMIF(床・天井!U$6:U$89,F558,床・天井!I$6:I$89)+SUMIF(見積拾!C$142:D$146,F558,見積拾!T$142:T$146)</f>
        <v>0</v>
      </c>
      <c r="AT558" s="2556"/>
      <c r="AU558" s="2556"/>
      <c r="AV558" s="2557"/>
      <c r="AW558" s="2520">
        <f t="shared" ca="1" si="165"/>
        <v>0</v>
      </c>
      <c r="AX558" s="2521"/>
      <c r="AY558" s="2521"/>
      <c r="AZ558" s="2522"/>
      <c r="BA558" s="25" t="b">
        <f t="shared" ca="1" si="166"/>
        <v>0</v>
      </c>
      <c r="BB558"/>
    </row>
    <row r="559" spans="2:54" ht="13.5" customHeight="1">
      <c r="B559" s="2681"/>
      <c r="C559" s="2673"/>
      <c r="D559" s="2682"/>
      <c r="E559" s="1396" t="s">
        <v>893</v>
      </c>
      <c r="F559" s="2500" t="s">
        <v>1739</v>
      </c>
      <c r="G559" s="2500"/>
      <c r="H559" s="2500"/>
      <c r="I559" s="2500"/>
      <c r="J559" s="2500"/>
      <c r="K559" s="2500"/>
      <c r="L559" s="2500"/>
      <c r="M559" s="2500"/>
      <c r="N559" s="2500"/>
      <c r="O559" s="2500"/>
      <c r="P559" s="2501"/>
      <c r="Q559" s="2542">
        <v>1750</v>
      </c>
      <c r="R559" s="2518"/>
      <c r="S559" s="2518"/>
      <c r="T559" s="2299" t="s">
        <v>1664</v>
      </c>
      <c r="U559" s="2518" t="s">
        <v>1173</v>
      </c>
      <c r="V559" s="2518"/>
      <c r="W559" s="2518"/>
      <c r="X559" s="2299" t="s">
        <v>895</v>
      </c>
      <c r="Y559" s="2518">
        <v>1200</v>
      </c>
      <c r="Z559" s="2518"/>
      <c r="AA559" s="2518"/>
      <c r="AB559" s="2301" t="s">
        <v>1180</v>
      </c>
      <c r="AC559" s="2518"/>
      <c r="AD559" s="2518"/>
      <c r="AE559" s="2518"/>
      <c r="AF559" s="1379" t="s">
        <v>1180</v>
      </c>
      <c r="AG559" s="2518"/>
      <c r="AH559" s="2518"/>
      <c r="AI559" s="2519"/>
      <c r="AJ559" s="2520">
        <f t="shared" si="163"/>
        <v>2950</v>
      </c>
      <c r="AK559" s="2521"/>
      <c r="AL559" s="2522"/>
      <c r="AM559" s="2505">
        <v>1</v>
      </c>
      <c r="AN559" s="2506"/>
      <c r="AO559" s="2507"/>
      <c r="AP559" s="2499">
        <f t="shared" si="164"/>
        <v>2950</v>
      </c>
      <c r="AQ559" s="2500"/>
      <c r="AR559" s="2501"/>
      <c r="AS559" s="2555">
        <f ca="1">SUMIF(床・天井!U$6:U$89,F559,床・天井!I$6:I$89)+SUMIF(見積拾!C$142:D$146,F559,見積拾!T$142:T$146)</f>
        <v>0</v>
      </c>
      <c r="AT559" s="2556"/>
      <c r="AU559" s="2556"/>
      <c r="AV559" s="2557"/>
      <c r="AW559" s="2520">
        <f t="shared" ca="1" si="165"/>
        <v>0</v>
      </c>
      <c r="AX559" s="2521"/>
      <c r="AY559" s="2521"/>
      <c r="AZ559" s="2522"/>
      <c r="BA559" s="25" t="b">
        <f t="shared" ca="1" si="166"/>
        <v>0</v>
      </c>
      <c r="BB559"/>
    </row>
    <row r="560" spans="2:54" ht="13.5" customHeight="1">
      <c r="B560" s="2681"/>
      <c r="C560" s="2673"/>
      <c r="D560" s="2682"/>
      <c r="E560" s="1396" t="s">
        <v>893</v>
      </c>
      <c r="F560" s="2500" t="s">
        <v>1822</v>
      </c>
      <c r="G560" s="2500"/>
      <c r="H560" s="2500"/>
      <c r="I560" s="2500"/>
      <c r="J560" s="2500"/>
      <c r="K560" s="2500"/>
      <c r="L560" s="2500"/>
      <c r="M560" s="2500"/>
      <c r="N560" s="2500"/>
      <c r="O560" s="2500"/>
      <c r="P560" s="2501"/>
      <c r="Q560" s="2542">
        <v>1449</v>
      </c>
      <c r="R560" s="2518"/>
      <c r="S560" s="2518"/>
      <c r="T560" s="2299" t="s">
        <v>1664</v>
      </c>
      <c r="U560" s="2518">
        <v>1774</v>
      </c>
      <c r="V560" s="2518"/>
      <c r="W560" s="2518"/>
      <c r="X560" s="2299" t="s">
        <v>895</v>
      </c>
      <c r="Y560" s="2518">
        <v>2020</v>
      </c>
      <c r="Z560" s="2518"/>
      <c r="AA560" s="2518"/>
      <c r="AB560" s="2301" t="s">
        <v>1180</v>
      </c>
      <c r="AC560" s="2518"/>
      <c r="AD560" s="2518"/>
      <c r="AE560" s="2518"/>
      <c r="AF560" s="1379" t="s">
        <v>1180</v>
      </c>
      <c r="AG560" s="2518"/>
      <c r="AH560" s="2518"/>
      <c r="AI560" s="2519"/>
      <c r="AJ560" s="2520">
        <f t="shared" si="163"/>
        <v>5240</v>
      </c>
      <c r="AK560" s="2521"/>
      <c r="AL560" s="2522"/>
      <c r="AM560" s="2505">
        <v>1</v>
      </c>
      <c r="AN560" s="2506"/>
      <c r="AO560" s="2507"/>
      <c r="AP560" s="2499">
        <f t="shared" si="164"/>
        <v>5240</v>
      </c>
      <c r="AQ560" s="2500"/>
      <c r="AR560" s="2501"/>
      <c r="AS560" s="2555">
        <f ca="1">SUMIF(床・天井!U$6:U$89,F560,床・天井!I$6:I$89)+SUMIF(見積拾!C$142:D$146,F560,見積拾!T$142:T$146)</f>
        <v>0</v>
      </c>
      <c r="AT560" s="2556"/>
      <c r="AU560" s="2556"/>
      <c r="AV560" s="2557"/>
      <c r="AW560" s="2520">
        <f t="shared" ca="1" si="165"/>
        <v>0</v>
      </c>
      <c r="AX560" s="2521"/>
      <c r="AY560" s="2521"/>
      <c r="AZ560" s="2522"/>
      <c r="BA560" s="25" t="b">
        <f t="shared" ca="1" si="166"/>
        <v>0</v>
      </c>
      <c r="BB560"/>
    </row>
    <row r="561" spans="2:54" ht="13.5" customHeight="1">
      <c r="B561" s="2681"/>
      <c r="C561" s="2673"/>
      <c r="D561" s="2682"/>
      <c r="E561" s="1396" t="s">
        <v>893</v>
      </c>
      <c r="F561" s="2500" t="s">
        <v>1823</v>
      </c>
      <c r="G561" s="2500"/>
      <c r="H561" s="2500"/>
      <c r="I561" s="2500"/>
      <c r="J561" s="2500"/>
      <c r="K561" s="2500"/>
      <c r="L561" s="2500"/>
      <c r="M561" s="2500"/>
      <c r="N561" s="2500"/>
      <c r="O561" s="2500"/>
      <c r="P561" s="2501"/>
      <c r="Q561" s="2542">
        <v>3500</v>
      </c>
      <c r="R561" s="2518"/>
      <c r="S561" s="2518"/>
      <c r="T561" s="2299" t="s">
        <v>1664</v>
      </c>
      <c r="U561" s="2518" t="s">
        <v>1173</v>
      </c>
      <c r="V561" s="2518"/>
      <c r="W561" s="2518"/>
      <c r="X561" s="2299" t="s">
        <v>895</v>
      </c>
      <c r="Y561" s="2518">
        <v>2020</v>
      </c>
      <c r="Z561" s="2518"/>
      <c r="AA561" s="2518"/>
      <c r="AB561" s="2301" t="s">
        <v>1180</v>
      </c>
      <c r="AC561" s="2518"/>
      <c r="AD561" s="2518"/>
      <c r="AE561" s="2518"/>
      <c r="AF561" s="1379" t="s">
        <v>1180</v>
      </c>
      <c r="AG561" s="2518"/>
      <c r="AH561" s="2518"/>
      <c r="AI561" s="2519"/>
      <c r="AJ561" s="2520">
        <f t="shared" si="163"/>
        <v>5520</v>
      </c>
      <c r="AK561" s="2521"/>
      <c r="AL561" s="2522"/>
      <c r="AM561" s="2505">
        <v>1</v>
      </c>
      <c r="AN561" s="2506"/>
      <c r="AO561" s="2507"/>
      <c r="AP561" s="2499">
        <f t="shared" si="164"/>
        <v>5520</v>
      </c>
      <c r="AQ561" s="2500"/>
      <c r="AR561" s="2501"/>
      <c r="AS561" s="2555">
        <f ca="1">SUMIF(床・天井!U$6:U$89,F561,床・天井!I$6:I$89)+SUMIF(見積拾!C$142:D$146,F561,見積拾!T$142:T$146)</f>
        <v>0</v>
      </c>
      <c r="AT561" s="2556"/>
      <c r="AU561" s="2556"/>
      <c r="AV561" s="2557"/>
      <c r="AW561" s="2520">
        <f t="shared" ca="1" si="165"/>
        <v>0</v>
      </c>
      <c r="AX561" s="2521"/>
      <c r="AY561" s="2521"/>
      <c r="AZ561" s="2522"/>
      <c r="BA561" s="25" t="b">
        <f t="shared" ca="1" si="166"/>
        <v>0</v>
      </c>
      <c r="BB561"/>
    </row>
    <row r="562" spans="2:54" ht="13.5" customHeight="1">
      <c r="B562" s="2681"/>
      <c r="C562" s="2673"/>
      <c r="D562" s="2682"/>
      <c r="E562" s="1396" t="s">
        <v>893</v>
      </c>
      <c r="F562" s="2500" t="s">
        <v>1824</v>
      </c>
      <c r="G562" s="2500"/>
      <c r="H562" s="2500"/>
      <c r="I562" s="2500"/>
      <c r="J562" s="2500"/>
      <c r="K562" s="2500"/>
      <c r="L562" s="2500"/>
      <c r="M562" s="2500"/>
      <c r="N562" s="2500"/>
      <c r="O562" s="2500"/>
      <c r="P562" s="2501"/>
      <c r="Q562" s="2542">
        <v>1570</v>
      </c>
      <c r="R562" s="2518"/>
      <c r="S562" s="2518"/>
      <c r="T562" s="2299" t="s">
        <v>1664</v>
      </c>
      <c r="U562" s="2518" t="s">
        <v>1173</v>
      </c>
      <c r="V562" s="2518"/>
      <c r="W562" s="2518"/>
      <c r="X562" s="2299" t="s">
        <v>895</v>
      </c>
      <c r="Y562" s="2518">
        <v>2020</v>
      </c>
      <c r="Z562" s="2518"/>
      <c r="AA562" s="2518"/>
      <c r="AB562" s="2301" t="s">
        <v>1180</v>
      </c>
      <c r="AC562" s="2518"/>
      <c r="AD562" s="2518"/>
      <c r="AE562" s="2518"/>
      <c r="AF562" s="1379" t="s">
        <v>1180</v>
      </c>
      <c r="AG562" s="2518"/>
      <c r="AH562" s="2518"/>
      <c r="AI562" s="2519"/>
      <c r="AJ562" s="2520">
        <f t="shared" si="163"/>
        <v>3590</v>
      </c>
      <c r="AK562" s="2521"/>
      <c r="AL562" s="2522"/>
      <c r="AM562" s="2505">
        <v>1</v>
      </c>
      <c r="AN562" s="2506"/>
      <c r="AO562" s="2507"/>
      <c r="AP562" s="2499">
        <f t="shared" si="164"/>
        <v>3590</v>
      </c>
      <c r="AQ562" s="2500"/>
      <c r="AR562" s="2501"/>
      <c r="AS562" s="2555">
        <f ca="1">SUMIF(床・天井!U$6:U$89,F562,床・天井!I$6:I$89)+SUMIF(見積拾!C$142:D$146,F562,見積拾!T$142:T$146)</f>
        <v>0</v>
      </c>
      <c r="AT562" s="2556"/>
      <c r="AU562" s="2556"/>
      <c r="AV562" s="2557"/>
      <c r="AW562" s="2520">
        <f t="shared" ca="1" si="165"/>
        <v>0</v>
      </c>
      <c r="AX562" s="2521"/>
      <c r="AY562" s="2521"/>
      <c r="AZ562" s="2522"/>
      <c r="BA562" s="25" t="b">
        <f t="shared" ca="1" si="166"/>
        <v>0</v>
      </c>
      <c r="BB562"/>
    </row>
    <row r="563" spans="2:54" ht="13.5" customHeight="1">
      <c r="B563" s="2681"/>
      <c r="C563" s="2673"/>
      <c r="D563" s="2682"/>
      <c r="E563" s="1396" t="s">
        <v>893</v>
      </c>
      <c r="F563" s="2500" t="s">
        <v>1749</v>
      </c>
      <c r="G563" s="2500"/>
      <c r="H563" s="2500"/>
      <c r="I563" s="2500"/>
      <c r="J563" s="2500"/>
      <c r="K563" s="2500"/>
      <c r="L563" s="2500"/>
      <c r="M563" s="2500"/>
      <c r="N563" s="2500"/>
      <c r="O563" s="2500"/>
      <c r="P563" s="2501"/>
      <c r="Q563" s="2542">
        <v>4740</v>
      </c>
      <c r="R563" s="2518"/>
      <c r="S563" s="2518"/>
      <c r="T563" s="2299" t="s">
        <v>1664</v>
      </c>
      <c r="U563" s="2518">
        <v>1501</v>
      </c>
      <c r="V563" s="2518"/>
      <c r="W563" s="2518"/>
      <c r="X563" s="2299" t="s">
        <v>895</v>
      </c>
      <c r="Y563" s="2518">
        <v>2020</v>
      </c>
      <c r="Z563" s="2518"/>
      <c r="AA563" s="2518"/>
      <c r="AB563" s="2301" t="s">
        <v>1180</v>
      </c>
      <c r="AC563" s="2518"/>
      <c r="AD563" s="2518"/>
      <c r="AE563" s="2518"/>
      <c r="AF563" s="1379" t="s">
        <v>1180</v>
      </c>
      <c r="AG563" s="2518"/>
      <c r="AH563" s="2518"/>
      <c r="AI563" s="2519"/>
      <c r="AJ563" s="2520">
        <f t="shared" si="163"/>
        <v>8260</v>
      </c>
      <c r="AK563" s="2521"/>
      <c r="AL563" s="2522"/>
      <c r="AM563" s="2505">
        <v>1</v>
      </c>
      <c r="AN563" s="2506"/>
      <c r="AO563" s="2507"/>
      <c r="AP563" s="2499">
        <f t="shared" si="164"/>
        <v>8260</v>
      </c>
      <c r="AQ563" s="2500"/>
      <c r="AR563" s="2501"/>
      <c r="AS563" s="2555">
        <f ca="1">SUMIF(床・天井!U$6:U$89,F563,床・天井!I$6:I$89)+SUMIF(見積拾!C$142:D$146,F563,見積拾!T$142:T$146)</f>
        <v>0</v>
      </c>
      <c r="AT563" s="2556"/>
      <c r="AU563" s="2556"/>
      <c r="AV563" s="2557"/>
      <c r="AW563" s="2520">
        <f t="shared" ca="1" si="165"/>
        <v>0</v>
      </c>
      <c r="AX563" s="2521"/>
      <c r="AY563" s="2521"/>
      <c r="AZ563" s="2522"/>
      <c r="BA563" s="25" t="b">
        <f t="shared" ca="1" si="166"/>
        <v>0</v>
      </c>
      <c r="BB563"/>
    </row>
    <row r="564" spans="2:54" ht="13.5" customHeight="1">
      <c r="B564" s="2681"/>
      <c r="C564" s="2673"/>
      <c r="D564" s="2682"/>
      <c r="E564" s="1396" t="s">
        <v>893</v>
      </c>
      <c r="F564" s="2500" t="s">
        <v>1750</v>
      </c>
      <c r="G564" s="2500"/>
      <c r="H564" s="2500"/>
      <c r="I564" s="2500"/>
      <c r="J564" s="2500"/>
      <c r="K564" s="2500"/>
      <c r="L564" s="2500"/>
      <c r="M564" s="2500"/>
      <c r="N564" s="2500"/>
      <c r="O564" s="2500"/>
      <c r="P564" s="2501"/>
      <c r="Q564" s="2542">
        <v>2570</v>
      </c>
      <c r="R564" s="2518"/>
      <c r="S564" s="2518"/>
      <c r="T564" s="2299" t="s">
        <v>1664</v>
      </c>
      <c r="U564" s="2518" t="s">
        <v>1173</v>
      </c>
      <c r="V564" s="2518"/>
      <c r="W564" s="2518"/>
      <c r="X564" s="2299" t="s">
        <v>895</v>
      </c>
      <c r="Y564" s="2518">
        <v>2020</v>
      </c>
      <c r="Z564" s="2518"/>
      <c r="AA564" s="2518"/>
      <c r="AB564" s="2301" t="s">
        <v>1180</v>
      </c>
      <c r="AC564" s="2518"/>
      <c r="AD564" s="2518"/>
      <c r="AE564" s="2518"/>
      <c r="AF564" s="1379" t="s">
        <v>1180</v>
      </c>
      <c r="AG564" s="2518"/>
      <c r="AH564" s="2518"/>
      <c r="AI564" s="2519"/>
      <c r="AJ564" s="2520">
        <f t="shared" si="163"/>
        <v>4590</v>
      </c>
      <c r="AK564" s="2521"/>
      <c r="AL564" s="2522"/>
      <c r="AM564" s="2505">
        <v>1</v>
      </c>
      <c r="AN564" s="2506"/>
      <c r="AO564" s="2507"/>
      <c r="AP564" s="2499">
        <f t="shared" si="164"/>
        <v>4590</v>
      </c>
      <c r="AQ564" s="2500"/>
      <c r="AR564" s="2501"/>
      <c r="AS564" s="2555">
        <f ca="1">SUMIF(床・天井!U$6:U$89,F564,床・天井!I$6:I$89)+SUMIF(見積拾!C$142:D$146,F564,見積拾!T$142:T$146)</f>
        <v>0</v>
      </c>
      <c r="AT564" s="2556"/>
      <c r="AU564" s="2556"/>
      <c r="AV564" s="2557"/>
      <c r="AW564" s="2520">
        <f t="shared" ca="1" si="165"/>
        <v>0</v>
      </c>
      <c r="AX564" s="2521"/>
      <c r="AY564" s="2521"/>
      <c r="AZ564" s="2522"/>
      <c r="BA564" s="25" t="b">
        <f t="shared" ca="1" si="166"/>
        <v>0</v>
      </c>
      <c r="BB564"/>
    </row>
    <row r="565" spans="2:54" ht="13.5" customHeight="1">
      <c r="B565" s="2681"/>
      <c r="C565" s="2673"/>
      <c r="D565" s="2682"/>
      <c r="E565" s="1396" t="s">
        <v>893</v>
      </c>
      <c r="F565" s="2500" t="s">
        <v>1751</v>
      </c>
      <c r="G565" s="2500"/>
      <c r="H565" s="2500"/>
      <c r="I565" s="2500"/>
      <c r="J565" s="2500"/>
      <c r="K565" s="2500"/>
      <c r="L565" s="2500"/>
      <c r="M565" s="2500"/>
      <c r="N565" s="2500"/>
      <c r="O565" s="2500"/>
      <c r="P565" s="2501"/>
      <c r="Q565" s="2542">
        <v>890</v>
      </c>
      <c r="R565" s="2518"/>
      <c r="S565" s="2518"/>
      <c r="T565" s="2299" t="s">
        <v>1664</v>
      </c>
      <c r="U565" s="2518" t="s">
        <v>1173</v>
      </c>
      <c r="V565" s="2518"/>
      <c r="W565" s="2518"/>
      <c r="X565" s="2299" t="s">
        <v>895</v>
      </c>
      <c r="Y565" s="2518">
        <v>2020</v>
      </c>
      <c r="Z565" s="2518"/>
      <c r="AA565" s="2518"/>
      <c r="AB565" s="2301" t="s">
        <v>1180</v>
      </c>
      <c r="AC565" s="2518"/>
      <c r="AD565" s="2518"/>
      <c r="AE565" s="2518"/>
      <c r="AF565" s="1379" t="s">
        <v>1180</v>
      </c>
      <c r="AG565" s="2518"/>
      <c r="AH565" s="2518"/>
      <c r="AI565" s="2519"/>
      <c r="AJ565" s="2520">
        <f t="shared" si="163"/>
        <v>2910</v>
      </c>
      <c r="AK565" s="2521"/>
      <c r="AL565" s="2522"/>
      <c r="AM565" s="2505">
        <v>1</v>
      </c>
      <c r="AN565" s="2506"/>
      <c r="AO565" s="2507"/>
      <c r="AP565" s="2499">
        <f t="shared" si="164"/>
        <v>2910</v>
      </c>
      <c r="AQ565" s="2500"/>
      <c r="AR565" s="2501"/>
      <c r="AS565" s="2555">
        <f ca="1">SUMIF(床・天井!U$6:U$89,F565,床・天井!I$6:I$89)+SUMIF(見積拾!C$142:D$146,F565,見積拾!T$142:T$146)</f>
        <v>0</v>
      </c>
      <c r="AT565" s="2556"/>
      <c r="AU565" s="2556"/>
      <c r="AV565" s="2557"/>
      <c r="AW565" s="2520">
        <f t="shared" ca="1" si="165"/>
        <v>0</v>
      </c>
      <c r="AX565" s="2521"/>
      <c r="AY565" s="2521"/>
      <c r="AZ565" s="2522"/>
      <c r="BA565" s="25" t="b">
        <f t="shared" ca="1" si="166"/>
        <v>0</v>
      </c>
      <c r="BB565"/>
    </row>
    <row r="566" spans="2:54" ht="13.5" customHeight="1">
      <c r="B566" s="2681"/>
      <c r="C566" s="2673"/>
      <c r="D566" s="2682"/>
      <c r="E566" s="1396" t="s">
        <v>893</v>
      </c>
      <c r="F566" s="2500" t="s">
        <v>1737</v>
      </c>
      <c r="G566" s="2500"/>
      <c r="H566" s="2500"/>
      <c r="I566" s="2500"/>
      <c r="J566" s="2500"/>
      <c r="K566" s="2500"/>
      <c r="L566" s="2500"/>
      <c r="M566" s="2500"/>
      <c r="N566" s="2500"/>
      <c r="O566" s="2500"/>
      <c r="P566" s="2501"/>
      <c r="Q566" s="2542">
        <v>7600</v>
      </c>
      <c r="R566" s="2518"/>
      <c r="S566" s="2518"/>
      <c r="T566" s="2299" t="s">
        <v>1664</v>
      </c>
      <c r="U566" s="2518">
        <v>7507</v>
      </c>
      <c r="V566" s="2518"/>
      <c r="W566" s="2518"/>
      <c r="X566" s="2299" t="s">
        <v>895</v>
      </c>
      <c r="Y566" s="2518">
        <v>1200</v>
      </c>
      <c r="Z566" s="2518"/>
      <c r="AA566" s="2518"/>
      <c r="AB566" s="2301" t="s">
        <v>1180</v>
      </c>
      <c r="AC566" s="2518"/>
      <c r="AD566" s="2518"/>
      <c r="AE566" s="2518"/>
      <c r="AF566" s="1379" t="s">
        <v>1180</v>
      </c>
      <c r="AG566" s="2518"/>
      <c r="AH566" s="2518"/>
      <c r="AI566" s="2519"/>
      <c r="AJ566" s="2520">
        <f t="shared" si="163"/>
        <v>16300</v>
      </c>
      <c r="AK566" s="2521"/>
      <c r="AL566" s="2522"/>
      <c r="AM566" s="2505">
        <v>1</v>
      </c>
      <c r="AN566" s="2506"/>
      <c r="AO566" s="2507"/>
      <c r="AP566" s="2499">
        <f t="shared" si="164"/>
        <v>16300</v>
      </c>
      <c r="AQ566" s="2500"/>
      <c r="AR566" s="2501"/>
      <c r="AS566" s="2555">
        <f ca="1">SUMIF(床・天井!U$6:U$89,F566,床・天井!I$6:I$89)+SUMIF(見積拾!C$142:D$146,F566,見積拾!T$142:T$146)</f>
        <v>0</v>
      </c>
      <c r="AT566" s="2556"/>
      <c r="AU566" s="2556"/>
      <c r="AV566" s="2557"/>
      <c r="AW566" s="2520">
        <f t="shared" ca="1" si="165"/>
        <v>0</v>
      </c>
      <c r="AX566" s="2521"/>
      <c r="AY566" s="2521"/>
      <c r="AZ566" s="2522"/>
      <c r="BA566" s="25" t="b">
        <f t="shared" ca="1" si="166"/>
        <v>0</v>
      </c>
      <c r="BB566"/>
    </row>
    <row r="567" spans="2:54" ht="13.5" customHeight="1">
      <c r="B567" s="2681"/>
      <c r="C567" s="2673"/>
      <c r="D567" s="2682"/>
      <c r="E567" s="1396" t="s">
        <v>893</v>
      </c>
      <c r="F567" s="2500" t="s">
        <v>1738</v>
      </c>
      <c r="G567" s="2500"/>
      <c r="H567" s="2500"/>
      <c r="I567" s="2500"/>
      <c r="J567" s="2500"/>
      <c r="K567" s="2500"/>
      <c r="L567" s="2500"/>
      <c r="M567" s="2500"/>
      <c r="N567" s="2500"/>
      <c r="O567" s="2500"/>
      <c r="P567" s="2501"/>
      <c r="Q567" s="2542">
        <v>8430</v>
      </c>
      <c r="R567" s="2518"/>
      <c r="S567" s="2518"/>
      <c r="T567" s="2299" t="s">
        <v>1664</v>
      </c>
      <c r="U567" s="2518">
        <v>2310</v>
      </c>
      <c r="V567" s="2518"/>
      <c r="W567" s="2518"/>
      <c r="X567" s="2299" t="s">
        <v>895</v>
      </c>
      <c r="Y567" s="2518">
        <v>1200</v>
      </c>
      <c r="Z567" s="2518"/>
      <c r="AA567" s="2518"/>
      <c r="AB567" s="2301" t="s">
        <v>1180</v>
      </c>
      <c r="AC567" s="2518"/>
      <c r="AD567" s="2518"/>
      <c r="AE567" s="2518"/>
      <c r="AF567" s="1379" t="s">
        <v>1180</v>
      </c>
      <c r="AG567" s="2518"/>
      <c r="AH567" s="2518"/>
      <c r="AI567" s="2519"/>
      <c r="AJ567" s="2520">
        <f t="shared" si="163"/>
        <v>11940</v>
      </c>
      <c r="AK567" s="2521"/>
      <c r="AL567" s="2522"/>
      <c r="AM567" s="2505">
        <v>1</v>
      </c>
      <c r="AN567" s="2506"/>
      <c r="AO567" s="2507"/>
      <c r="AP567" s="2499">
        <f t="shared" si="164"/>
        <v>11940</v>
      </c>
      <c r="AQ567" s="2500"/>
      <c r="AR567" s="2501"/>
      <c r="AS567" s="2555">
        <f ca="1">SUMIF(床・天井!U$6:U$89,F567,床・天井!I$6:I$89)+SUMIF(見積拾!C$142:D$146,F567,見積拾!T$142:T$146)</f>
        <v>0</v>
      </c>
      <c r="AT567" s="2556"/>
      <c r="AU567" s="2556"/>
      <c r="AV567" s="2557"/>
      <c r="AW567" s="2520">
        <f t="shared" ca="1" si="165"/>
        <v>0</v>
      </c>
      <c r="AX567" s="2521"/>
      <c r="AY567" s="2521"/>
      <c r="AZ567" s="2522"/>
      <c r="BA567" s="25" t="b">
        <f t="shared" ca="1" si="166"/>
        <v>0</v>
      </c>
      <c r="BB567"/>
    </row>
    <row r="568" spans="2:54" ht="13.5" customHeight="1">
      <c r="B568" s="2681"/>
      <c r="C568" s="2673"/>
      <c r="D568" s="2682"/>
      <c r="E568" s="1396" t="s">
        <v>893</v>
      </c>
      <c r="F568" s="2500" t="s">
        <v>1736</v>
      </c>
      <c r="G568" s="2500"/>
      <c r="H568" s="2500"/>
      <c r="I568" s="2500"/>
      <c r="J568" s="2500"/>
      <c r="K568" s="2500"/>
      <c r="L568" s="2500"/>
      <c r="M568" s="2500"/>
      <c r="N568" s="2500"/>
      <c r="O568" s="2500"/>
      <c r="P568" s="2501"/>
      <c r="Q568" s="2542">
        <v>750</v>
      </c>
      <c r="R568" s="2518"/>
      <c r="S568" s="2518"/>
      <c r="T568" s="2299" t="s">
        <v>1664</v>
      </c>
      <c r="U568" s="2518">
        <v>2310</v>
      </c>
      <c r="V568" s="2518"/>
      <c r="W568" s="2518"/>
      <c r="X568" s="2299" t="s">
        <v>895</v>
      </c>
      <c r="Y568" s="2518">
        <v>1200</v>
      </c>
      <c r="Z568" s="2518"/>
      <c r="AA568" s="2518"/>
      <c r="AB568" s="2301" t="s">
        <v>1180</v>
      </c>
      <c r="AC568" s="2518"/>
      <c r="AD568" s="2518"/>
      <c r="AE568" s="2518"/>
      <c r="AF568" s="1379" t="s">
        <v>1180</v>
      </c>
      <c r="AG568" s="2518"/>
      <c r="AH568" s="2518"/>
      <c r="AI568" s="2519"/>
      <c r="AJ568" s="2520">
        <f t="shared" si="163"/>
        <v>4260</v>
      </c>
      <c r="AK568" s="2521"/>
      <c r="AL568" s="2522"/>
      <c r="AM568" s="2505">
        <v>1</v>
      </c>
      <c r="AN568" s="2506"/>
      <c r="AO568" s="2507"/>
      <c r="AP568" s="2499">
        <f t="shared" si="164"/>
        <v>4260</v>
      </c>
      <c r="AQ568" s="2500"/>
      <c r="AR568" s="2501"/>
      <c r="AS568" s="2555">
        <f ca="1">SUMIF(床・天井!U$6:U$89,F568,床・天井!I$6:I$89)+SUMIF(見積拾!C$142:D$146,F568,見積拾!T$142:T$146)</f>
        <v>0</v>
      </c>
      <c r="AT568" s="2556"/>
      <c r="AU568" s="2556"/>
      <c r="AV568" s="2557"/>
      <c r="AW568" s="2520">
        <f t="shared" ca="1" si="165"/>
        <v>0</v>
      </c>
      <c r="AX568" s="2521"/>
      <c r="AY568" s="2521"/>
      <c r="AZ568" s="2522"/>
      <c r="BA568" s="25" t="b">
        <f t="shared" ca="1" si="166"/>
        <v>0</v>
      </c>
      <c r="BB568"/>
    </row>
    <row r="569" spans="2:54" ht="13.5" customHeight="1">
      <c r="B569" s="2681"/>
      <c r="C569" s="2673"/>
      <c r="D569" s="2682"/>
      <c r="E569" s="1396" t="s">
        <v>893</v>
      </c>
      <c r="F569" s="2500" t="s">
        <v>1706</v>
      </c>
      <c r="G569" s="2500"/>
      <c r="H569" s="2500"/>
      <c r="I569" s="2500"/>
      <c r="J569" s="2500"/>
      <c r="K569" s="2500"/>
      <c r="L569" s="2500"/>
      <c r="M569" s="2500"/>
      <c r="N569" s="2500"/>
      <c r="O569" s="2500"/>
      <c r="P569" s="2501"/>
      <c r="Q569" s="2542">
        <v>22500</v>
      </c>
      <c r="R569" s="2518"/>
      <c r="S569" s="2518"/>
      <c r="T569" s="2299" t="s">
        <v>1664</v>
      </c>
      <c r="U569" s="2518">
        <v>8662</v>
      </c>
      <c r="V569" s="2518"/>
      <c r="W569" s="2518"/>
      <c r="X569" s="2299" t="s">
        <v>895</v>
      </c>
      <c r="Y569" s="2518">
        <v>1200</v>
      </c>
      <c r="Z569" s="2518"/>
      <c r="AA569" s="2518"/>
      <c r="AB569" s="2301" t="s">
        <v>1180</v>
      </c>
      <c r="AC569" s="2518"/>
      <c r="AD569" s="2518"/>
      <c r="AE569" s="2518"/>
      <c r="AF569" s="1379" t="s">
        <v>1180</v>
      </c>
      <c r="AG569" s="2518"/>
      <c r="AH569" s="2518"/>
      <c r="AI569" s="2519"/>
      <c r="AJ569" s="2520">
        <f t="shared" si="163"/>
        <v>32360</v>
      </c>
      <c r="AK569" s="2521"/>
      <c r="AL569" s="2522"/>
      <c r="AM569" s="2505">
        <v>1</v>
      </c>
      <c r="AN569" s="2506"/>
      <c r="AO569" s="2507"/>
      <c r="AP569" s="2499">
        <f t="shared" si="164"/>
        <v>32360</v>
      </c>
      <c r="AQ569" s="2500"/>
      <c r="AR569" s="2501"/>
      <c r="AS569" s="2555">
        <f ca="1">SUMIF(床・天井!U$6:U$89,F569,床・天井!I$6:I$89)+SUMIF(見積拾!C$142:D$146,F569,見積拾!T$142:T$146)</f>
        <v>0</v>
      </c>
      <c r="AT569" s="2556"/>
      <c r="AU569" s="2556"/>
      <c r="AV569" s="2557"/>
      <c r="AW569" s="2520">
        <f t="shared" ca="1" si="165"/>
        <v>0</v>
      </c>
      <c r="AX569" s="2521"/>
      <c r="AY569" s="2521"/>
      <c r="AZ569" s="2522"/>
      <c r="BA569" s="25" t="b">
        <f t="shared" ca="1" si="166"/>
        <v>0</v>
      </c>
      <c r="BB569"/>
    </row>
    <row r="570" spans="2:54" ht="13.5" customHeight="1">
      <c r="B570" s="2681"/>
      <c r="C570" s="2673"/>
      <c r="D570" s="2682"/>
      <c r="E570" s="1396" t="s">
        <v>893</v>
      </c>
      <c r="F570" s="2500" t="s">
        <v>1707</v>
      </c>
      <c r="G570" s="2500"/>
      <c r="H570" s="2500"/>
      <c r="I570" s="2500"/>
      <c r="J570" s="2500"/>
      <c r="K570" s="2500"/>
      <c r="L570" s="2500"/>
      <c r="M570" s="2500"/>
      <c r="N570" s="2500"/>
      <c r="O570" s="2500"/>
      <c r="P570" s="2501"/>
      <c r="Q570" s="2542">
        <v>2210</v>
      </c>
      <c r="R570" s="2518"/>
      <c r="S570" s="2518"/>
      <c r="T570" s="2299" t="s">
        <v>1664</v>
      </c>
      <c r="U570" s="2518">
        <v>7012</v>
      </c>
      <c r="V570" s="2518"/>
      <c r="W570" s="2518"/>
      <c r="X570" s="2299" t="s">
        <v>895</v>
      </c>
      <c r="Y570" s="2518">
        <v>1200</v>
      </c>
      <c r="Z570" s="2518"/>
      <c r="AA570" s="2518"/>
      <c r="AB570" s="2301" t="s">
        <v>1180</v>
      </c>
      <c r="AC570" s="2518"/>
      <c r="AD570" s="2518"/>
      <c r="AE570" s="2518"/>
      <c r="AF570" s="1379" t="s">
        <v>1180</v>
      </c>
      <c r="AG570" s="2518"/>
      <c r="AH570" s="2518"/>
      <c r="AI570" s="2519"/>
      <c r="AJ570" s="2520">
        <f t="shared" si="163"/>
        <v>10420</v>
      </c>
      <c r="AK570" s="2521"/>
      <c r="AL570" s="2522"/>
      <c r="AM570" s="2505">
        <v>1</v>
      </c>
      <c r="AN570" s="2506"/>
      <c r="AO570" s="2507"/>
      <c r="AP570" s="2499">
        <f t="shared" si="164"/>
        <v>10420</v>
      </c>
      <c r="AQ570" s="2500"/>
      <c r="AR570" s="2501"/>
      <c r="AS570" s="2555">
        <f ca="1">SUMIF(床・天井!U$6:U$89,F570,床・天井!I$6:I$89)+SUMIF(見積拾!C$142:D$146,F570,見積拾!T$142:T$146)</f>
        <v>0</v>
      </c>
      <c r="AT570" s="2556"/>
      <c r="AU570" s="2556"/>
      <c r="AV570" s="2557"/>
      <c r="AW570" s="2520">
        <f t="shared" ca="1" si="165"/>
        <v>0</v>
      </c>
      <c r="AX570" s="2521"/>
      <c r="AY570" s="2521"/>
      <c r="AZ570" s="2522"/>
      <c r="BA570" s="25" t="b">
        <f t="shared" ca="1" si="166"/>
        <v>0</v>
      </c>
      <c r="BB570"/>
    </row>
    <row r="571" spans="2:54" ht="13.5" customHeight="1">
      <c r="B571" s="2681"/>
      <c r="C571" s="2673"/>
      <c r="D571" s="2682"/>
      <c r="E571" s="1396" t="s">
        <v>893</v>
      </c>
      <c r="F571" s="2500" t="s">
        <v>1708</v>
      </c>
      <c r="G571" s="2500"/>
      <c r="H571" s="2500"/>
      <c r="I571" s="2500"/>
      <c r="J571" s="2500"/>
      <c r="K571" s="2500"/>
      <c r="L571" s="2500"/>
      <c r="M571" s="2500"/>
      <c r="N571" s="2500"/>
      <c r="O571" s="2500"/>
      <c r="P571" s="2501"/>
      <c r="Q571" s="2542">
        <v>506</v>
      </c>
      <c r="R571" s="2518"/>
      <c r="S571" s="2518"/>
      <c r="T571" s="2299" t="s">
        <v>1664</v>
      </c>
      <c r="U571" s="2518">
        <v>7012</v>
      </c>
      <c r="V571" s="2518"/>
      <c r="W571" s="2518"/>
      <c r="X571" s="2299" t="s">
        <v>895</v>
      </c>
      <c r="Y571" s="2518">
        <v>1200</v>
      </c>
      <c r="Z571" s="2518"/>
      <c r="AA571" s="2518"/>
      <c r="AB571" s="2301" t="s">
        <v>1180</v>
      </c>
      <c r="AC571" s="2518"/>
      <c r="AD571" s="2518"/>
      <c r="AE571" s="2518"/>
      <c r="AF571" s="1379" t="s">
        <v>1180</v>
      </c>
      <c r="AG571" s="2518"/>
      <c r="AH571" s="2518"/>
      <c r="AI571" s="2519"/>
      <c r="AJ571" s="2520">
        <f t="shared" si="163"/>
        <v>8710</v>
      </c>
      <c r="AK571" s="2521"/>
      <c r="AL571" s="2522"/>
      <c r="AM571" s="2505">
        <v>1</v>
      </c>
      <c r="AN571" s="2506"/>
      <c r="AO571" s="2507"/>
      <c r="AP571" s="2499">
        <f t="shared" si="164"/>
        <v>8710</v>
      </c>
      <c r="AQ571" s="2500"/>
      <c r="AR571" s="2501"/>
      <c r="AS571" s="2555">
        <f ca="1">SUMIF(床・天井!U$6:U$89,F571,床・天井!I$6:I$89)+SUMIF(見積拾!C$142:D$146,F571,見積拾!T$142:T$146)</f>
        <v>0</v>
      </c>
      <c r="AT571" s="2556"/>
      <c r="AU571" s="2556"/>
      <c r="AV571" s="2557"/>
      <c r="AW571" s="2520">
        <f t="shared" ca="1" si="165"/>
        <v>0</v>
      </c>
      <c r="AX571" s="2521"/>
      <c r="AY571" s="2521"/>
      <c r="AZ571" s="2522"/>
      <c r="BA571" s="25" t="b">
        <f t="shared" ca="1" si="166"/>
        <v>0</v>
      </c>
      <c r="BB571"/>
    </row>
    <row r="572" spans="2:54" ht="13.5" customHeight="1">
      <c r="B572" s="2681"/>
      <c r="C572" s="2673"/>
      <c r="D572" s="2682"/>
      <c r="E572" s="1396" t="s">
        <v>893</v>
      </c>
      <c r="F572" s="2500" t="s">
        <v>1709</v>
      </c>
      <c r="G572" s="2500"/>
      <c r="H572" s="2500"/>
      <c r="I572" s="2500"/>
      <c r="J572" s="2500"/>
      <c r="K572" s="2500"/>
      <c r="L572" s="2500"/>
      <c r="M572" s="2500"/>
      <c r="N572" s="2500"/>
      <c r="O572" s="2500"/>
      <c r="P572" s="2501"/>
      <c r="Q572" s="2542">
        <v>24526</v>
      </c>
      <c r="R572" s="2518"/>
      <c r="S572" s="2518"/>
      <c r="T572" s="2299" t="s">
        <v>1664</v>
      </c>
      <c r="U572" s="2518">
        <v>8662</v>
      </c>
      <c r="V572" s="2518"/>
      <c r="W572" s="2518"/>
      <c r="X572" s="2299" t="s">
        <v>895</v>
      </c>
      <c r="Y572" s="2518">
        <v>1200</v>
      </c>
      <c r="Z572" s="2518"/>
      <c r="AA572" s="2518"/>
      <c r="AB572" s="2301" t="s">
        <v>1180</v>
      </c>
      <c r="AC572" s="2518"/>
      <c r="AD572" s="2518"/>
      <c r="AE572" s="2518"/>
      <c r="AF572" s="1379" t="s">
        <v>1180</v>
      </c>
      <c r="AG572" s="2518"/>
      <c r="AH572" s="2518"/>
      <c r="AI572" s="2519"/>
      <c r="AJ572" s="2520">
        <f t="shared" si="163"/>
        <v>34380</v>
      </c>
      <c r="AK572" s="2521"/>
      <c r="AL572" s="2522"/>
      <c r="AM572" s="2505">
        <v>1</v>
      </c>
      <c r="AN572" s="2506"/>
      <c r="AO572" s="2507"/>
      <c r="AP572" s="2499">
        <f t="shared" si="164"/>
        <v>34380</v>
      </c>
      <c r="AQ572" s="2500"/>
      <c r="AR572" s="2501"/>
      <c r="AS572" s="2555">
        <f ca="1">SUMIF(床・天井!U$6:U$89,F572,床・天井!I$6:I$89)+SUMIF(見積拾!C$142:D$146,F572,見積拾!T$142:T$146)</f>
        <v>0</v>
      </c>
      <c r="AT572" s="2556"/>
      <c r="AU572" s="2556"/>
      <c r="AV572" s="2557"/>
      <c r="AW572" s="2520">
        <f t="shared" ca="1" si="165"/>
        <v>0</v>
      </c>
      <c r="AX572" s="2521"/>
      <c r="AY572" s="2521"/>
      <c r="AZ572" s="2522"/>
      <c r="BA572" s="25" t="b">
        <f t="shared" ca="1" si="166"/>
        <v>0</v>
      </c>
      <c r="BB572"/>
    </row>
    <row r="573" spans="2:54" ht="13.5" customHeight="1">
      <c r="B573" s="2681"/>
      <c r="C573" s="2673"/>
      <c r="D573" s="2682"/>
      <c r="E573" s="1396" t="s">
        <v>893</v>
      </c>
      <c r="F573" s="2500" t="s">
        <v>1279</v>
      </c>
      <c r="G573" s="2500"/>
      <c r="H573" s="2500"/>
      <c r="I573" s="2500"/>
      <c r="J573" s="2500"/>
      <c r="K573" s="2500"/>
      <c r="L573" s="2500"/>
      <c r="M573" s="2500"/>
      <c r="N573" s="2500"/>
      <c r="O573" s="2500"/>
      <c r="P573" s="2501"/>
      <c r="Q573" s="2542">
        <v>4030</v>
      </c>
      <c r="R573" s="2518"/>
      <c r="S573" s="2518"/>
      <c r="T573" s="2299" t="s">
        <v>1664</v>
      </c>
      <c r="U573" s="2518" t="s">
        <v>1173</v>
      </c>
      <c r="V573" s="2518"/>
      <c r="W573" s="2518"/>
      <c r="X573" s="2299" t="s">
        <v>895</v>
      </c>
      <c r="Y573" s="2518" t="s">
        <v>1174</v>
      </c>
      <c r="Z573" s="2518"/>
      <c r="AA573" s="2518"/>
      <c r="AB573" s="2301" t="s">
        <v>1180</v>
      </c>
      <c r="AC573" s="2518"/>
      <c r="AD573" s="2518"/>
      <c r="AE573" s="2518"/>
      <c r="AF573" s="1379" t="s">
        <v>1180</v>
      </c>
      <c r="AG573" s="2518"/>
      <c r="AH573" s="2518"/>
      <c r="AI573" s="2519"/>
      <c r="AJ573" s="2520">
        <f t="shared" si="163"/>
        <v>4030</v>
      </c>
      <c r="AK573" s="2521"/>
      <c r="AL573" s="2522"/>
      <c r="AM573" s="2505">
        <v>1</v>
      </c>
      <c r="AN573" s="2506"/>
      <c r="AO573" s="2507"/>
      <c r="AP573" s="2499">
        <f t="shared" si="164"/>
        <v>4030</v>
      </c>
      <c r="AQ573" s="2500"/>
      <c r="AR573" s="2501"/>
      <c r="AS573" s="2555">
        <f ca="1">SUMIF(床・天井!U$6:U$89,F573,床・天井!I$6:I$89)+SUMIF(見積拾!C$142:D$146,F573,見積拾!T$142:T$146)</f>
        <v>0</v>
      </c>
      <c r="AT573" s="2556"/>
      <c r="AU573" s="2556"/>
      <c r="AV573" s="2557"/>
      <c r="AW573" s="2520">
        <f t="shared" ca="1" si="165"/>
        <v>0</v>
      </c>
      <c r="AX573" s="2521"/>
      <c r="AY573" s="2521"/>
      <c r="AZ573" s="2522"/>
      <c r="BA573" s="25" t="b">
        <f t="shared" ca="1" si="166"/>
        <v>0</v>
      </c>
      <c r="BB573"/>
    </row>
    <row r="574" spans="2:54" ht="13.5" customHeight="1">
      <c r="B574" s="2681"/>
      <c r="C574" s="2673"/>
      <c r="D574" s="2682"/>
      <c r="E574" s="1396" t="s">
        <v>893</v>
      </c>
      <c r="F574" s="2500" t="s">
        <v>1825</v>
      </c>
      <c r="G574" s="2500"/>
      <c r="H574" s="2500"/>
      <c r="I574" s="2500"/>
      <c r="J574" s="2500"/>
      <c r="K574" s="2500"/>
      <c r="L574" s="2500"/>
      <c r="M574" s="2500"/>
      <c r="N574" s="2500"/>
      <c r="O574" s="2500"/>
      <c r="P574" s="2501"/>
      <c r="Q574" s="2542">
        <v>5760</v>
      </c>
      <c r="R574" s="2518"/>
      <c r="S574" s="2518"/>
      <c r="T574" s="2299" t="s">
        <v>1664</v>
      </c>
      <c r="U574" s="2518" t="s">
        <v>1173</v>
      </c>
      <c r="V574" s="2518"/>
      <c r="W574" s="2518"/>
      <c r="X574" s="2299" t="s">
        <v>895</v>
      </c>
      <c r="Y574" s="2518" t="s">
        <v>1174</v>
      </c>
      <c r="Z574" s="2518"/>
      <c r="AA574" s="2518"/>
      <c r="AB574" s="2301" t="s">
        <v>1180</v>
      </c>
      <c r="AC574" s="2518"/>
      <c r="AD574" s="2518"/>
      <c r="AE574" s="2518"/>
      <c r="AF574" s="1379" t="s">
        <v>1180</v>
      </c>
      <c r="AG574" s="2518"/>
      <c r="AH574" s="2518"/>
      <c r="AI574" s="2519"/>
      <c r="AJ574" s="2520">
        <f t="shared" ref="AJ574:AJ583" si="167">ROUNDDOWN(SUM(Q574:AI574),-1)</f>
        <v>5760</v>
      </c>
      <c r="AK574" s="2521"/>
      <c r="AL574" s="2522"/>
      <c r="AM574" s="2505">
        <v>1</v>
      </c>
      <c r="AN574" s="2506"/>
      <c r="AO574" s="2507"/>
      <c r="AP574" s="2499">
        <f t="shared" ref="AP574:AP583" si="168">INT(AJ574*AM574)</f>
        <v>5760</v>
      </c>
      <c r="AQ574" s="2500"/>
      <c r="AR574" s="2501"/>
      <c r="AS574" s="2555">
        <f ca="1">SUMIF(床・天井!U$6:U$89,F574,床・天井!I$6:I$89)+SUMIF(見積拾!C$142:D$146,F574,見積拾!T$142:T$146)</f>
        <v>0</v>
      </c>
      <c r="AT574" s="2556"/>
      <c r="AU574" s="2556"/>
      <c r="AV574" s="2557"/>
      <c r="AW574" s="2520">
        <f t="shared" ref="AW574:AW583" ca="1" si="169">INT(AP574*AS574)</f>
        <v>0</v>
      </c>
      <c r="AX574" s="2521"/>
      <c r="AY574" s="2521"/>
      <c r="AZ574" s="2522"/>
      <c r="BA574" s="25" t="b">
        <f t="shared" ca="1" si="166"/>
        <v>0</v>
      </c>
      <c r="BB574"/>
    </row>
    <row r="575" spans="2:54" ht="13.5" customHeight="1">
      <c r="B575" s="2681"/>
      <c r="C575" s="2673"/>
      <c r="D575" s="2682"/>
      <c r="E575" s="1396" t="s">
        <v>893</v>
      </c>
      <c r="F575" s="2500" t="s">
        <v>1826</v>
      </c>
      <c r="G575" s="2500"/>
      <c r="H575" s="2500"/>
      <c r="I575" s="2500"/>
      <c r="J575" s="2500"/>
      <c r="K575" s="2500"/>
      <c r="L575" s="2500"/>
      <c r="M575" s="2500"/>
      <c r="N575" s="2500"/>
      <c r="O575" s="2500"/>
      <c r="P575" s="2501"/>
      <c r="Q575" s="2542">
        <v>53701</v>
      </c>
      <c r="R575" s="2518"/>
      <c r="S575" s="2518"/>
      <c r="T575" s="2299" t="s">
        <v>1664</v>
      </c>
      <c r="U575" s="2518" t="s">
        <v>1173</v>
      </c>
      <c r="V575" s="2518"/>
      <c r="W575" s="2518"/>
      <c r="X575" s="2299" t="s">
        <v>895</v>
      </c>
      <c r="Y575" s="2518">
        <v>4002</v>
      </c>
      <c r="Z575" s="2518"/>
      <c r="AA575" s="2518"/>
      <c r="AB575" s="2301" t="s">
        <v>1180</v>
      </c>
      <c r="AC575" s="2518"/>
      <c r="AD575" s="2518"/>
      <c r="AE575" s="2518"/>
      <c r="AF575" s="1379" t="s">
        <v>1180</v>
      </c>
      <c r="AG575" s="2518"/>
      <c r="AH575" s="2518"/>
      <c r="AI575" s="2519"/>
      <c r="AJ575" s="2520">
        <f t="shared" si="167"/>
        <v>57700</v>
      </c>
      <c r="AK575" s="2521"/>
      <c r="AL575" s="2522"/>
      <c r="AM575" s="2505">
        <v>1</v>
      </c>
      <c r="AN575" s="2506"/>
      <c r="AO575" s="2507"/>
      <c r="AP575" s="2499">
        <f t="shared" si="168"/>
        <v>57700</v>
      </c>
      <c r="AQ575" s="2500"/>
      <c r="AR575" s="2501"/>
      <c r="AS575" s="2555">
        <f ca="1">SUMIF(床・天井!U$6:U$89,F575,床・天井!I$6:I$89)+SUMIF(見積拾!C$142:D$146,F575,見積拾!T$142:T$146)</f>
        <v>0</v>
      </c>
      <c r="AT575" s="2556"/>
      <c r="AU575" s="2556"/>
      <c r="AV575" s="2557"/>
      <c r="AW575" s="2520">
        <f t="shared" ca="1" si="169"/>
        <v>0</v>
      </c>
      <c r="AX575" s="2521"/>
      <c r="AY575" s="2521"/>
      <c r="AZ575" s="2522"/>
      <c r="BA575" s="25" t="b">
        <f t="shared" ref="BA575:BA583" ca="1" si="170">AW575&lt;&gt;0</f>
        <v>0</v>
      </c>
      <c r="BB575"/>
    </row>
    <row r="576" spans="2:54" ht="13.5" customHeight="1">
      <c r="B576" s="2681"/>
      <c r="C576" s="2673"/>
      <c r="D576" s="2682"/>
      <c r="E576" s="1396" t="s">
        <v>893</v>
      </c>
      <c r="F576" s="2500" t="s">
        <v>1827</v>
      </c>
      <c r="G576" s="2500"/>
      <c r="H576" s="2500"/>
      <c r="I576" s="2500"/>
      <c r="J576" s="2500"/>
      <c r="K576" s="2500"/>
      <c r="L576" s="2500"/>
      <c r="M576" s="2500"/>
      <c r="N576" s="2500"/>
      <c r="O576" s="2500"/>
      <c r="P576" s="2501"/>
      <c r="Q576" s="2542">
        <v>16887</v>
      </c>
      <c r="R576" s="2518"/>
      <c r="S576" s="2518"/>
      <c r="T576" s="2299" t="s">
        <v>1664</v>
      </c>
      <c r="U576" s="2518" t="s">
        <v>1173</v>
      </c>
      <c r="V576" s="2518"/>
      <c r="W576" s="2518"/>
      <c r="X576" s="2299" t="s">
        <v>895</v>
      </c>
      <c r="Y576" s="2518">
        <v>4002</v>
      </c>
      <c r="Z576" s="2518"/>
      <c r="AA576" s="2518"/>
      <c r="AB576" s="2301" t="s">
        <v>1180</v>
      </c>
      <c r="AC576" s="2518"/>
      <c r="AD576" s="2518"/>
      <c r="AE576" s="2518"/>
      <c r="AF576" s="1379" t="s">
        <v>1180</v>
      </c>
      <c r="AG576" s="2518"/>
      <c r="AH576" s="2518"/>
      <c r="AI576" s="2519"/>
      <c r="AJ576" s="2520">
        <f t="shared" si="167"/>
        <v>20880</v>
      </c>
      <c r="AK576" s="2521"/>
      <c r="AL576" s="2522"/>
      <c r="AM576" s="2505">
        <v>1</v>
      </c>
      <c r="AN576" s="2506"/>
      <c r="AO576" s="2507"/>
      <c r="AP576" s="2499">
        <f t="shared" si="168"/>
        <v>20880</v>
      </c>
      <c r="AQ576" s="2500"/>
      <c r="AR576" s="2501"/>
      <c r="AS576" s="2555">
        <f ca="1">SUMIF(床・天井!U$6:U$89,F576,床・天井!I$6:I$89)+SUMIF(見積拾!C$142:D$146,F576,見積拾!T$142:T$146)</f>
        <v>0</v>
      </c>
      <c r="AT576" s="2556"/>
      <c r="AU576" s="2556"/>
      <c r="AV576" s="2557"/>
      <c r="AW576" s="2520">
        <f t="shared" ca="1" si="169"/>
        <v>0</v>
      </c>
      <c r="AX576" s="2521"/>
      <c r="AY576" s="2521"/>
      <c r="AZ576" s="2522"/>
      <c r="BA576" s="25" t="b">
        <f t="shared" ca="1" si="170"/>
        <v>0</v>
      </c>
      <c r="BB576"/>
    </row>
    <row r="577" spans="2:54" ht="13.5" customHeight="1">
      <c r="B577" s="2681"/>
      <c r="C577" s="2673"/>
      <c r="D577" s="2682"/>
      <c r="E577" s="1396" t="s">
        <v>893</v>
      </c>
      <c r="F577" s="2500" t="s">
        <v>1828</v>
      </c>
      <c r="G577" s="2500"/>
      <c r="H577" s="2500"/>
      <c r="I577" s="2500"/>
      <c r="J577" s="2500"/>
      <c r="K577" s="2500"/>
      <c r="L577" s="2500"/>
      <c r="M577" s="2500"/>
      <c r="N577" s="2500"/>
      <c r="O577" s="2500"/>
      <c r="P577" s="2501"/>
      <c r="Q577" s="2542">
        <v>13218</v>
      </c>
      <c r="R577" s="2518"/>
      <c r="S577" s="2518"/>
      <c r="T577" s="2299" t="s">
        <v>1664</v>
      </c>
      <c r="U577" s="2518" t="s">
        <v>1173</v>
      </c>
      <c r="V577" s="2518"/>
      <c r="W577" s="2518"/>
      <c r="X577" s="2299" t="s">
        <v>895</v>
      </c>
      <c r="Y577" s="2518">
        <v>4002</v>
      </c>
      <c r="Z577" s="2518"/>
      <c r="AA577" s="2518"/>
      <c r="AB577" s="2301" t="s">
        <v>1180</v>
      </c>
      <c r="AC577" s="2518"/>
      <c r="AD577" s="2518"/>
      <c r="AE577" s="2518"/>
      <c r="AF577" s="1379" t="s">
        <v>1180</v>
      </c>
      <c r="AG577" s="2518"/>
      <c r="AH577" s="2518"/>
      <c r="AI577" s="2519"/>
      <c r="AJ577" s="2520">
        <f t="shared" si="167"/>
        <v>17220</v>
      </c>
      <c r="AK577" s="2521"/>
      <c r="AL577" s="2522"/>
      <c r="AM577" s="2505">
        <v>1</v>
      </c>
      <c r="AN577" s="2506"/>
      <c r="AO577" s="2507"/>
      <c r="AP577" s="2499">
        <f t="shared" si="168"/>
        <v>17220</v>
      </c>
      <c r="AQ577" s="2500"/>
      <c r="AR577" s="2501"/>
      <c r="AS577" s="2555">
        <f ca="1">SUMIF(床・天井!U$6:U$89,F577,床・天井!I$6:I$89)+SUMIF(見積拾!C$142:D$146,F577,見積拾!T$142:T$146)</f>
        <v>0</v>
      </c>
      <c r="AT577" s="2556"/>
      <c r="AU577" s="2556"/>
      <c r="AV577" s="2557"/>
      <c r="AW577" s="2520">
        <f t="shared" ca="1" si="169"/>
        <v>0</v>
      </c>
      <c r="AX577" s="2521"/>
      <c r="AY577" s="2521"/>
      <c r="AZ577" s="2522"/>
      <c r="BA577" s="25" t="b">
        <f t="shared" ca="1" si="170"/>
        <v>0</v>
      </c>
      <c r="BB577"/>
    </row>
    <row r="578" spans="2:54" ht="13.5" customHeight="1">
      <c r="B578" s="2681"/>
      <c r="C578" s="2673"/>
      <c r="D578" s="2682"/>
      <c r="E578" s="1396" t="s">
        <v>893</v>
      </c>
      <c r="F578" s="2500" t="s">
        <v>1701</v>
      </c>
      <c r="G578" s="2500"/>
      <c r="H578" s="2500"/>
      <c r="I578" s="2500"/>
      <c r="J578" s="2500"/>
      <c r="K578" s="2500"/>
      <c r="L578" s="2500"/>
      <c r="M578" s="2500"/>
      <c r="N578" s="2500"/>
      <c r="O578" s="2500"/>
      <c r="P578" s="2501"/>
      <c r="Q578" s="2542" t="s">
        <v>1174</v>
      </c>
      <c r="R578" s="2518"/>
      <c r="S578" s="2518"/>
      <c r="T578" s="2299" t="s">
        <v>1664</v>
      </c>
      <c r="U578" s="2518">
        <v>4730</v>
      </c>
      <c r="V578" s="2518"/>
      <c r="W578" s="2518"/>
      <c r="X578" s="2299" t="s">
        <v>895</v>
      </c>
      <c r="Y578" s="2518">
        <v>377</v>
      </c>
      <c r="Z578" s="2518"/>
      <c r="AA578" s="2518"/>
      <c r="AB578" s="2301" t="s">
        <v>1180</v>
      </c>
      <c r="AC578" s="2518"/>
      <c r="AD578" s="2518"/>
      <c r="AE578" s="2518"/>
      <c r="AF578" s="1379" t="s">
        <v>1180</v>
      </c>
      <c r="AG578" s="2518"/>
      <c r="AH578" s="2518"/>
      <c r="AI578" s="2519"/>
      <c r="AJ578" s="2520">
        <f t="shared" si="167"/>
        <v>5100</v>
      </c>
      <c r="AK578" s="2521"/>
      <c r="AL578" s="2522"/>
      <c r="AM578" s="2505">
        <v>1</v>
      </c>
      <c r="AN578" s="2506"/>
      <c r="AO578" s="2507"/>
      <c r="AP578" s="2499">
        <f t="shared" si="168"/>
        <v>5100</v>
      </c>
      <c r="AQ578" s="2500"/>
      <c r="AR578" s="2501"/>
      <c r="AS578" s="2555">
        <f ca="1">SUMIF(床・天井!U$6:U$89,F578,床・天井!I$6:I$89)+SUMIF(見積拾!C$142:D$146,F578,見積拾!T$142:T$146)</f>
        <v>0</v>
      </c>
      <c r="AT578" s="2556"/>
      <c r="AU578" s="2556"/>
      <c r="AV578" s="2557"/>
      <c r="AW578" s="2520">
        <f t="shared" ca="1" si="169"/>
        <v>0</v>
      </c>
      <c r="AX578" s="2521"/>
      <c r="AY578" s="2521"/>
      <c r="AZ578" s="2522"/>
      <c r="BA578" s="25" t="b">
        <f t="shared" ca="1" si="170"/>
        <v>0</v>
      </c>
      <c r="BB578"/>
    </row>
    <row r="579" spans="2:54" ht="13.5" customHeight="1">
      <c r="B579" s="2681"/>
      <c r="C579" s="2673"/>
      <c r="D579" s="2682"/>
      <c r="E579" s="1396" t="s">
        <v>893</v>
      </c>
      <c r="F579" s="2500" t="s">
        <v>1702</v>
      </c>
      <c r="G579" s="2500"/>
      <c r="H579" s="2500"/>
      <c r="I579" s="2500"/>
      <c r="J579" s="2500"/>
      <c r="K579" s="2500"/>
      <c r="L579" s="2500"/>
      <c r="M579" s="2500"/>
      <c r="N579" s="2500"/>
      <c r="O579" s="2500"/>
      <c r="P579" s="2501"/>
      <c r="Q579" s="2542" t="s">
        <v>1174</v>
      </c>
      <c r="R579" s="2518"/>
      <c r="S579" s="2518"/>
      <c r="T579" s="2299" t="s">
        <v>1664</v>
      </c>
      <c r="U579" s="2518">
        <v>3835</v>
      </c>
      <c r="V579" s="2518"/>
      <c r="W579" s="2518"/>
      <c r="X579" s="2299" t="s">
        <v>895</v>
      </c>
      <c r="Y579" s="2518">
        <v>327</v>
      </c>
      <c r="Z579" s="2518"/>
      <c r="AA579" s="2518"/>
      <c r="AB579" s="2301" t="s">
        <v>1180</v>
      </c>
      <c r="AC579" s="2518"/>
      <c r="AD579" s="2518"/>
      <c r="AE579" s="2518"/>
      <c r="AF579" s="1379" t="s">
        <v>1180</v>
      </c>
      <c r="AG579" s="2518"/>
      <c r="AH579" s="2518"/>
      <c r="AI579" s="2519"/>
      <c r="AJ579" s="2520">
        <f t="shared" si="167"/>
        <v>4160</v>
      </c>
      <c r="AK579" s="2521"/>
      <c r="AL579" s="2522"/>
      <c r="AM579" s="2505">
        <v>1</v>
      </c>
      <c r="AN579" s="2506"/>
      <c r="AO579" s="2507"/>
      <c r="AP579" s="2499">
        <f t="shared" si="168"/>
        <v>4160</v>
      </c>
      <c r="AQ579" s="2500"/>
      <c r="AR579" s="2501"/>
      <c r="AS579" s="2555">
        <f ca="1">SUMIF(床・天井!U$6:U$89,F579,床・天井!I$6:I$89)+SUMIF(見積拾!C$142:D$146,F579,見積拾!T$142:T$146)</f>
        <v>0</v>
      </c>
      <c r="AT579" s="2556"/>
      <c r="AU579" s="2556"/>
      <c r="AV579" s="2557"/>
      <c r="AW579" s="2520">
        <f t="shared" ca="1" si="169"/>
        <v>0</v>
      </c>
      <c r="AX579" s="2521"/>
      <c r="AY579" s="2521"/>
      <c r="AZ579" s="2522"/>
      <c r="BA579" s="25" t="b">
        <f t="shared" ca="1" si="170"/>
        <v>0</v>
      </c>
      <c r="BB579"/>
    </row>
    <row r="580" spans="2:54" ht="13.5" customHeight="1">
      <c r="B580" s="2681"/>
      <c r="C580" s="2673"/>
      <c r="D580" s="2682"/>
      <c r="E580" s="1396" t="s">
        <v>893</v>
      </c>
      <c r="F580" s="2500" t="s">
        <v>1829</v>
      </c>
      <c r="G580" s="2500"/>
      <c r="H580" s="2500"/>
      <c r="I580" s="2500"/>
      <c r="J580" s="2500"/>
      <c r="K580" s="2500"/>
      <c r="L580" s="2500"/>
      <c r="M580" s="2500"/>
      <c r="N580" s="2500"/>
      <c r="O580" s="2500"/>
      <c r="P580" s="2501"/>
      <c r="Q580" s="2542">
        <v>4830</v>
      </c>
      <c r="R580" s="2518"/>
      <c r="S580" s="2518"/>
      <c r="T580" s="2299" t="s">
        <v>1664</v>
      </c>
      <c r="U580" s="2518" t="s">
        <v>1173</v>
      </c>
      <c r="V580" s="2518"/>
      <c r="W580" s="2518"/>
      <c r="X580" s="2299" t="s">
        <v>895</v>
      </c>
      <c r="Y580" s="2518">
        <v>1200</v>
      </c>
      <c r="Z580" s="2518"/>
      <c r="AA580" s="2518"/>
      <c r="AB580" s="2301" t="s">
        <v>1180</v>
      </c>
      <c r="AC580" s="2518"/>
      <c r="AD580" s="2518"/>
      <c r="AE580" s="2518"/>
      <c r="AF580" s="1379" t="s">
        <v>1180</v>
      </c>
      <c r="AG580" s="2518"/>
      <c r="AH580" s="2518"/>
      <c r="AI580" s="2519"/>
      <c r="AJ580" s="2520">
        <f t="shared" si="167"/>
        <v>6030</v>
      </c>
      <c r="AK580" s="2521"/>
      <c r="AL580" s="2522"/>
      <c r="AM580" s="2505">
        <v>1</v>
      </c>
      <c r="AN580" s="2506"/>
      <c r="AO580" s="2507"/>
      <c r="AP580" s="2499">
        <f t="shared" si="168"/>
        <v>6030</v>
      </c>
      <c r="AQ580" s="2500"/>
      <c r="AR580" s="2501"/>
      <c r="AS580" s="2555">
        <f ca="1">SUMIF(床・天井!U$6:U$89,F580,床・天井!I$6:I$89)+SUMIF(見積拾!C$142:D$146,F580,見積拾!T$142:T$146)</f>
        <v>0</v>
      </c>
      <c r="AT580" s="2556"/>
      <c r="AU580" s="2556"/>
      <c r="AV580" s="2557"/>
      <c r="AW580" s="2520">
        <f t="shared" ca="1" si="169"/>
        <v>0</v>
      </c>
      <c r="AX580" s="2521"/>
      <c r="AY580" s="2521"/>
      <c r="AZ580" s="2522"/>
      <c r="BA580" s="25" t="b">
        <f t="shared" ca="1" si="170"/>
        <v>0</v>
      </c>
      <c r="BB580"/>
    </row>
    <row r="581" spans="2:54" ht="13.5" customHeight="1">
      <c r="B581" s="2681"/>
      <c r="C581" s="2673"/>
      <c r="D581" s="2682"/>
      <c r="E581" s="327" t="s">
        <v>392</v>
      </c>
      <c r="F581" s="2714" t="s">
        <v>898</v>
      </c>
      <c r="G581" s="2714"/>
      <c r="H581" s="2714"/>
      <c r="I581" s="2714"/>
      <c r="J581" s="2714"/>
      <c r="K581" s="2714"/>
      <c r="L581" s="2714"/>
      <c r="M581" s="2714"/>
      <c r="N581" s="2714"/>
      <c r="O581" s="2714"/>
      <c r="P581" s="2715"/>
      <c r="Q581" s="2718"/>
      <c r="R581" s="2716"/>
      <c r="S581" s="2716"/>
      <c r="T581" s="333" t="s">
        <v>64</v>
      </c>
      <c r="U581" s="2716"/>
      <c r="V581" s="2716"/>
      <c r="W581" s="2716"/>
      <c r="X581" s="333" t="s">
        <v>64</v>
      </c>
      <c r="Y581" s="2716"/>
      <c r="Z581" s="2716"/>
      <c r="AA581" s="2716"/>
      <c r="AB581" s="333" t="s">
        <v>64</v>
      </c>
      <c r="AC581" s="2716"/>
      <c r="AD581" s="2716"/>
      <c r="AE581" s="2716"/>
      <c r="AF581" s="333" t="s">
        <v>64</v>
      </c>
      <c r="AG581" s="2716"/>
      <c r="AH581" s="2716"/>
      <c r="AI581" s="2717"/>
      <c r="AJ581" s="2543">
        <f t="shared" si="167"/>
        <v>0</v>
      </c>
      <c r="AK581" s="2544"/>
      <c r="AL581" s="2545"/>
      <c r="AM581" s="2505">
        <v>1</v>
      </c>
      <c r="AN581" s="2506"/>
      <c r="AO581" s="2507"/>
      <c r="AP581" s="2499">
        <f t="shared" si="168"/>
        <v>0</v>
      </c>
      <c r="AQ581" s="2500"/>
      <c r="AR581" s="2501"/>
      <c r="AS581" s="2555">
        <f ca="1">SUMIF(床・天井!U$6:U$89,F581,床・天井!I$6:I$89)+SUMIF(見積拾!C$142:D$146,F581,見積拾!T$142:T$146)</f>
        <v>0</v>
      </c>
      <c r="AT581" s="2556"/>
      <c r="AU581" s="2556"/>
      <c r="AV581" s="2557"/>
      <c r="AW581" s="2520">
        <f t="shared" ca="1" si="169"/>
        <v>0</v>
      </c>
      <c r="AX581" s="2521"/>
      <c r="AY581" s="2521"/>
      <c r="AZ581" s="2522"/>
      <c r="BA581" s="25" t="b">
        <f t="shared" ca="1" si="170"/>
        <v>0</v>
      </c>
      <c r="BB581"/>
    </row>
    <row r="582" spans="2:54" ht="13.5" customHeight="1">
      <c r="B582" s="2681"/>
      <c r="C582" s="2673"/>
      <c r="D582" s="2682"/>
      <c r="E582" s="327" t="s">
        <v>392</v>
      </c>
      <c r="F582" s="2714" t="s">
        <v>898</v>
      </c>
      <c r="G582" s="2714"/>
      <c r="H582" s="2714"/>
      <c r="I582" s="2714"/>
      <c r="J582" s="2714"/>
      <c r="K582" s="2714"/>
      <c r="L582" s="2714"/>
      <c r="M582" s="2714"/>
      <c r="N582" s="2714"/>
      <c r="O582" s="2714"/>
      <c r="P582" s="2715"/>
      <c r="Q582" s="2718"/>
      <c r="R582" s="2716"/>
      <c r="S582" s="2716"/>
      <c r="T582" s="333" t="s">
        <v>64</v>
      </c>
      <c r="U582" s="2716"/>
      <c r="V582" s="2716"/>
      <c r="W582" s="2716"/>
      <c r="X582" s="333" t="s">
        <v>64</v>
      </c>
      <c r="Y582" s="2716"/>
      <c r="Z582" s="2716"/>
      <c r="AA582" s="2716"/>
      <c r="AB582" s="333" t="s">
        <v>64</v>
      </c>
      <c r="AC582" s="2716"/>
      <c r="AD582" s="2716"/>
      <c r="AE582" s="2716"/>
      <c r="AF582" s="333" t="s">
        <v>64</v>
      </c>
      <c r="AG582" s="2716"/>
      <c r="AH582" s="2716"/>
      <c r="AI582" s="2717"/>
      <c r="AJ582" s="2543">
        <f t="shared" si="167"/>
        <v>0</v>
      </c>
      <c r="AK582" s="2544"/>
      <c r="AL582" s="2545"/>
      <c r="AM582" s="2505">
        <v>1</v>
      </c>
      <c r="AN582" s="2506"/>
      <c r="AO582" s="2507"/>
      <c r="AP582" s="2499">
        <f t="shared" si="168"/>
        <v>0</v>
      </c>
      <c r="AQ582" s="2500"/>
      <c r="AR582" s="2501"/>
      <c r="AS582" s="2555">
        <f ca="1">SUMIF(床・天井!U$6:U$89,F582,床・天井!I$6:I$89)+SUMIF(見積拾!C$142:D$146,F582,見積拾!T$142:T$146)</f>
        <v>0</v>
      </c>
      <c r="AT582" s="2556"/>
      <c r="AU582" s="2556"/>
      <c r="AV582" s="2557"/>
      <c r="AW582" s="2520">
        <f t="shared" ca="1" si="169"/>
        <v>0</v>
      </c>
      <c r="AX582" s="2521"/>
      <c r="AY582" s="2521"/>
      <c r="AZ582" s="2522"/>
      <c r="BA582" s="25" t="b">
        <f t="shared" ca="1" si="170"/>
        <v>0</v>
      </c>
      <c r="BB582"/>
    </row>
    <row r="583" spans="2:54" ht="13.5" customHeight="1">
      <c r="B583" s="2681"/>
      <c r="C583" s="2673"/>
      <c r="D583" s="2682"/>
      <c r="E583" s="327" t="s">
        <v>392</v>
      </c>
      <c r="F583" s="2714" t="s">
        <v>898</v>
      </c>
      <c r="G583" s="2714"/>
      <c r="H583" s="2714"/>
      <c r="I583" s="2714"/>
      <c r="J583" s="2714"/>
      <c r="K583" s="2714"/>
      <c r="L583" s="2714"/>
      <c r="M583" s="2714"/>
      <c r="N583" s="2714"/>
      <c r="O583" s="2714"/>
      <c r="P583" s="2715"/>
      <c r="Q583" s="2718"/>
      <c r="R583" s="2716"/>
      <c r="S583" s="2716"/>
      <c r="T583" s="333" t="s">
        <v>64</v>
      </c>
      <c r="U583" s="2716"/>
      <c r="V583" s="2716"/>
      <c r="W583" s="2716"/>
      <c r="X583" s="333" t="s">
        <v>64</v>
      </c>
      <c r="Y583" s="2716"/>
      <c r="Z583" s="2716"/>
      <c r="AA583" s="2716"/>
      <c r="AB583" s="333" t="s">
        <v>64</v>
      </c>
      <c r="AC583" s="2716"/>
      <c r="AD583" s="2716"/>
      <c r="AE583" s="2716"/>
      <c r="AF583" s="333" t="s">
        <v>64</v>
      </c>
      <c r="AG583" s="2716"/>
      <c r="AH583" s="2716"/>
      <c r="AI583" s="2717"/>
      <c r="AJ583" s="2543">
        <f t="shared" si="167"/>
        <v>0</v>
      </c>
      <c r="AK583" s="2544"/>
      <c r="AL583" s="2545"/>
      <c r="AM583" s="2505">
        <v>1</v>
      </c>
      <c r="AN583" s="2506"/>
      <c r="AO583" s="2507"/>
      <c r="AP583" s="2499">
        <f t="shared" si="168"/>
        <v>0</v>
      </c>
      <c r="AQ583" s="2500"/>
      <c r="AR583" s="2501"/>
      <c r="AS583" s="2555">
        <f ca="1">SUMIF(床・天井!U$6:U$89,F583,床・天井!I$6:I$89)+SUMIF(見積拾!C$142:D$146,F583,見積拾!T$142:T$146)</f>
        <v>0</v>
      </c>
      <c r="AT583" s="2556"/>
      <c r="AU583" s="2556"/>
      <c r="AV583" s="2557"/>
      <c r="AW583" s="2520">
        <f t="shared" ca="1" si="169"/>
        <v>0</v>
      </c>
      <c r="AX583" s="2521"/>
      <c r="AY583" s="2521"/>
      <c r="AZ583" s="2522"/>
      <c r="BA583" s="25" t="b">
        <f t="shared" ca="1" si="170"/>
        <v>0</v>
      </c>
      <c r="BB583"/>
    </row>
    <row r="584" spans="2:54" ht="13.5" customHeight="1">
      <c r="B584" s="2681"/>
      <c r="C584" s="2673"/>
      <c r="D584" s="2682"/>
      <c r="E584" s="327" t="s">
        <v>918</v>
      </c>
      <c r="F584" s="2714" t="s">
        <v>898</v>
      </c>
      <c r="G584" s="2714"/>
      <c r="H584" s="2714"/>
      <c r="I584" s="2714"/>
      <c r="J584" s="2714"/>
      <c r="K584" s="2714"/>
      <c r="L584" s="2714"/>
      <c r="M584" s="2714"/>
      <c r="N584" s="2714"/>
      <c r="O584" s="2714"/>
      <c r="P584" s="2715"/>
      <c r="Q584" s="2718"/>
      <c r="R584" s="2716"/>
      <c r="S584" s="2716"/>
      <c r="T584" s="333" t="s">
        <v>907</v>
      </c>
      <c r="U584" s="2716"/>
      <c r="V584" s="2716"/>
      <c r="W584" s="2716"/>
      <c r="X584" s="333" t="s">
        <v>907</v>
      </c>
      <c r="Y584" s="2716"/>
      <c r="Z584" s="2716"/>
      <c r="AA584" s="2716"/>
      <c r="AB584" s="333" t="s">
        <v>907</v>
      </c>
      <c r="AC584" s="2716"/>
      <c r="AD584" s="2716"/>
      <c r="AE584" s="2716"/>
      <c r="AF584" s="333" t="s">
        <v>907</v>
      </c>
      <c r="AG584" s="2716"/>
      <c r="AH584" s="2716"/>
      <c r="AI584" s="2717"/>
      <c r="AJ584" s="2543">
        <f t="shared" ref="AJ584:AJ596" si="171">ROUNDDOWN(SUM(Q584:AI584),-1)</f>
        <v>0</v>
      </c>
      <c r="AK584" s="2544"/>
      <c r="AL584" s="2545"/>
      <c r="AM584" s="2505">
        <v>1</v>
      </c>
      <c r="AN584" s="2506"/>
      <c r="AO584" s="2507"/>
      <c r="AP584" s="2499">
        <f t="shared" ref="AP584:AP596" si="172">INT(AJ584*AM584)</f>
        <v>0</v>
      </c>
      <c r="AQ584" s="2500"/>
      <c r="AR584" s="2501"/>
      <c r="AS584" s="2555">
        <f ca="1">SUMIF(床・天井!U$6:U$89,F584,床・天井!I$6:I$89)+SUMIF(見積拾!C$142:D$146,F584,見積拾!T$142:T$146)</f>
        <v>0</v>
      </c>
      <c r="AT584" s="2556"/>
      <c r="AU584" s="2556"/>
      <c r="AV584" s="2557"/>
      <c r="AW584" s="2520">
        <f t="shared" ref="AW584:AW596" ca="1" si="173">INT(AP584*AS584)</f>
        <v>0</v>
      </c>
      <c r="AX584" s="2521"/>
      <c r="AY584" s="2521"/>
      <c r="AZ584" s="2522"/>
      <c r="BA584" s="25" t="b">
        <f t="shared" ref="BA584:BA596" ca="1" si="174">AW584&lt;&gt;0</f>
        <v>0</v>
      </c>
      <c r="BB584"/>
    </row>
    <row r="585" spans="2:54" ht="13.5" customHeight="1">
      <c r="B585" s="2681"/>
      <c r="C585" s="2673"/>
      <c r="D585" s="2682"/>
      <c r="E585" s="327" t="s">
        <v>918</v>
      </c>
      <c r="F585" s="2714" t="s">
        <v>898</v>
      </c>
      <c r="G585" s="2714"/>
      <c r="H585" s="2714"/>
      <c r="I585" s="2714"/>
      <c r="J585" s="2714"/>
      <c r="K585" s="2714"/>
      <c r="L585" s="2714"/>
      <c r="M585" s="2714"/>
      <c r="N585" s="2714"/>
      <c r="O585" s="2714"/>
      <c r="P585" s="2715"/>
      <c r="Q585" s="2718"/>
      <c r="R585" s="2716"/>
      <c r="S585" s="2716"/>
      <c r="T585" s="333" t="s">
        <v>907</v>
      </c>
      <c r="U585" s="2716"/>
      <c r="V585" s="2716"/>
      <c r="W585" s="2716"/>
      <c r="X585" s="333" t="s">
        <v>907</v>
      </c>
      <c r="Y585" s="2716"/>
      <c r="Z585" s="2716"/>
      <c r="AA585" s="2716"/>
      <c r="AB585" s="333" t="s">
        <v>907</v>
      </c>
      <c r="AC585" s="2716"/>
      <c r="AD585" s="2716"/>
      <c r="AE585" s="2716"/>
      <c r="AF585" s="333" t="s">
        <v>907</v>
      </c>
      <c r="AG585" s="2716"/>
      <c r="AH585" s="2716"/>
      <c r="AI585" s="2717"/>
      <c r="AJ585" s="2543">
        <f t="shared" si="171"/>
        <v>0</v>
      </c>
      <c r="AK585" s="2544"/>
      <c r="AL585" s="2545"/>
      <c r="AM585" s="2505">
        <v>1</v>
      </c>
      <c r="AN585" s="2506"/>
      <c r="AO585" s="2507"/>
      <c r="AP585" s="2499">
        <f t="shared" si="172"/>
        <v>0</v>
      </c>
      <c r="AQ585" s="2500"/>
      <c r="AR585" s="2501"/>
      <c r="AS585" s="2555">
        <f ca="1">SUMIF(床・天井!U$6:U$89,F585,床・天井!I$6:I$89)+SUMIF(見積拾!C$142:D$146,F585,見積拾!T$142:T$146)</f>
        <v>0</v>
      </c>
      <c r="AT585" s="2556"/>
      <c r="AU585" s="2556"/>
      <c r="AV585" s="2557"/>
      <c r="AW585" s="2520">
        <f t="shared" ca="1" si="173"/>
        <v>0</v>
      </c>
      <c r="AX585" s="2521"/>
      <c r="AY585" s="2521"/>
      <c r="AZ585" s="2522"/>
      <c r="BA585" s="25" t="b">
        <f t="shared" ca="1" si="174"/>
        <v>0</v>
      </c>
      <c r="BB585"/>
    </row>
    <row r="586" spans="2:54" ht="13.5" customHeight="1">
      <c r="B586" s="2681"/>
      <c r="C586" s="2673"/>
      <c r="D586" s="2682"/>
      <c r="E586" s="328" t="s">
        <v>918</v>
      </c>
      <c r="F586" s="3088" t="s">
        <v>898</v>
      </c>
      <c r="G586" s="3088"/>
      <c r="H586" s="3088"/>
      <c r="I586" s="3088"/>
      <c r="J586" s="3088"/>
      <c r="K586" s="3088"/>
      <c r="L586" s="3088"/>
      <c r="M586" s="3088"/>
      <c r="N586" s="3088"/>
      <c r="O586" s="3088"/>
      <c r="P586" s="3089"/>
      <c r="Q586" s="3097"/>
      <c r="R586" s="3098"/>
      <c r="S586" s="3098"/>
      <c r="T586" s="334" t="s">
        <v>907</v>
      </c>
      <c r="U586" s="3098"/>
      <c r="V586" s="3098"/>
      <c r="W586" s="3098"/>
      <c r="X586" s="334" t="s">
        <v>907</v>
      </c>
      <c r="Y586" s="3098"/>
      <c r="Z586" s="3098"/>
      <c r="AA586" s="3098"/>
      <c r="AB586" s="334" t="s">
        <v>907</v>
      </c>
      <c r="AC586" s="3098"/>
      <c r="AD586" s="3098"/>
      <c r="AE586" s="3098"/>
      <c r="AF586" s="334" t="s">
        <v>907</v>
      </c>
      <c r="AG586" s="3098"/>
      <c r="AH586" s="3098"/>
      <c r="AI586" s="3099"/>
      <c r="AJ586" s="2662">
        <f t="shared" si="171"/>
        <v>0</v>
      </c>
      <c r="AK586" s="2663"/>
      <c r="AL586" s="2664"/>
      <c r="AM586" s="2558">
        <v>1</v>
      </c>
      <c r="AN586" s="2559"/>
      <c r="AO586" s="2560"/>
      <c r="AP586" s="2662">
        <f t="shared" si="172"/>
        <v>0</v>
      </c>
      <c r="AQ586" s="2663"/>
      <c r="AR586" s="2664"/>
      <c r="AS586" s="2555">
        <f ca="1">SUMIF(床・天井!U$6:U$89,F586,床・天井!I$6:I$89)+SUMIF(見積拾!C$142:D$146,F586,見積拾!T$142:T$146)</f>
        <v>0</v>
      </c>
      <c r="AT586" s="2556"/>
      <c r="AU586" s="2556"/>
      <c r="AV586" s="2557"/>
      <c r="AW586" s="2665">
        <f t="shared" ca="1" si="173"/>
        <v>0</v>
      </c>
      <c r="AX586" s="2666"/>
      <c r="AY586" s="2666"/>
      <c r="AZ586" s="2667"/>
      <c r="BA586" s="25" t="b">
        <f t="shared" ca="1" si="174"/>
        <v>0</v>
      </c>
      <c r="BB586"/>
    </row>
    <row r="587" spans="2:54" ht="13.5" customHeight="1">
      <c r="B587" s="2681"/>
      <c r="C587" s="2673"/>
      <c r="D587" s="2682"/>
      <c r="E587" s="2789" t="s">
        <v>1271</v>
      </c>
      <c r="F587" s="2790"/>
      <c r="G587" s="335" t="s">
        <v>893</v>
      </c>
      <c r="H587" s="3093" t="s">
        <v>940</v>
      </c>
      <c r="I587" s="3093"/>
      <c r="J587" s="3093"/>
      <c r="K587" s="3093"/>
      <c r="L587" s="3093"/>
      <c r="M587" s="3093"/>
      <c r="N587" s="3093"/>
      <c r="O587" s="3093"/>
      <c r="P587" s="3094"/>
      <c r="Q587" s="2787">
        <v>2900</v>
      </c>
      <c r="R587" s="2728"/>
      <c r="S587" s="2728"/>
      <c r="T587" s="336" t="s">
        <v>64</v>
      </c>
      <c r="U587" s="3096" t="s">
        <v>1173</v>
      </c>
      <c r="V587" s="3096"/>
      <c r="W587" s="3096"/>
      <c r="X587" s="336" t="s">
        <v>64</v>
      </c>
      <c r="Y587" s="3096" t="s">
        <v>1174</v>
      </c>
      <c r="Z587" s="3096"/>
      <c r="AA587" s="3096"/>
      <c r="AB587" s="336" t="s">
        <v>64</v>
      </c>
      <c r="AC587" s="2728"/>
      <c r="AD587" s="2728"/>
      <c r="AE587" s="2728"/>
      <c r="AF587" s="336" t="s">
        <v>64</v>
      </c>
      <c r="AG587" s="2728"/>
      <c r="AH587" s="2728"/>
      <c r="AI587" s="2728"/>
      <c r="AJ587" s="2609">
        <f t="shared" si="171"/>
        <v>2900</v>
      </c>
      <c r="AK587" s="2610"/>
      <c r="AL587" s="2611"/>
      <c r="AM587" s="2644">
        <v>1</v>
      </c>
      <c r="AN587" s="2645"/>
      <c r="AO587" s="2692"/>
      <c r="AP587" s="2651">
        <f t="shared" si="172"/>
        <v>2900</v>
      </c>
      <c r="AQ587" s="2652"/>
      <c r="AR587" s="2653"/>
      <c r="AS587" s="3084">
        <f>SUMIF(床・天井!V$6:V$89,H587,床・天井!I$6:I$89)+SUMIF(床・天井!W$6:W$89,H587,床・天井!I$6:I$89)+SUMIF(見積拾!D$147:D$151,H587,見積拾!T$147:T$151)</f>
        <v>0</v>
      </c>
      <c r="AT587" s="3085"/>
      <c r="AU587" s="3085"/>
      <c r="AV587" s="3086"/>
      <c r="AW587" s="2609">
        <f t="shared" si="173"/>
        <v>0</v>
      </c>
      <c r="AX587" s="2610"/>
      <c r="AY587" s="2610"/>
      <c r="AZ587" s="2611"/>
      <c r="BA587" s="25" t="b">
        <f t="shared" si="174"/>
        <v>0</v>
      </c>
    </row>
    <row r="588" spans="2:54" ht="13.5" customHeight="1">
      <c r="B588" s="2681"/>
      <c r="C588" s="2673"/>
      <c r="D588" s="2682"/>
      <c r="E588" s="2734"/>
      <c r="F588" s="2674"/>
      <c r="G588" s="337" t="s">
        <v>893</v>
      </c>
      <c r="H588" s="2712" t="s">
        <v>941</v>
      </c>
      <c r="I588" s="2712"/>
      <c r="J588" s="2712"/>
      <c r="K588" s="2712"/>
      <c r="L588" s="2712"/>
      <c r="M588" s="2712"/>
      <c r="N588" s="2712"/>
      <c r="O588" s="2712"/>
      <c r="P588" s="2713"/>
      <c r="Q588" s="2694">
        <v>1360</v>
      </c>
      <c r="R588" s="2689"/>
      <c r="S588" s="2689"/>
      <c r="T588" s="326" t="s">
        <v>64</v>
      </c>
      <c r="U588" s="2710" t="s">
        <v>1173</v>
      </c>
      <c r="V588" s="2710"/>
      <c r="W588" s="2710"/>
      <c r="X588" s="326" t="s">
        <v>64</v>
      </c>
      <c r="Y588" s="2710" t="s">
        <v>1174</v>
      </c>
      <c r="Z588" s="2710"/>
      <c r="AA588" s="2710"/>
      <c r="AB588" s="326" t="s">
        <v>64</v>
      </c>
      <c r="AC588" s="2689"/>
      <c r="AD588" s="2689"/>
      <c r="AE588" s="2689"/>
      <c r="AF588" s="326" t="s">
        <v>64</v>
      </c>
      <c r="AG588" s="2689"/>
      <c r="AH588" s="2689"/>
      <c r="AI588" s="2689"/>
      <c r="AJ588" s="2561">
        <f t="shared" si="171"/>
        <v>1360</v>
      </c>
      <c r="AK588" s="2562"/>
      <c r="AL588" s="2563"/>
      <c r="AM588" s="2502">
        <v>1</v>
      </c>
      <c r="AN588" s="2503"/>
      <c r="AO588" s="2504"/>
      <c r="AP588" s="2499">
        <f t="shared" si="172"/>
        <v>1360</v>
      </c>
      <c r="AQ588" s="2500"/>
      <c r="AR588" s="2501"/>
      <c r="AS588" s="2555">
        <f>SUMIF(床・天井!V$6:V$89,H588,床・天井!I$6:I$89)+SUMIF(床・天井!W$6:W$89,H588,床・天井!I$6:I$89)+SUMIF(見積拾!D$147:D$151,H588,見積拾!T$147:T$151)</f>
        <v>0</v>
      </c>
      <c r="AT588" s="2556"/>
      <c r="AU588" s="2556"/>
      <c r="AV588" s="2557"/>
      <c r="AW588" s="2561">
        <f t="shared" si="173"/>
        <v>0</v>
      </c>
      <c r="AX588" s="2562"/>
      <c r="AY588" s="2562"/>
      <c r="AZ588" s="2563"/>
      <c r="BA588" s="25" t="b">
        <f t="shared" si="174"/>
        <v>0</v>
      </c>
    </row>
    <row r="589" spans="2:54" ht="13.5" customHeight="1">
      <c r="B589" s="2681"/>
      <c r="C589" s="2673"/>
      <c r="D589" s="2682"/>
      <c r="E589" s="2734"/>
      <c r="F589" s="2674"/>
      <c r="G589" s="337" t="s">
        <v>893</v>
      </c>
      <c r="H589" s="2712" t="s">
        <v>942</v>
      </c>
      <c r="I589" s="2712"/>
      <c r="J589" s="2712"/>
      <c r="K589" s="2712"/>
      <c r="L589" s="2712"/>
      <c r="M589" s="2712"/>
      <c r="N589" s="2712"/>
      <c r="O589" s="2712"/>
      <c r="P589" s="2713"/>
      <c r="Q589" s="2694">
        <v>930</v>
      </c>
      <c r="R589" s="2689"/>
      <c r="S589" s="2689"/>
      <c r="T589" s="326" t="s">
        <v>64</v>
      </c>
      <c r="U589" s="2710" t="s">
        <v>1173</v>
      </c>
      <c r="V589" s="2710"/>
      <c r="W589" s="2710"/>
      <c r="X589" s="326" t="s">
        <v>64</v>
      </c>
      <c r="Y589" s="2710" t="s">
        <v>1174</v>
      </c>
      <c r="Z589" s="2710"/>
      <c r="AA589" s="2710"/>
      <c r="AB589" s="326" t="s">
        <v>64</v>
      </c>
      <c r="AC589" s="2689"/>
      <c r="AD589" s="2689"/>
      <c r="AE589" s="2689"/>
      <c r="AF589" s="326" t="s">
        <v>64</v>
      </c>
      <c r="AG589" s="2689"/>
      <c r="AH589" s="2689"/>
      <c r="AI589" s="2689"/>
      <c r="AJ589" s="2561">
        <f t="shared" si="171"/>
        <v>930</v>
      </c>
      <c r="AK589" s="2562"/>
      <c r="AL589" s="2563"/>
      <c r="AM589" s="2502">
        <v>1</v>
      </c>
      <c r="AN589" s="2503"/>
      <c r="AO589" s="2504"/>
      <c r="AP589" s="2499">
        <f t="shared" si="172"/>
        <v>930</v>
      </c>
      <c r="AQ589" s="2500"/>
      <c r="AR589" s="2501"/>
      <c r="AS589" s="2555">
        <f>SUMIF(床・天井!V$6:V$89,H589,床・天井!I$6:I$89)+SUMIF(床・天井!W$6:W$89,H589,床・天井!I$6:I$89)+SUMIF(見積拾!D$147:D$151,H589,見積拾!T$147:T$151)</f>
        <v>0</v>
      </c>
      <c r="AT589" s="2556"/>
      <c r="AU589" s="2556"/>
      <c r="AV589" s="2557"/>
      <c r="AW589" s="2561">
        <f t="shared" si="173"/>
        <v>0</v>
      </c>
      <c r="AX589" s="2562"/>
      <c r="AY589" s="2562"/>
      <c r="AZ589" s="2563"/>
      <c r="BA589" s="25" t="b">
        <f t="shared" si="174"/>
        <v>0</v>
      </c>
    </row>
    <row r="590" spans="2:54" s="1929" customFormat="1" ht="13.5" customHeight="1">
      <c r="B590" s="2681"/>
      <c r="C590" s="2673"/>
      <c r="D590" s="2683"/>
      <c r="E590" s="2734"/>
      <c r="F590" s="2791"/>
      <c r="G590" s="337" t="s">
        <v>893</v>
      </c>
      <c r="H590" s="2712" t="s">
        <v>1959</v>
      </c>
      <c r="I590" s="2712"/>
      <c r="J590" s="2712"/>
      <c r="K590" s="2712"/>
      <c r="L590" s="2712"/>
      <c r="M590" s="2712"/>
      <c r="N590" s="2712"/>
      <c r="O590" s="2712"/>
      <c r="P590" s="2713"/>
      <c r="Q590" s="2694">
        <v>1790</v>
      </c>
      <c r="R590" s="2689"/>
      <c r="S590" s="2689"/>
      <c r="T590" s="326" t="s">
        <v>64</v>
      </c>
      <c r="U590" s="2710" t="s">
        <v>1173</v>
      </c>
      <c r="V590" s="2710"/>
      <c r="W590" s="2710"/>
      <c r="X590" s="326" t="s">
        <v>64</v>
      </c>
      <c r="Y590" s="2710" t="s">
        <v>1174</v>
      </c>
      <c r="Z590" s="2710"/>
      <c r="AA590" s="2710"/>
      <c r="AB590" s="326" t="s">
        <v>64</v>
      </c>
      <c r="AC590" s="2689"/>
      <c r="AD590" s="2689"/>
      <c r="AE590" s="2689"/>
      <c r="AF590" s="326" t="s">
        <v>64</v>
      </c>
      <c r="AG590" s="2689"/>
      <c r="AH590" s="2689"/>
      <c r="AI590" s="2689"/>
      <c r="AJ590" s="2561">
        <f t="shared" ref="AJ590:AJ595" si="175">ROUNDDOWN(SUM(Q590:AI590),-1)</f>
        <v>1790</v>
      </c>
      <c r="AK590" s="2562"/>
      <c r="AL590" s="2563"/>
      <c r="AM590" s="2502">
        <v>1</v>
      </c>
      <c r="AN590" s="2503"/>
      <c r="AO590" s="2504"/>
      <c r="AP590" s="2499">
        <f t="shared" si="172"/>
        <v>1790</v>
      </c>
      <c r="AQ590" s="2500"/>
      <c r="AR590" s="2501"/>
      <c r="AS590" s="2555">
        <f>SUMIF(床・天井!V$6:V$89,H590,床・天井!I$6:I$89)+SUMIF(床・天井!W$6:W$89,H590,床・天井!I$6:I$89)+SUMIF(見積拾!D$147:D$151,H590,見積拾!T$147:T$151)</f>
        <v>0</v>
      </c>
      <c r="AT590" s="2556"/>
      <c r="AU590" s="2556"/>
      <c r="AV590" s="2557"/>
      <c r="AW590" s="2561">
        <f t="shared" si="173"/>
        <v>0</v>
      </c>
      <c r="AX590" s="2562"/>
      <c r="AY590" s="2562"/>
      <c r="AZ590" s="2563"/>
      <c r="BA590" s="25" t="b">
        <f t="shared" si="174"/>
        <v>0</v>
      </c>
    </row>
    <row r="591" spans="2:54" s="1929" customFormat="1" ht="13.5" customHeight="1">
      <c r="B591" s="2681"/>
      <c r="C591" s="2673"/>
      <c r="D591" s="2683"/>
      <c r="E591" s="2734"/>
      <c r="F591" s="2791"/>
      <c r="G591" s="337" t="s">
        <v>893</v>
      </c>
      <c r="H591" s="2712" t="s">
        <v>1960</v>
      </c>
      <c r="I591" s="2712"/>
      <c r="J591" s="2712"/>
      <c r="K591" s="2712"/>
      <c r="L591" s="2712"/>
      <c r="M591" s="2712"/>
      <c r="N591" s="2712"/>
      <c r="O591" s="2712"/>
      <c r="P591" s="2713"/>
      <c r="Q591" s="2694">
        <v>990</v>
      </c>
      <c r="R591" s="2689"/>
      <c r="S591" s="2689"/>
      <c r="T591" s="326" t="s">
        <v>64</v>
      </c>
      <c r="U591" s="2710" t="s">
        <v>1173</v>
      </c>
      <c r="V591" s="2710"/>
      <c r="W591" s="2710"/>
      <c r="X591" s="326" t="s">
        <v>64</v>
      </c>
      <c r="Y591" s="2710" t="s">
        <v>1174</v>
      </c>
      <c r="Z591" s="2710"/>
      <c r="AA591" s="2710"/>
      <c r="AB591" s="326" t="s">
        <v>64</v>
      </c>
      <c r="AC591" s="2689"/>
      <c r="AD591" s="2689"/>
      <c r="AE591" s="2689"/>
      <c r="AF591" s="326" t="s">
        <v>64</v>
      </c>
      <c r="AG591" s="2689"/>
      <c r="AH591" s="2689"/>
      <c r="AI591" s="2689"/>
      <c r="AJ591" s="2561">
        <f t="shared" si="175"/>
        <v>990</v>
      </c>
      <c r="AK591" s="2562"/>
      <c r="AL591" s="2563"/>
      <c r="AM591" s="2502">
        <v>1</v>
      </c>
      <c r="AN591" s="2503"/>
      <c r="AO591" s="2504"/>
      <c r="AP591" s="2499">
        <f t="shared" si="172"/>
        <v>990</v>
      </c>
      <c r="AQ591" s="2500"/>
      <c r="AR591" s="2501"/>
      <c r="AS591" s="2555">
        <f>SUMIF(床・天井!V$6:V$89,H591,床・天井!I$6:I$89)+SUMIF(床・天井!W$6:W$89,H591,床・天井!I$6:I$89)+SUMIF(見積拾!D$147:D$151,H591,見積拾!T$147:T$151)</f>
        <v>0</v>
      </c>
      <c r="AT591" s="2556"/>
      <c r="AU591" s="2556"/>
      <c r="AV591" s="2557"/>
      <c r="AW591" s="2561">
        <f t="shared" si="173"/>
        <v>0</v>
      </c>
      <c r="AX591" s="2562"/>
      <c r="AY591" s="2562"/>
      <c r="AZ591" s="2563"/>
      <c r="BA591" s="25" t="b">
        <f t="shared" si="174"/>
        <v>0</v>
      </c>
    </row>
    <row r="592" spans="2:54" s="1929" customFormat="1" ht="13.5" customHeight="1">
      <c r="B592" s="2681"/>
      <c r="C592" s="2673"/>
      <c r="D592" s="2683"/>
      <c r="E592" s="2734"/>
      <c r="F592" s="2791"/>
      <c r="G592" s="337" t="s">
        <v>893</v>
      </c>
      <c r="H592" s="2712" t="s">
        <v>1961</v>
      </c>
      <c r="I592" s="2712"/>
      <c r="J592" s="2712"/>
      <c r="K592" s="2712"/>
      <c r="L592" s="2712"/>
      <c r="M592" s="2712"/>
      <c r="N592" s="2712"/>
      <c r="O592" s="2712"/>
      <c r="P592" s="2713"/>
      <c r="Q592" s="2694">
        <v>1750</v>
      </c>
      <c r="R592" s="2689"/>
      <c r="S592" s="2689"/>
      <c r="T592" s="326" t="s">
        <v>64</v>
      </c>
      <c r="U592" s="2710" t="s">
        <v>1173</v>
      </c>
      <c r="V592" s="2710"/>
      <c r="W592" s="2710"/>
      <c r="X592" s="326" t="s">
        <v>64</v>
      </c>
      <c r="Y592" s="2710" t="s">
        <v>1174</v>
      </c>
      <c r="Z592" s="2710"/>
      <c r="AA592" s="2710"/>
      <c r="AB592" s="326" t="s">
        <v>64</v>
      </c>
      <c r="AC592" s="2689"/>
      <c r="AD592" s="2689"/>
      <c r="AE592" s="2689"/>
      <c r="AF592" s="326" t="s">
        <v>64</v>
      </c>
      <c r="AG592" s="2689"/>
      <c r="AH592" s="2689"/>
      <c r="AI592" s="2689"/>
      <c r="AJ592" s="2561">
        <f t="shared" si="175"/>
        <v>1750</v>
      </c>
      <c r="AK592" s="2562"/>
      <c r="AL592" s="2563"/>
      <c r="AM592" s="2502">
        <v>1</v>
      </c>
      <c r="AN592" s="2503"/>
      <c r="AO592" s="2504"/>
      <c r="AP592" s="2499">
        <f t="shared" si="172"/>
        <v>1750</v>
      </c>
      <c r="AQ592" s="2500"/>
      <c r="AR592" s="2501"/>
      <c r="AS592" s="2555">
        <f>SUMIF(床・天井!V$6:V$89,H592,床・天井!I$6:I$89)+SUMIF(床・天井!W$6:W$89,H592,床・天井!I$6:I$89)+SUMIF(見積拾!D$147:D$151,H592,見積拾!T$147:T$151)</f>
        <v>0</v>
      </c>
      <c r="AT592" s="2556"/>
      <c r="AU592" s="2556"/>
      <c r="AV592" s="2557"/>
      <c r="AW592" s="2561">
        <f t="shared" si="173"/>
        <v>0</v>
      </c>
      <c r="AX592" s="2562"/>
      <c r="AY592" s="2562"/>
      <c r="AZ592" s="2563"/>
      <c r="BA592" s="25" t="b">
        <f t="shared" si="174"/>
        <v>0</v>
      </c>
    </row>
    <row r="593" spans="1:54" s="1929" customFormat="1" ht="13.5" customHeight="1">
      <c r="B593" s="2681"/>
      <c r="C593" s="2673"/>
      <c r="D593" s="2683"/>
      <c r="E593" s="2734"/>
      <c r="F593" s="2791"/>
      <c r="G593" s="337" t="s">
        <v>893</v>
      </c>
      <c r="H593" s="2712" t="s">
        <v>1962</v>
      </c>
      <c r="I593" s="2712"/>
      <c r="J593" s="2712"/>
      <c r="K593" s="2712"/>
      <c r="L593" s="2712"/>
      <c r="M593" s="2712"/>
      <c r="N593" s="2712"/>
      <c r="O593" s="2712"/>
      <c r="P593" s="2713"/>
      <c r="Q593" s="2694">
        <v>810</v>
      </c>
      <c r="R593" s="2689"/>
      <c r="S593" s="2689"/>
      <c r="T593" s="326" t="s">
        <v>64</v>
      </c>
      <c r="U593" s="2710" t="s">
        <v>1173</v>
      </c>
      <c r="V593" s="2710"/>
      <c r="W593" s="2710"/>
      <c r="X593" s="326" t="s">
        <v>64</v>
      </c>
      <c r="Y593" s="2710" t="s">
        <v>1174</v>
      </c>
      <c r="Z593" s="2710"/>
      <c r="AA593" s="2710"/>
      <c r="AB593" s="326" t="s">
        <v>64</v>
      </c>
      <c r="AC593" s="2689"/>
      <c r="AD593" s="2689"/>
      <c r="AE593" s="2689"/>
      <c r="AF593" s="326" t="s">
        <v>64</v>
      </c>
      <c r="AG593" s="2689"/>
      <c r="AH593" s="2689"/>
      <c r="AI593" s="2689"/>
      <c r="AJ593" s="2561">
        <f t="shared" si="175"/>
        <v>810</v>
      </c>
      <c r="AK593" s="2562"/>
      <c r="AL593" s="2563"/>
      <c r="AM593" s="2502">
        <v>1</v>
      </c>
      <c r="AN593" s="2503"/>
      <c r="AO593" s="2504"/>
      <c r="AP593" s="2499">
        <f t="shared" si="172"/>
        <v>810</v>
      </c>
      <c r="AQ593" s="2500"/>
      <c r="AR593" s="2501"/>
      <c r="AS593" s="2555">
        <f>SUMIF(床・天井!V$6:V$89,H593,床・天井!I$6:I$89)+SUMIF(床・天井!W$6:W$89,H593,床・天井!I$6:I$89)+SUMIF(見積拾!D$147:D$151,H593,見積拾!T$147:T$151)</f>
        <v>0</v>
      </c>
      <c r="AT593" s="2556"/>
      <c r="AU593" s="2556"/>
      <c r="AV593" s="2557"/>
      <c r="AW593" s="2561">
        <f t="shared" si="173"/>
        <v>0</v>
      </c>
      <c r="AX593" s="2562"/>
      <c r="AY593" s="2562"/>
      <c r="AZ593" s="2563"/>
      <c r="BA593" s="25" t="b">
        <f t="shared" si="174"/>
        <v>0</v>
      </c>
    </row>
    <row r="594" spans="1:54" s="1929" customFormat="1" ht="13.5" customHeight="1">
      <c r="B594" s="2681"/>
      <c r="C594" s="2673"/>
      <c r="D594" s="2683"/>
      <c r="E594" s="2734"/>
      <c r="F594" s="2791"/>
      <c r="G594" s="337" t="s">
        <v>893</v>
      </c>
      <c r="H594" s="2712" t="s">
        <v>1270</v>
      </c>
      <c r="I594" s="2712"/>
      <c r="J594" s="2712"/>
      <c r="K594" s="2712"/>
      <c r="L594" s="2712"/>
      <c r="M594" s="2712"/>
      <c r="N594" s="2712"/>
      <c r="O594" s="2712"/>
      <c r="P594" s="2713"/>
      <c r="Q594" s="2694">
        <v>1880</v>
      </c>
      <c r="R594" s="2689"/>
      <c r="S594" s="2689"/>
      <c r="T594" s="326" t="s">
        <v>64</v>
      </c>
      <c r="U594" s="2710" t="s">
        <v>1173</v>
      </c>
      <c r="V594" s="2710"/>
      <c r="W594" s="2710"/>
      <c r="X594" s="326" t="s">
        <v>64</v>
      </c>
      <c r="Y594" s="2710" t="s">
        <v>1174</v>
      </c>
      <c r="Z594" s="2710"/>
      <c r="AA594" s="2710"/>
      <c r="AB594" s="326" t="s">
        <v>64</v>
      </c>
      <c r="AC594" s="2689"/>
      <c r="AD594" s="2689"/>
      <c r="AE594" s="2689"/>
      <c r="AF594" s="326" t="s">
        <v>64</v>
      </c>
      <c r="AG594" s="2689"/>
      <c r="AH594" s="2689"/>
      <c r="AI594" s="2689"/>
      <c r="AJ594" s="2561">
        <f t="shared" si="175"/>
        <v>1880</v>
      </c>
      <c r="AK594" s="2562"/>
      <c r="AL594" s="2563"/>
      <c r="AM594" s="2502">
        <v>1</v>
      </c>
      <c r="AN594" s="2503"/>
      <c r="AO594" s="2504"/>
      <c r="AP594" s="2499">
        <f t="shared" si="172"/>
        <v>1880</v>
      </c>
      <c r="AQ594" s="2500"/>
      <c r="AR594" s="2501"/>
      <c r="AS594" s="2555">
        <f>SUMIF(床・天井!V$6:V$89,H594,床・天井!I$6:I$89)+SUMIF(床・天井!W$6:W$89,H594,床・天井!I$6:I$89)+SUMIF(見積拾!D$147:D$151,H594,見積拾!T$147:T$151)</f>
        <v>0</v>
      </c>
      <c r="AT594" s="2556"/>
      <c r="AU594" s="2556"/>
      <c r="AV594" s="2557"/>
      <c r="AW594" s="2561">
        <f t="shared" si="173"/>
        <v>0</v>
      </c>
      <c r="AX594" s="2562"/>
      <c r="AY594" s="2562"/>
      <c r="AZ594" s="2563"/>
      <c r="BA594" s="25" t="b">
        <f t="shared" si="174"/>
        <v>0</v>
      </c>
    </row>
    <row r="595" spans="1:54" s="1929" customFormat="1" ht="13.5" customHeight="1">
      <c r="B595" s="2681"/>
      <c r="C595" s="2673"/>
      <c r="D595" s="2683"/>
      <c r="E595" s="2734"/>
      <c r="F595" s="2791"/>
      <c r="G595" s="337" t="s">
        <v>893</v>
      </c>
      <c r="H595" s="2712" t="s">
        <v>1963</v>
      </c>
      <c r="I595" s="2712"/>
      <c r="J595" s="2712"/>
      <c r="K595" s="2712"/>
      <c r="L595" s="2712"/>
      <c r="M595" s="2712"/>
      <c r="N595" s="2712"/>
      <c r="O595" s="2712"/>
      <c r="P595" s="2713"/>
      <c r="Q595" s="2694">
        <v>730</v>
      </c>
      <c r="R595" s="2689"/>
      <c r="S595" s="2689"/>
      <c r="T595" s="326" t="s">
        <v>64</v>
      </c>
      <c r="U595" s="2710" t="s">
        <v>1173</v>
      </c>
      <c r="V595" s="2710"/>
      <c r="W595" s="2710"/>
      <c r="X595" s="326" t="s">
        <v>64</v>
      </c>
      <c r="Y595" s="2710" t="s">
        <v>1174</v>
      </c>
      <c r="Z595" s="2710"/>
      <c r="AA595" s="2710"/>
      <c r="AB595" s="326" t="s">
        <v>64</v>
      </c>
      <c r="AC595" s="2689"/>
      <c r="AD595" s="2689"/>
      <c r="AE595" s="2689"/>
      <c r="AF595" s="326" t="s">
        <v>64</v>
      </c>
      <c r="AG595" s="2689"/>
      <c r="AH595" s="2689"/>
      <c r="AI595" s="2689"/>
      <c r="AJ595" s="2561">
        <f t="shared" si="175"/>
        <v>730</v>
      </c>
      <c r="AK595" s="2562"/>
      <c r="AL595" s="2563"/>
      <c r="AM595" s="2502">
        <v>1</v>
      </c>
      <c r="AN595" s="2503"/>
      <c r="AO595" s="2504"/>
      <c r="AP595" s="2499">
        <f t="shared" si="172"/>
        <v>730</v>
      </c>
      <c r="AQ595" s="2500"/>
      <c r="AR595" s="2501"/>
      <c r="AS595" s="2555">
        <f>SUMIF(床・天井!V$6:V$89,H595,床・天井!I$6:I$89)+SUMIF(床・天井!W$6:W$89,H595,床・天井!I$6:I$89)+SUMIF(見積拾!D$147:D$151,H595,見積拾!T$147:T$151)</f>
        <v>0</v>
      </c>
      <c r="AT595" s="2556"/>
      <c r="AU595" s="2556"/>
      <c r="AV595" s="2557"/>
      <c r="AW595" s="2561">
        <f t="shared" si="173"/>
        <v>0</v>
      </c>
      <c r="AX595" s="2562"/>
      <c r="AY595" s="2562"/>
      <c r="AZ595" s="2563"/>
      <c r="BA595" s="25" t="b">
        <f t="shared" si="174"/>
        <v>0</v>
      </c>
    </row>
    <row r="596" spans="1:54" ht="13.5" customHeight="1" thickBot="1">
      <c r="B596" s="2681"/>
      <c r="C596" s="2673"/>
      <c r="D596" s="2682"/>
      <c r="E596" s="2734"/>
      <c r="F596" s="2674"/>
      <c r="G596" s="338" t="s">
        <v>65</v>
      </c>
      <c r="H596" s="3090" t="s">
        <v>943</v>
      </c>
      <c r="I596" s="3090"/>
      <c r="J596" s="3090"/>
      <c r="K596" s="3090"/>
      <c r="L596" s="3090"/>
      <c r="M596" s="3090"/>
      <c r="N596" s="3090"/>
      <c r="O596" s="3090"/>
      <c r="P596" s="3091"/>
      <c r="Q596" s="3092"/>
      <c r="R596" s="2688"/>
      <c r="S596" s="2688"/>
      <c r="T596" s="332"/>
      <c r="U596" s="2688"/>
      <c r="V596" s="2688"/>
      <c r="W596" s="2688"/>
      <c r="X596" s="332"/>
      <c r="Y596" s="2688"/>
      <c r="Z596" s="2688"/>
      <c r="AA596" s="2688"/>
      <c r="AB596" s="332"/>
      <c r="AC596" s="2688"/>
      <c r="AD596" s="2688"/>
      <c r="AE596" s="2688"/>
      <c r="AF596" s="332"/>
      <c r="AG596" s="2688"/>
      <c r="AH596" s="2688"/>
      <c r="AI596" s="2688"/>
      <c r="AJ596" s="2662">
        <f t="shared" si="171"/>
        <v>0</v>
      </c>
      <c r="AK596" s="2663"/>
      <c r="AL596" s="2664"/>
      <c r="AM596" s="2558">
        <v>1</v>
      </c>
      <c r="AN596" s="2559"/>
      <c r="AO596" s="2560"/>
      <c r="AP596" s="2662">
        <f t="shared" si="172"/>
        <v>0</v>
      </c>
      <c r="AQ596" s="2663"/>
      <c r="AR596" s="2664"/>
      <c r="AS596" s="2721"/>
      <c r="AT596" s="2722"/>
      <c r="AU596" s="2722"/>
      <c r="AV596" s="2723"/>
      <c r="AW596" s="2665">
        <f t="shared" si="173"/>
        <v>0</v>
      </c>
      <c r="AX596" s="2666"/>
      <c r="AY596" s="2666"/>
      <c r="AZ596" s="2667"/>
      <c r="BA596" s="25" t="b">
        <f t="shared" si="174"/>
        <v>0</v>
      </c>
      <c r="BB596"/>
    </row>
    <row r="597" spans="1:54" ht="13.5" customHeight="1" thickBot="1">
      <c r="B597" s="2684"/>
      <c r="C597" s="2685"/>
      <c r="D597" s="2686"/>
      <c r="E597" s="329"/>
      <c r="F597" s="330"/>
      <c r="G597" s="330"/>
      <c r="H597" s="330"/>
      <c r="I597" s="330"/>
      <c r="J597" s="330"/>
      <c r="K597" s="330"/>
      <c r="L597" s="330"/>
      <c r="M597" s="330"/>
      <c r="N597" s="330"/>
      <c r="O597" s="330"/>
      <c r="P597" s="330"/>
      <c r="Q597" s="329"/>
      <c r="R597" s="330"/>
      <c r="S597" s="330"/>
      <c r="T597" s="330"/>
      <c r="U597" s="330"/>
      <c r="V597" s="330"/>
      <c r="W597" s="330"/>
      <c r="X597" s="330"/>
      <c r="Y597" s="330"/>
      <c r="Z597" s="330"/>
      <c r="AA597" s="330"/>
      <c r="AB597" s="330"/>
      <c r="AC597" s="330"/>
      <c r="AD597" s="330"/>
      <c r="AE597" s="330"/>
      <c r="AF597" s="330"/>
      <c r="AG597" s="330"/>
      <c r="AH597" s="330"/>
      <c r="AI597" s="331"/>
      <c r="AJ597" s="3076" t="str">
        <f ca="1">IF(AS597=床・天井!U91+見積拾!T152,"面積合計及び部分別評点数","補助票と面積が違います！")</f>
        <v>面積合計及び部分別評点数</v>
      </c>
      <c r="AK597" s="3077"/>
      <c r="AL597" s="3077"/>
      <c r="AM597" s="3077"/>
      <c r="AN597" s="3077"/>
      <c r="AO597" s="3077"/>
      <c r="AP597" s="3077"/>
      <c r="AQ597" s="3077"/>
      <c r="AR597" s="3078"/>
      <c r="AS597" s="3065">
        <f ca="1">SUM(AS544:AV586)</f>
        <v>0</v>
      </c>
      <c r="AT597" s="3066"/>
      <c r="AU597" s="3066"/>
      <c r="AV597" s="3067"/>
      <c r="AW597" s="2668">
        <f ca="1">SUM(AW543:AZ596)</f>
        <v>0</v>
      </c>
      <c r="AX597" s="2668"/>
      <c r="AY597" s="2668"/>
      <c r="AZ597" s="2669"/>
      <c r="BA597" s="25" t="b">
        <v>1</v>
      </c>
      <c r="BB597"/>
    </row>
    <row r="598" spans="1:54" ht="13.5" customHeight="1">
      <c r="BA598" s="25" t="b">
        <v>0</v>
      </c>
      <c r="BB598"/>
    </row>
    <row r="599" spans="1:54" ht="13.5" customHeight="1">
      <c r="BA599" s="25" t="b">
        <v>0</v>
      </c>
      <c r="BB599"/>
    </row>
    <row r="600" spans="1:54" ht="13.5" customHeight="1">
      <c r="C600" s="26" t="s">
        <v>959</v>
      </c>
      <c r="D600" s="27"/>
      <c r="E600" s="27"/>
      <c r="F600" s="27"/>
      <c r="G600" s="27"/>
      <c r="H600" s="27"/>
      <c r="I600" s="27"/>
      <c r="J600" s="27"/>
      <c r="BA600" s="25" t="b">
        <v>0</v>
      </c>
      <c r="BB600"/>
    </row>
    <row r="601" spans="1:54" ht="13.5" customHeight="1">
      <c r="BA601" s="25" t="b">
        <v>0</v>
      </c>
      <c r="BB601"/>
    </row>
    <row r="602" spans="1:54" ht="13.5" customHeight="1">
      <c r="B602" s="137"/>
      <c r="C602" s="138"/>
      <c r="D602" s="139"/>
      <c r="E602" s="291" t="s">
        <v>759</v>
      </c>
      <c r="F602" s="292"/>
      <c r="G602" s="292"/>
      <c r="H602" s="292"/>
      <c r="I602" s="292"/>
      <c r="J602" s="292"/>
      <c r="K602" s="292"/>
      <c r="L602" s="292"/>
      <c r="M602" s="292"/>
      <c r="N602" s="292"/>
      <c r="O602" s="292"/>
      <c r="P602" s="293"/>
      <c r="Q602" s="292" t="s">
        <v>885</v>
      </c>
      <c r="R602" s="292"/>
      <c r="S602" s="292"/>
      <c r="T602" s="320"/>
      <c r="U602" s="292" t="s">
        <v>886</v>
      </c>
      <c r="V602" s="292"/>
      <c r="W602" s="292"/>
      <c r="X602" s="320"/>
      <c r="Y602" s="292" t="s">
        <v>887</v>
      </c>
      <c r="Z602" s="292"/>
      <c r="AA602" s="292"/>
      <c r="AB602" s="320"/>
      <c r="AC602" s="292" t="s">
        <v>888</v>
      </c>
      <c r="AD602" s="292"/>
      <c r="AE602" s="292"/>
      <c r="AF602" s="292" t="s">
        <v>888</v>
      </c>
      <c r="AG602" s="292"/>
      <c r="AH602" s="293"/>
      <c r="AI602" s="293"/>
      <c r="AJ602" s="291" t="s">
        <v>889</v>
      </c>
      <c r="AK602" s="292"/>
      <c r="AL602" s="293"/>
      <c r="AM602" s="291" t="s">
        <v>765</v>
      </c>
      <c r="AN602" s="292"/>
      <c r="AO602" s="293"/>
      <c r="AP602" s="291" t="s">
        <v>890</v>
      </c>
      <c r="AQ602" s="292"/>
      <c r="AR602" s="293"/>
      <c r="AS602" s="294" t="s">
        <v>891</v>
      </c>
      <c r="AT602" s="291"/>
      <c r="AU602" s="291"/>
      <c r="AV602" s="291"/>
      <c r="AW602" s="2658" t="s">
        <v>762</v>
      </c>
      <c r="AX602" s="2658"/>
      <c r="AY602" s="2658"/>
      <c r="AZ602" s="2658"/>
      <c r="BA602" s="25" t="b">
        <v>0</v>
      </c>
      <c r="BB602"/>
    </row>
    <row r="603" spans="1:54" ht="13.5" customHeight="1">
      <c r="A603">
        <f>ROW()</f>
        <v>603</v>
      </c>
      <c r="B603" s="2681" t="s">
        <v>960</v>
      </c>
      <c r="C603" s="2673"/>
      <c r="D603" s="2682"/>
      <c r="E603" s="322" t="s">
        <v>893</v>
      </c>
      <c r="F603" s="3100" t="s">
        <v>914</v>
      </c>
      <c r="G603" s="3100"/>
      <c r="H603" s="3100"/>
      <c r="I603" s="3100"/>
      <c r="J603" s="3100"/>
      <c r="K603" s="3100"/>
      <c r="L603" s="3100"/>
      <c r="M603" s="3100"/>
      <c r="N603" s="3100"/>
      <c r="O603" s="3100"/>
      <c r="P603" s="3101"/>
      <c r="Q603" s="2733"/>
      <c r="R603" s="2691"/>
      <c r="S603" s="2691"/>
      <c r="T603" s="2303"/>
      <c r="U603" s="2691"/>
      <c r="V603" s="2691"/>
      <c r="W603" s="2691"/>
      <c r="X603" s="2303"/>
      <c r="Y603" s="2691"/>
      <c r="Z603" s="2691"/>
      <c r="AA603" s="2691"/>
      <c r="AB603" s="1398"/>
      <c r="AC603" s="2691"/>
      <c r="AD603" s="2691"/>
      <c r="AE603" s="2691"/>
      <c r="AF603" s="1399"/>
      <c r="AG603" s="3075"/>
      <c r="AH603" s="3075"/>
      <c r="AI603" s="3102"/>
      <c r="AJ603" s="2543">
        <f t="shared" ref="AJ603:AJ630" si="176">ROUNDDOWN(SUM(Q603:AI603),-1)</f>
        <v>0</v>
      </c>
      <c r="AK603" s="2544"/>
      <c r="AL603" s="2545"/>
      <c r="AM603" s="2505">
        <v>1</v>
      </c>
      <c r="AN603" s="2506"/>
      <c r="AO603" s="2507"/>
      <c r="AP603" s="2543">
        <f t="shared" ref="AP603:AP630" si="177">INT(AJ603*AM603)</f>
        <v>0</v>
      </c>
      <c r="AQ603" s="2544"/>
      <c r="AR603" s="2545"/>
      <c r="AS603" s="2659"/>
      <c r="AT603" s="2660"/>
      <c r="AU603" s="2660"/>
      <c r="AV603" s="2661"/>
      <c r="AW603" s="2520">
        <f t="shared" ref="AW603:AW630" si="178">INT(AP603*AS603)</f>
        <v>0</v>
      </c>
      <c r="AX603" s="2521"/>
      <c r="AY603" s="2521"/>
      <c r="AZ603" s="2522"/>
      <c r="BA603" s="25" t="b">
        <f ca="1">AW659=0</f>
        <v>1</v>
      </c>
      <c r="BB603"/>
    </row>
    <row r="604" spans="1:54" ht="13.5" customHeight="1">
      <c r="B604" s="2681"/>
      <c r="C604" s="2673"/>
      <c r="D604" s="2682"/>
      <c r="E604" s="322" t="s">
        <v>893</v>
      </c>
      <c r="F604" s="2500" t="s">
        <v>1830</v>
      </c>
      <c r="G604" s="2500"/>
      <c r="H604" s="2500"/>
      <c r="I604" s="2500"/>
      <c r="J604" s="2500"/>
      <c r="K604" s="2500"/>
      <c r="L604" s="2500"/>
      <c r="M604" s="2500"/>
      <c r="N604" s="2500"/>
      <c r="O604" s="2500"/>
      <c r="P604" s="2501"/>
      <c r="Q604" s="2542">
        <v>2165</v>
      </c>
      <c r="R604" s="2518"/>
      <c r="S604" s="2518"/>
      <c r="T604" s="2299" t="s">
        <v>1664</v>
      </c>
      <c r="U604" s="2518" t="s">
        <v>1173</v>
      </c>
      <c r="V604" s="2518"/>
      <c r="W604" s="2518"/>
      <c r="X604" s="2299" t="s">
        <v>895</v>
      </c>
      <c r="Y604" s="2518">
        <v>5290</v>
      </c>
      <c r="Z604" s="2518"/>
      <c r="AA604" s="2518"/>
      <c r="AB604" s="1380" t="s">
        <v>961</v>
      </c>
      <c r="AC604" s="2518"/>
      <c r="AD604" s="2518"/>
      <c r="AE604" s="2518"/>
      <c r="AF604" s="1380" t="s">
        <v>961</v>
      </c>
      <c r="AG604" s="2518"/>
      <c r="AH604" s="2518"/>
      <c r="AI604" s="2519"/>
      <c r="AJ604" s="2520">
        <f t="shared" si="176"/>
        <v>7450</v>
      </c>
      <c r="AK604" s="2521"/>
      <c r="AL604" s="2522"/>
      <c r="AM604" s="2505">
        <v>1</v>
      </c>
      <c r="AN604" s="2506"/>
      <c r="AO604" s="2507"/>
      <c r="AP604" s="2561">
        <f t="shared" si="177"/>
        <v>7450</v>
      </c>
      <c r="AQ604" s="2562"/>
      <c r="AR604" s="2563"/>
      <c r="AS604" s="2555">
        <f ca="1">SUMIF(基礎・屋根・外壁!B$85:AE$85,F604,基礎・屋根・外壁!B$91:AE$91)+SUMIF(基礎・屋根・外壁!B$111:AE$111,F604,基礎・屋根・外壁!B$117:AE$117)+SUMIF(見積拾!C$160:D$164,F604,見積拾!T$160:T$164)</f>
        <v>0</v>
      </c>
      <c r="AT604" s="2556"/>
      <c r="AU604" s="2556"/>
      <c r="AV604" s="2557"/>
      <c r="AW604" s="2520">
        <f t="shared" ca="1" si="178"/>
        <v>0</v>
      </c>
      <c r="AX604" s="2521"/>
      <c r="AY604" s="2521"/>
      <c r="AZ604" s="2522"/>
      <c r="BA604" s="25" t="b">
        <f t="shared" ref="BA604:BA631" ca="1" si="179">AW604&lt;&gt;0</f>
        <v>0</v>
      </c>
      <c r="BB604"/>
    </row>
    <row r="605" spans="1:54" ht="13.5" customHeight="1">
      <c r="B605" s="2681"/>
      <c r="C605" s="2673"/>
      <c r="D605" s="2682"/>
      <c r="E605" s="322" t="s">
        <v>893</v>
      </c>
      <c r="F605" s="2500" t="s">
        <v>1831</v>
      </c>
      <c r="G605" s="2500"/>
      <c r="H605" s="2500"/>
      <c r="I605" s="2500"/>
      <c r="J605" s="2500"/>
      <c r="K605" s="2500"/>
      <c r="L605" s="2500"/>
      <c r="M605" s="2500"/>
      <c r="N605" s="2500"/>
      <c r="O605" s="2500"/>
      <c r="P605" s="2501"/>
      <c r="Q605" s="2542">
        <v>4180</v>
      </c>
      <c r="R605" s="2518"/>
      <c r="S605" s="2518"/>
      <c r="T605" s="2299" t="s">
        <v>1664</v>
      </c>
      <c r="U605" s="2518" t="s">
        <v>1173</v>
      </c>
      <c r="V605" s="2518"/>
      <c r="W605" s="2518"/>
      <c r="X605" s="2299" t="s">
        <v>895</v>
      </c>
      <c r="Y605" s="2518">
        <v>1710</v>
      </c>
      <c r="Z605" s="2518"/>
      <c r="AA605" s="2518"/>
      <c r="AB605" s="1380" t="s">
        <v>904</v>
      </c>
      <c r="AC605" s="2518"/>
      <c r="AD605" s="2518"/>
      <c r="AE605" s="2518"/>
      <c r="AF605" s="1380" t="s">
        <v>904</v>
      </c>
      <c r="AG605" s="2518"/>
      <c r="AH605" s="2518"/>
      <c r="AI605" s="2519"/>
      <c r="AJ605" s="2520">
        <f t="shared" si="176"/>
        <v>5890</v>
      </c>
      <c r="AK605" s="2521"/>
      <c r="AL605" s="2522"/>
      <c r="AM605" s="2505">
        <v>1</v>
      </c>
      <c r="AN605" s="2506"/>
      <c r="AO605" s="2507"/>
      <c r="AP605" s="2561">
        <f t="shared" si="177"/>
        <v>5890</v>
      </c>
      <c r="AQ605" s="2562"/>
      <c r="AR605" s="2563"/>
      <c r="AS605" s="2555">
        <f ca="1">SUMIF(基礎・屋根・外壁!B$85:AE$85,F605,基礎・屋根・外壁!B$91:AE$91)+SUMIF(基礎・屋根・外壁!B$111:AE$111,F605,基礎・屋根・外壁!B$117:AE$117)+SUMIF(見積拾!C$160:D$164,F605,見積拾!T$160:T$164)</f>
        <v>0</v>
      </c>
      <c r="AT605" s="2556"/>
      <c r="AU605" s="2556"/>
      <c r="AV605" s="2557"/>
      <c r="AW605" s="2520">
        <f t="shared" ca="1" si="178"/>
        <v>0</v>
      </c>
      <c r="AX605" s="2521"/>
      <c r="AY605" s="2521"/>
      <c r="AZ605" s="2522"/>
      <c r="BA605" s="25" t="b">
        <f t="shared" ca="1" si="179"/>
        <v>0</v>
      </c>
      <c r="BB605" s="1745"/>
    </row>
    <row r="606" spans="1:54" ht="13.5" customHeight="1">
      <c r="B606" s="2681"/>
      <c r="C606" s="2673"/>
      <c r="D606" s="2682"/>
      <c r="E606" s="322" t="s">
        <v>893</v>
      </c>
      <c r="F606" s="2500" t="s">
        <v>1832</v>
      </c>
      <c r="G606" s="2500"/>
      <c r="H606" s="2500"/>
      <c r="I606" s="2500"/>
      <c r="J606" s="2500"/>
      <c r="K606" s="2500"/>
      <c r="L606" s="2500"/>
      <c r="M606" s="2500"/>
      <c r="N606" s="2500"/>
      <c r="O606" s="2500"/>
      <c r="P606" s="2501"/>
      <c r="Q606" s="2542">
        <v>3600</v>
      </c>
      <c r="R606" s="2518"/>
      <c r="S606" s="2518"/>
      <c r="T606" s="2299" t="s">
        <v>1664</v>
      </c>
      <c r="U606" s="2518" t="s">
        <v>1173</v>
      </c>
      <c r="V606" s="2518"/>
      <c r="W606" s="2518"/>
      <c r="X606" s="2299" t="s">
        <v>895</v>
      </c>
      <c r="Y606" s="2518">
        <v>1710</v>
      </c>
      <c r="Z606" s="2518"/>
      <c r="AA606" s="2518"/>
      <c r="AB606" s="1380" t="s">
        <v>905</v>
      </c>
      <c r="AC606" s="2518"/>
      <c r="AD606" s="2518"/>
      <c r="AE606" s="2518"/>
      <c r="AF606" s="1380" t="s">
        <v>905</v>
      </c>
      <c r="AG606" s="2518"/>
      <c r="AH606" s="2518"/>
      <c r="AI606" s="2519"/>
      <c r="AJ606" s="2520">
        <f t="shared" si="176"/>
        <v>5310</v>
      </c>
      <c r="AK606" s="2521"/>
      <c r="AL606" s="2522"/>
      <c r="AM606" s="2505">
        <v>1</v>
      </c>
      <c r="AN606" s="2506"/>
      <c r="AO606" s="2507"/>
      <c r="AP606" s="2561">
        <f t="shared" si="177"/>
        <v>5310</v>
      </c>
      <c r="AQ606" s="2562"/>
      <c r="AR606" s="2563"/>
      <c r="AS606" s="2555">
        <f ca="1">SUMIF(基礎・屋根・外壁!B$85:AE$85,F606,基礎・屋根・外壁!B$91:AE$91)+SUMIF(基礎・屋根・外壁!B$111:AE$111,F606,基礎・屋根・外壁!B$117:AE$117)+SUMIF(見積拾!C$160:D$164,F606,見積拾!T$160:T$164)</f>
        <v>0</v>
      </c>
      <c r="AT606" s="2556"/>
      <c r="AU606" s="2556"/>
      <c r="AV606" s="2557"/>
      <c r="AW606" s="2520">
        <f t="shared" ca="1" si="178"/>
        <v>0</v>
      </c>
      <c r="AX606" s="2521"/>
      <c r="AY606" s="2521"/>
      <c r="AZ606" s="2522"/>
      <c r="BA606" s="25" t="b">
        <f t="shared" ca="1" si="179"/>
        <v>0</v>
      </c>
      <c r="BB606"/>
    </row>
    <row r="607" spans="1:54" ht="13.5" customHeight="1">
      <c r="B607" s="2681"/>
      <c r="C607" s="2673"/>
      <c r="D607" s="2682"/>
      <c r="E607" s="322" t="s">
        <v>893</v>
      </c>
      <c r="F607" s="2500" t="s">
        <v>1186</v>
      </c>
      <c r="G607" s="2500"/>
      <c r="H607" s="2500"/>
      <c r="I607" s="2500"/>
      <c r="J607" s="2500"/>
      <c r="K607" s="2500"/>
      <c r="L607" s="2500"/>
      <c r="M607" s="2500"/>
      <c r="N607" s="2500"/>
      <c r="O607" s="2500"/>
      <c r="P607" s="2501"/>
      <c r="Q607" s="2542">
        <v>4790</v>
      </c>
      <c r="R607" s="2518"/>
      <c r="S607" s="2518"/>
      <c r="T607" s="2299" t="s">
        <v>1664</v>
      </c>
      <c r="U607" s="2518" t="s">
        <v>1173</v>
      </c>
      <c r="V607" s="2518"/>
      <c r="W607" s="2518"/>
      <c r="X607" s="2299" t="s">
        <v>895</v>
      </c>
      <c r="Y607" s="2518" t="s">
        <v>1174</v>
      </c>
      <c r="Z607" s="2518"/>
      <c r="AA607" s="2518"/>
      <c r="AB607" s="1380" t="s">
        <v>905</v>
      </c>
      <c r="AC607" s="2518"/>
      <c r="AD607" s="2518"/>
      <c r="AE607" s="2518"/>
      <c r="AF607" s="1380" t="s">
        <v>905</v>
      </c>
      <c r="AG607" s="2518"/>
      <c r="AH607" s="2518"/>
      <c r="AI607" s="2519"/>
      <c r="AJ607" s="2520">
        <f t="shared" si="176"/>
        <v>4790</v>
      </c>
      <c r="AK607" s="2521"/>
      <c r="AL607" s="2522"/>
      <c r="AM607" s="2505">
        <v>1</v>
      </c>
      <c r="AN607" s="2506"/>
      <c r="AO607" s="2507"/>
      <c r="AP607" s="2561">
        <f t="shared" si="177"/>
        <v>4790</v>
      </c>
      <c r="AQ607" s="2562"/>
      <c r="AR607" s="2563"/>
      <c r="AS607" s="2555">
        <f ca="1">SUMIF(基礎・屋根・外壁!B$85:AE$85,F607,基礎・屋根・外壁!B$91:AE$91)+SUMIF(基礎・屋根・外壁!B$111:AE$111,F607,基礎・屋根・外壁!B$117:AE$117)+SUMIF(見積拾!C$160:D$164,F607,見積拾!T$160:T$164)</f>
        <v>0</v>
      </c>
      <c r="AT607" s="2556"/>
      <c r="AU607" s="2556"/>
      <c r="AV607" s="2557"/>
      <c r="AW607" s="2520">
        <f t="shared" ca="1" si="178"/>
        <v>0</v>
      </c>
      <c r="AX607" s="2521"/>
      <c r="AY607" s="2521"/>
      <c r="AZ607" s="2522"/>
      <c r="BA607" s="25" t="b">
        <f t="shared" ca="1" si="179"/>
        <v>0</v>
      </c>
      <c r="BB607"/>
    </row>
    <row r="608" spans="1:54" ht="13.5" customHeight="1">
      <c r="B608" s="2681"/>
      <c r="C608" s="2673"/>
      <c r="D608" s="2682"/>
      <c r="E608" s="322" t="s">
        <v>893</v>
      </c>
      <c r="F608" s="2500" t="s">
        <v>1833</v>
      </c>
      <c r="G608" s="2500"/>
      <c r="H608" s="2500"/>
      <c r="I608" s="2500"/>
      <c r="J608" s="2500"/>
      <c r="K608" s="2500"/>
      <c r="L608" s="2500"/>
      <c r="M608" s="2500"/>
      <c r="N608" s="2500"/>
      <c r="O608" s="2500"/>
      <c r="P608" s="2501"/>
      <c r="Q608" s="2542">
        <v>2550</v>
      </c>
      <c r="R608" s="2518"/>
      <c r="S608" s="2518"/>
      <c r="T608" s="2299" t="s">
        <v>1664</v>
      </c>
      <c r="U608" s="2518" t="s">
        <v>1173</v>
      </c>
      <c r="V608" s="2518"/>
      <c r="W608" s="2518"/>
      <c r="X608" s="2299" t="s">
        <v>895</v>
      </c>
      <c r="Y608" s="2518" t="s">
        <v>1174</v>
      </c>
      <c r="Z608" s="2518"/>
      <c r="AA608" s="2518"/>
      <c r="AB608" s="1380" t="s">
        <v>64</v>
      </c>
      <c r="AC608" s="2518"/>
      <c r="AD608" s="2518"/>
      <c r="AE608" s="2518"/>
      <c r="AF608" s="1380" t="s">
        <v>64</v>
      </c>
      <c r="AG608" s="2518"/>
      <c r="AH608" s="2518"/>
      <c r="AI608" s="2519"/>
      <c r="AJ608" s="2520">
        <f t="shared" si="176"/>
        <v>2550</v>
      </c>
      <c r="AK608" s="2521"/>
      <c r="AL608" s="2522"/>
      <c r="AM608" s="2505">
        <v>1</v>
      </c>
      <c r="AN608" s="2506"/>
      <c r="AO608" s="2507"/>
      <c r="AP608" s="2561">
        <f t="shared" si="177"/>
        <v>2550</v>
      </c>
      <c r="AQ608" s="2562"/>
      <c r="AR608" s="2563"/>
      <c r="AS608" s="2555">
        <f ca="1">SUMIF(基礎・屋根・外壁!B$85:AE$85,F608,基礎・屋根・外壁!B$91:AE$91)+SUMIF(基礎・屋根・外壁!B$111:AE$111,F608,基礎・屋根・外壁!B$117:AE$117)+SUMIF(見積拾!C$160:D$164,F608,見積拾!T$160:T$164)</f>
        <v>0</v>
      </c>
      <c r="AT608" s="2556"/>
      <c r="AU608" s="2556"/>
      <c r="AV608" s="2557"/>
      <c r="AW608" s="2520">
        <f t="shared" ca="1" si="178"/>
        <v>0</v>
      </c>
      <c r="AX608" s="2521"/>
      <c r="AY608" s="2521"/>
      <c r="AZ608" s="2522"/>
      <c r="BA608" s="25" t="b">
        <f t="shared" ca="1" si="179"/>
        <v>0</v>
      </c>
      <c r="BB608"/>
    </row>
    <row r="609" spans="2:54" ht="13.5" customHeight="1">
      <c r="B609" s="2681"/>
      <c r="C609" s="2673"/>
      <c r="D609" s="2682"/>
      <c r="E609" s="322" t="s">
        <v>893</v>
      </c>
      <c r="F609" s="2500" t="s">
        <v>1834</v>
      </c>
      <c r="G609" s="2500"/>
      <c r="H609" s="2500"/>
      <c r="I609" s="2500"/>
      <c r="J609" s="2500"/>
      <c r="K609" s="2500"/>
      <c r="L609" s="2500"/>
      <c r="M609" s="2500"/>
      <c r="N609" s="2500"/>
      <c r="O609" s="2500"/>
      <c r="P609" s="2501"/>
      <c r="Q609" s="2542">
        <v>9188</v>
      </c>
      <c r="R609" s="2518"/>
      <c r="S609" s="2518"/>
      <c r="T609" s="2299" t="s">
        <v>1664</v>
      </c>
      <c r="U609" s="2518" t="s">
        <v>1173</v>
      </c>
      <c r="V609" s="2518"/>
      <c r="W609" s="2518"/>
      <c r="X609" s="2299" t="s">
        <v>895</v>
      </c>
      <c r="Y609" s="2518">
        <v>1710</v>
      </c>
      <c r="Z609" s="2518"/>
      <c r="AA609" s="2518"/>
      <c r="AB609" s="1380" t="s">
        <v>958</v>
      </c>
      <c r="AC609" s="2518"/>
      <c r="AD609" s="2518"/>
      <c r="AE609" s="2518"/>
      <c r="AF609" s="1380" t="s">
        <v>958</v>
      </c>
      <c r="AG609" s="2518"/>
      <c r="AH609" s="2518"/>
      <c r="AI609" s="2519"/>
      <c r="AJ609" s="2520">
        <f t="shared" si="176"/>
        <v>10890</v>
      </c>
      <c r="AK609" s="2521"/>
      <c r="AL609" s="2522"/>
      <c r="AM609" s="2505">
        <v>1</v>
      </c>
      <c r="AN609" s="2506"/>
      <c r="AO609" s="2507"/>
      <c r="AP609" s="2561">
        <f t="shared" si="177"/>
        <v>10890</v>
      </c>
      <c r="AQ609" s="2562"/>
      <c r="AR609" s="2563"/>
      <c r="AS609" s="2555">
        <f ca="1">SUMIF(基礎・屋根・外壁!B$85:AE$85,F609,基礎・屋根・外壁!B$91:AE$91)+SUMIF(基礎・屋根・外壁!B$111:AE$111,F609,基礎・屋根・外壁!B$117:AE$117)+SUMIF(見積拾!C$160:D$164,F609,見積拾!T$160:T$164)</f>
        <v>0</v>
      </c>
      <c r="AT609" s="2556"/>
      <c r="AU609" s="2556"/>
      <c r="AV609" s="2557"/>
      <c r="AW609" s="2520">
        <f t="shared" ca="1" si="178"/>
        <v>0</v>
      </c>
      <c r="AX609" s="2521"/>
      <c r="AY609" s="2521"/>
      <c r="AZ609" s="2522"/>
      <c r="BA609" s="25" t="b">
        <f t="shared" ca="1" si="179"/>
        <v>0</v>
      </c>
      <c r="BB609"/>
    </row>
    <row r="610" spans="2:54" ht="13.5" customHeight="1">
      <c r="B610" s="2681"/>
      <c r="C610" s="2673"/>
      <c r="D610" s="2682"/>
      <c r="E610" s="322" t="s">
        <v>893</v>
      </c>
      <c r="F610" s="2500" t="s">
        <v>1835</v>
      </c>
      <c r="G610" s="2500"/>
      <c r="H610" s="2500"/>
      <c r="I610" s="2500"/>
      <c r="J610" s="2500"/>
      <c r="K610" s="2500"/>
      <c r="L610" s="2500"/>
      <c r="M610" s="2500"/>
      <c r="N610" s="2500"/>
      <c r="O610" s="2500"/>
      <c r="P610" s="2501"/>
      <c r="Q610" s="2542">
        <v>2261</v>
      </c>
      <c r="R610" s="2518"/>
      <c r="S610" s="2518"/>
      <c r="T610" s="2299" t="s">
        <v>1664</v>
      </c>
      <c r="U610" s="2518">
        <v>3511</v>
      </c>
      <c r="V610" s="2518"/>
      <c r="W610" s="2518"/>
      <c r="X610" s="2299" t="s">
        <v>895</v>
      </c>
      <c r="Y610" s="2518">
        <v>2814</v>
      </c>
      <c r="Z610" s="2518"/>
      <c r="AA610" s="2518"/>
      <c r="AB610" s="1380" t="s">
        <v>958</v>
      </c>
      <c r="AC610" s="2518"/>
      <c r="AD610" s="2518"/>
      <c r="AE610" s="2518"/>
      <c r="AF610" s="1380" t="s">
        <v>958</v>
      </c>
      <c r="AG610" s="2518"/>
      <c r="AH610" s="2518"/>
      <c r="AI610" s="2519"/>
      <c r="AJ610" s="2520">
        <f t="shared" si="176"/>
        <v>8580</v>
      </c>
      <c r="AK610" s="2521"/>
      <c r="AL610" s="2522"/>
      <c r="AM610" s="2505">
        <v>1</v>
      </c>
      <c r="AN610" s="2506"/>
      <c r="AO610" s="2507"/>
      <c r="AP610" s="2561">
        <f t="shared" si="177"/>
        <v>8580</v>
      </c>
      <c r="AQ610" s="2562"/>
      <c r="AR610" s="2563"/>
      <c r="AS610" s="2555">
        <f ca="1">SUMIF(基礎・屋根・外壁!B$85:AE$85,F610,基礎・屋根・外壁!B$91:AE$91)+SUMIF(基礎・屋根・外壁!B$111:AE$111,F610,基礎・屋根・外壁!B$117:AE$117)+SUMIF(見積拾!C$160:D$164,F610,見積拾!T$160:T$164)</f>
        <v>0</v>
      </c>
      <c r="AT610" s="2556"/>
      <c r="AU610" s="2556"/>
      <c r="AV610" s="2557"/>
      <c r="AW610" s="2520">
        <f t="shared" ca="1" si="178"/>
        <v>0</v>
      </c>
      <c r="AX610" s="2521"/>
      <c r="AY610" s="2521"/>
      <c r="AZ610" s="2522"/>
      <c r="BA610" s="25" t="b">
        <f t="shared" ca="1" si="179"/>
        <v>0</v>
      </c>
      <c r="BB610"/>
    </row>
    <row r="611" spans="2:54" ht="13.5" customHeight="1">
      <c r="B611" s="2681"/>
      <c r="C611" s="2673"/>
      <c r="D611" s="2682"/>
      <c r="E611" s="322" t="s">
        <v>893</v>
      </c>
      <c r="F611" s="2500" t="s">
        <v>1836</v>
      </c>
      <c r="G611" s="2500"/>
      <c r="H611" s="2500"/>
      <c r="I611" s="2500"/>
      <c r="J611" s="2500"/>
      <c r="K611" s="2500"/>
      <c r="L611" s="2500"/>
      <c r="M611" s="2500"/>
      <c r="N611" s="2500"/>
      <c r="O611" s="2500"/>
      <c r="P611" s="2501"/>
      <c r="Q611" s="2542">
        <v>4103</v>
      </c>
      <c r="R611" s="2518"/>
      <c r="S611" s="2518"/>
      <c r="T611" s="2299" t="s">
        <v>1664</v>
      </c>
      <c r="U611" s="2518">
        <v>2750</v>
      </c>
      <c r="V611" s="2518"/>
      <c r="W611" s="2518"/>
      <c r="X611" s="2299" t="s">
        <v>895</v>
      </c>
      <c r="Y611" s="2518">
        <v>3140</v>
      </c>
      <c r="Z611" s="2518"/>
      <c r="AA611" s="2518"/>
      <c r="AB611" s="1380" t="s">
        <v>907</v>
      </c>
      <c r="AC611" s="2518"/>
      <c r="AD611" s="2518"/>
      <c r="AE611" s="2518"/>
      <c r="AF611" s="1380" t="s">
        <v>907</v>
      </c>
      <c r="AG611" s="2518"/>
      <c r="AH611" s="2518"/>
      <c r="AI611" s="2519"/>
      <c r="AJ611" s="2520">
        <f t="shared" si="176"/>
        <v>9990</v>
      </c>
      <c r="AK611" s="2521"/>
      <c r="AL611" s="2522"/>
      <c r="AM611" s="2505">
        <v>1</v>
      </c>
      <c r="AN611" s="2506"/>
      <c r="AO611" s="2507"/>
      <c r="AP611" s="2561">
        <f t="shared" si="177"/>
        <v>9990</v>
      </c>
      <c r="AQ611" s="2562"/>
      <c r="AR611" s="2563"/>
      <c r="AS611" s="2555">
        <f ca="1">SUMIF(基礎・屋根・外壁!B$85:AE$85,F611,基礎・屋根・外壁!B$91:AE$91)+SUMIF(基礎・屋根・外壁!B$111:AE$111,F611,基礎・屋根・外壁!B$117:AE$117)+SUMIF(見積拾!C$160:D$164,F611,見積拾!T$160:T$164)</f>
        <v>0</v>
      </c>
      <c r="AT611" s="2556"/>
      <c r="AU611" s="2556"/>
      <c r="AV611" s="2557"/>
      <c r="AW611" s="2520">
        <f t="shared" ca="1" si="178"/>
        <v>0</v>
      </c>
      <c r="AX611" s="2521"/>
      <c r="AY611" s="2521"/>
      <c r="AZ611" s="2522"/>
      <c r="BA611" s="25" t="b">
        <f t="shared" ca="1" si="179"/>
        <v>0</v>
      </c>
      <c r="BB611"/>
    </row>
    <row r="612" spans="2:54" ht="13.5" customHeight="1">
      <c r="B612" s="2681"/>
      <c r="C612" s="2673"/>
      <c r="D612" s="2682"/>
      <c r="E612" s="322" t="s">
        <v>893</v>
      </c>
      <c r="F612" s="2500" t="s">
        <v>1837</v>
      </c>
      <c r="G612" s="2500"/>
      <c r="H612" s="2500"/>
      <c r="I612" s="2500"/>
      <c r="J612" s="2500"/>
      <c r="K612" s="2500"/>
      <c r="L612" s="2500"/>
      <c r="M612" s="2500"/>
      <c r="N612" s="2500"/>
      <c r="O612" s="2500"/>
      <c r="P612" s="2501"/>
      <c r="Q612" s="2542">
        <v>6600</v>
      </c>
      <c r="R612" s="2518"/>
      <c r="S612" s="2518"/>
      <c r="T612" s="2299" t="s">
        <v>1664</v>
      </c>
      <c r="U612" s="2518" t="s">
        <v>1173</v>
      </c>
      <c r="V612" s="2518"/>
      <c r="W612" s="2518"/>
      <c r="X612" s="2299" t="s">
        <v>895</v>
      </c>
      <c r="Y612" s="2518">
        <v>3497</v>
      </c>
      <c r="Z612" s="2518"/>
      <c r="AA612" s="2518"/>
      <c r="AB612" s="1380" t="s">
        <v>905</v>
      </c>
      <c r="AC612" s="2518"/>
      <c r="AD612" s="2518"/>
      <c r="AE612" s="2518"/>
      <c r="AF612" s="1380" t="s">
        <v>905</v>
      </c>
      <c r="AG612" s="2518"/>
      <c r="AH612" s="2518"/>
      <c r="AI612" s="2519"/>
      <c r="AJ612" s="2520">
        <f t="shared" si="176"/>
        <v>10090</v>
      </c>
      <c r="AK612" s="2521"/>
      <c r="AL612" s="2522"/>
      <c r="AM612" s="2505">
        <v>1</v>
      </c>
      <c r="AN612" s="2506"/>
      <c r="AO612" s="2507"/>
      <c r="AP612" s="2561">
        <f t="shared" si="177"/>
        <v>10090</v>
      </c>
      <c r="AQ612" s="2562"/>
      <c r="AR612" s="2563"/>
      <c r="AS612" s="2555">
        <f ca="1">SUMIF(基礎・屋根・外壁!B$85:AE$85,F612,基礎・屋根・外壁!B$91:AE$91)+SUMIF(基礎・屋根・外壁!B$111:AE$111,F612,基礎・屋根・外壁!B$117:AE$117)+SUMIF(見積拾!C$160:D$164,F612,見積拾!T$160:T$164)</f>
        <v>0</v>
      </c>
      <c r="AT612" s="2556"/>
      <c r="AU612" s="2556"/>
      <c r="AV612" s="2557"/>
      <c r="AW612" s="2520">
        <f t="shared" ca="1" si="178"/>
        <v>0</v>
      </c>
      <c r="AX612" s="2521"/>
      <c r="AY612" s="2521"/>
      <c r="AZ612" s="2522"/>
      <c r="BA612" s="25" t="b">
        <f t="shared" ca="1" si="179"/>
        <v>0</v>
      </c>
      <c r="BB612"/>
    </row>
    <row r="613" spans="2:54" ht="13.5" customHeight="1">
      <c r="B613" s="2681"/>
      <c r="C613" s="2673"/>
      <c r="D613" s="2682"/>
      <c r="E613" s="322" t="s">
        <v>893</v>
      </c>
      <c r="F613" s="2500" t="s">
        <v>1838</v>
      </c>
      <c r="G613" s="2500"/>
      <c r="H613" s="2500"/>
      <c r="I613" s="2500"/>
      <c r="J613" s="2500"/>
      <c r="K613" s="2500"/>
      <c r="L613" s="2500"/>
      <c r="M613" s="2500"/>
      <c r="N613" s="2500"/>
      <c r="O613" s="2500"/>
      <c r="P613" s="2501"/>
      <c r="Q613" s="2542">
        <v>5600</v>
      </c>
      <c r="R613" s="2518"/>
      <c r="S613" s="2518"/>
      <c r="T613" s="2299" t="s">
        <v>1664</v>
      </c>
      <c r="U613" s="2518" t="s">
        <v>1173</v>
      </c>
      <c r="V613" s="2518"/>
      <c r="W613" s="2518"/>
      <c r="X613" s="2299" t="s">
        <v>895</v>
      </c>
      <c r="Y613" s="2518">
        <v>3497</v>
      </c>
      <c r="Z613" s="2518"/>
      <c r="AA613" s="2518"/>
      <c r="AB613" s="1380" t="s">
        <v>905</v>
      </c>
      <c r="AC613" s="2518"/>
      <c r="AD613" s="2518"/>
      <c r="AE613" s="2518"/>
      <c r="AF613" s="1380" t="s">
        <v>905</v>
      </c>
      <c r="AG613" s="2518"/>
      <c r="AH613" s="2518"/>
      <c r="AI613" s="2519"/>
      <c r="AJ613" s="2520">
        <f t="shared" si="176"/>
        <v>9090</v>
      </c>
      <c r="AK613" s="2521"/>
      <c r="AL613" s="2522"/>
      <c r="AM613" s="2505">
        <v>1</v>
      </c>
      <c r="AN613" s="2506"/>
      <c r="AO613" s="2507"/>
      <c r="AP613" s="2561">
        <f t="shared" si="177"/>
        <v>9090</v>
      </c>
      <c r="AQ613" s="2562"/>
      <c r="AR613" s="2563"/>
      <c r="AS613" s="2555">
        <f ca="1">SUMIF(基礎・屋根・外壁!B$85:AE$85,F613,基礎・屋根・外壁!B$91:AE$91)+SUMIF(基礎・屋根・外壁!B$111:AE$111,F613,基礎・屋根・外壁!B$117:AE$117)+SUMIF(見積拾!C$160:D$164,F613,見積拾!T$160:T$164)</f>
        <v>0</v>
      </c>
      <c r="AT613" s="2556"/>
      <c r="AU613" s="2556"/>
      <c r="AV613" s="2557"/>
      <c r="AW613" s="2520">
        <f t="shared" ca="1" si="178"/>
        <v>0</v>
      </c>
      <c r="AX613" s="2521"/>
      <c r="AY613" s="2521"/>
      <c r="AZ613" s="2522"/>
      <c r="BA613" s="25" t="b">
        <f t="shared" ca="1" si="179"/>
        <v>0</v>
      </c>
    </row>
    <row r="614" spans="2:54" ht="13.5" customHeight="1">
      <c r="B614" s="2681"/>
      <c r="C614" s="2673"/>
      <c r="D614" s="2682"/>
      <c r="E614" s="322" t="s">
        <v>893</v>
      </c>
      <c r="F614" s="2500" t="s">
        <v>1839</v>
      </c>
      <c r="G614" s="2500"/>
      <c r="H614" s="2500"/>
      <c r="I614" s="2500"/>
      <c r="J614" s="2500"/>
      <c r="K614" s="2500"/>
      <c r="L614" s="2500"/>
      <c r="M614" s="2500"/>
      <c r="N614" s="2500"/>
      <c r="O614" s="2500"/>
      <c r="P614" s="2501"/>
      <c r="Q614" s="2542">
        <v>2390</v>
      </c>
      <c r="R614" s="2518"/>
      <c r="S614" s="2518"/>
      <c r="T614" s="2299" t="s">
        <v>1664</v>
      </c>
      <c r="U614" s="2518">
        <v>1311</v>
      </c>
      <c r="V614" s="2518"/>
      <c r="W614" s="2518"/>
      <c r="X614" s="2299" t="s">
        <v>895</v>
      </c>
      <c r="Y614" s="2518">
        <v>3497</v>
      </c>
      <c r="Z614" s="2518"/>
      <c r="AA614" s="2518"/>
      <c r="AB614" s="1380" t="s">
        <v>934</v>
      </c>
      <c r="AC614" s="2518"/>
      <c r="AD614" s="2518"/>
      <c r="AE614" s="2518"/>
      <c r="AF614" s="1380" t="s">
        <v>934</v>
      </c>
      <c r="AG614" s="2518"/>
      <c r="AH614" s="2518"/>
      <c r="AI614" s="2519"/>
      <c r="AJ614" s="2520">
        <f t="shared" si="176"/>
        <v>7190</v>
      </c>
      <c r="AK614" s="2521"/>
      <c r="AL614" s="2522"/>
      <c r="AM614" s="2505">
        <v>1</v>
      </c>
      <c r="AN614" s="2506"/>
      <c r="AO614" s="2507"/>
      <c r="AP614" s="2561">
        <f t="shared" si="177"/>
        <v>7190</v>
      </c>
      <c r="AQ614" s="2562"/>
      <c r="AR614" s="2563"/>
      <c r="AS614" s="2555">
        <f ca="1">SUMIF(基礎・屋根・外壁!B$85:AE$85,F614,基礎・屋根・外壁!B$91:AE$91)+SUMIF(基礎・屋根・外壁!B$111:AE$111,F614,基礎・屋根・外壁!B$117:AE$117)+SUMIF(見積拾!C$160:D$164,F614,見積拾!T$160:T$164)</f>
        <v>0</v>
      </c>
      <c r="AT614" s="2556"/>
      <c r="AU614" s="2556"/>
      <c r="AV614" s="2557"/>
      <c r="AW614" s="2520">
        <f t="shared" ca="1" si="178"/>
        <v>0</v>
      </c>
      <c r="AX614" s="2521"/>
      <c r="AY614" s="2521"/>
      <c r="AZ614" s="2522"/>
      <c r="BA614" s="25" t="b">
        <f t="shared" ca="1" si="179"/>
        <v>0</v>
      </c>
    </row>
    <row r="615" spans="2:54" ht="13.5" customHeight="1">
      <c r="B615" s="2681"/>
      <c r="C615" s="2673"/>
      <c r="D615" s="2682"/>
      <c r="E615" s="322" t="s">
        <v>893</v>
      </c>
      <c r="F615" s="2500" t="s">
        <v>1840</v>
      </c>
      <c r="G615" s="2500"/>
      <c r="H615" s="2500"/>
      <c r="I615" s="2500"/>
      <c r="J615" s="2500"/>
      <c r="K615" s="2500"/>
      <c r="L615" s="2500"/>
      <c r="M615" s="2500"/>
      <c r="N615" s="2500"/>
      <c r="O615" s="2500"/>
      <c r="P615" s="2501"/>
      <c r="Q615" s="2542">
        <v>360</v>
      </c>
      <c r="R615" s="2518"/>
      <c r="S615" s="2518"/>
      <c r="T615" s="2299" t="s">
        <v>1664</v>
      </c>
      <c r="U615" s="2518">
        <v>2411</v>
      </c>
      <c r="V615" s="2518"/>
      <c r="W615" s="2518"/>
      <c r="X615" s="2299" t="s">
        <v>895</v>
      </c>
      <c r="Y615" s="2518">
        <v>3497</v>
      </c>
      <c r="Z615" s="2518"/>
      <c r="AA615" s="2518"/>
      <c r="AB615" s="1380" t="s">
        <v>934</v>
      </c>
      <c r="AC615" s="2518"/>
      <c r="AD615" s="2518"/>
      <c r="AE615" s="2518"/>
      <c r="AF615" s="1380" t="s">
        <v>934</v>
      </c>
      <c r="AG615" s="2518"/>
      <c r="AH615" s="2518"/>
      <c r="AI615" s="2519"/>
      <c r="AJ615" s="2520">
        <f t="shared" si="176"/>
        <v>6260</v>
      </c>
      <c r="AK615" s="2521"/>
      <c r="AL615" s="2522"/>
      <c r="AM615" s="2505">
        <v>1</v>
      </c>
      <c r="AN615" s="2506"/>
      <c r="AO615" s="2507"/>
      <c r="AP615" s="2561">
        <f t="shared" si="177"/>
        <v>6260</v>
      </c>
      <c r="AQ615" s="2562"/>
      <c r="AR615" s="2563"/>
      <c r="AS615" s="2555">
        <f ca="1">SUMIF(基礎・屋根・外壁!B$85:AE$85,F615,基礎・屋根・外壁!B$91:AE$91)+SUMIF(基礎・屋根・外壁!B$111:AE$111,F615,基礎・屋根・外壁!B$117:AE$117)+SUMIF(見積拾!C$160:D$164,F615,見積拾!T$160:T$164)</f>
        <v>0</v>
      </c>
      <c r="AT615" s="2556"/>
      <c r="AU615" s="2556"/>
      <c r="AV615" s="2557"/>
      <c r="AW615" s="2520">
        <f t="shared" ca="1" si="178"/>
        <v>0</v>
      </c>
      <c r="AX615" s="2521"/>
      <c r="AY615" s="2521"/>
      <c r="AZ615" s="2522"/>
      <c r="BA615" s="25" t="b">
        <f t="shared" ca="1" si="179"/>
        <v>0</v>
      </c>
      <c r="BB615" s="1820" t="s">
        <v>1644</v>
      </c>
    </row>
    <row r="616" spans="2:54" ht="13.5" customHeight="1">
      <c r="B616" s="2681"/>
      <c r="C616" s="2673"/>
      <c r="D616" s="2682"/>
      <c r="E616" s="322" t="s">
        <v>893</v>
      </c>
      <c r="F616" s="2500" t="s">
        <v>1841</v>
      </c>
      <c r="G616" s="2500"/>
      <c r="H616" s="2500"/>
      <c r="I616" s="2500"/>
      <c r="J616" s="2500"/>
      <c r="K616" s="2500"/>
      <c r="L616" s="2500"/>
      <c r="M616" s="2500"/>
      <c r="N616" s="2500"/>
      <c r="O616" s="2500"/>
      <c r="P616" s="2501"/>
      <c r="Q616" s="2542">
        <v>2151</v>
      </c>
      <c r="R616" s="2518"/>
      <c r="S616" s="2518"/>
      <c r="T616" s="2299" t="s">
        <v>1664</v>
      </c>
      <c r="U616" s="2518" t="s">
        <v>1173</v>
      </c>
      <c r="V616" s="2518"/>
      <c r="W616" s="2518"/>
      <c r="X616" s="2299" t="s">
        <v>895</v>
      </c>
      <c r="Y616" s="2518">
        <v>464</v>
      </c>
      <c r="Z616" s="2518"/>
      <c r="AA616" s="2518"/>
      <c r="AB616" s="1380" t="s">
        <v>934</v>
      </c>
      <c r="AC616" s="2518"/>
      <c r="AD616" s="2518"/>
      <c r="AE616" s="2518"/>
      <c r="AF616" s="1380" t="s">
        <v>934</v>
      </c>
      <c r="AG616" s="2518"/>
      <c r="AH616" s="2518"/>
      <c r="AI616" s="2519"/>
      <c r="AJ616" s="2520">
        <f t="shared" si="176"/>
        <v>2610</v>
      </c>
      <c r="AK616" s="2521"/>
      <c r="AL616" s="2522"/>
      <c r="AM616" s="2505">
        <v>1</v>
      </c>
      <c r="AN616" s="2506"/>
      <c r="AO616" s="2507"/>
      <c r="AP616" s="2561">
        <f t="shared" si="177"/>
        <v>2610</v>
      </c>
      <c r="AQ616" s="2562"/>
      <c r="AR616" s="2563"/>
      <c r="AS616" s="2555">
        <f ca="1">SUMIF(基礎・屋根・外壁!B$85:AE$85,F616,基礎・屋根・外壁!B$91:AE$91)+SUMIF(基礎・屋根・外壁!B$111:AE$111,F616,基礎・屋根・外壁!B$117:AE$117)+SUMIF(見積拾!C$160:D$164,F616,見積拾!T$160:T$164)</f>
        <v>0</v>
      </c>
      <c r="AT616" s="2556"/>
      <c r="AU616" s="2556"/>
      <c r="AV616" s="2557"/>
      <c r="AW616" s="2520">
        <f t="shared" ca="1" si="178"/>
        <v>0</v>
      </c>
      <c r="AX616" s="2521"/>
      <c r="AY616" s="2521"/>
      <c r="AZ616" s="2522"/>
      <c r="BA616" s="25" t="b">
        <f t="shared" ca="1" si="179"/>
        <v>0</v>
      </c>
      <c r="BB616"/>
    </row>
    <row r="617" spans="2:54" ht="13.5" customHeight="1">
      <c r="B617" s="2681"/>
      <c r="C617" s="2673"/>
      <c r="D617" s="2682"/>
      <c r="E617" s="322" t="s">
        <v>893</v>
      </c>
      <c r="F617" s="2500" t="s">
        <v>1705</v>
      </c>
      <c r="G617" s="2500"/>
      <c r="H617" s="2500"/>
      <c r="I617" s="2500"/>
      <c r="J617" s="2500"/>
      <c r="K617" s="2500"/>
      <c r="L617" s="2500"/>
      <c r="M617" s="2500"/>
      <c r="N617" s="2500"/>
      <c r="O617" s="2500"/>
      <c r="P617" s="2501"/>
      <c r="Q617" s="2542">
        <v>731</v>
      </c>
      <c r="R617" s="2518"/>
      <c r="S617" s="2518"/>
      <c r="T617" s="2299" t="s">
        <v>1664</v>
      </c>
      <c r="U617" s="2518">
        <v>2411</v>
      </c>
      <c r="V617" s="2518"/>
      <c r="W617" s="2518"/>
      <c r="X617" s="2299" t="s">
        <v>895</v>
      </c>
      <c r="Y617" s="2518">
        <v>3497</v>
      </c>
      <c r="Z617" s="2518"/>
      <c r="AA617" s="2518"/>
      <c r="AB617" s="1380" t="s">
        <v>934</v>
      </c>
      <c r="AC617" s="2518"/>
      <c r="AD617" s="2518"/>
      <c r="AE617" s="2518"/>
      <c r="AF617" s="1380" t="s">
        <v>934</v>
      </c>
      <c r="AG617" s="2518"/>
      <c r="AH617" s="2518"/>
      <c r="AI617" s="2519"/>
      <c r="AJ617" s="2520">
        <f t="shared" si="176"/>
        <v>6630</v>
      </c>
      <c r="AK617" s="2521"/>
      <c r="AL617" s="2522"/>
      <c r="AM617" s="2505">
        <v>1</v>
      </c>
      <c r="AN617" s="2506"/>
      <c r="AO617" s="2507"/>
      <c r="AP617" s="2561">
        <f t="shared" si="177"/>
        <v>6630</v>
      </c>
      <c r="AQ617" s="2562"/>
      <c r="AR617" s="2563"/>
      <c r="AS617" s="2555">
        <f ca="1">SUMIF(基礎・屋根・外壁!B$85:AE$85,F617,基礎・屋根・外壁!B$91:AE$91)+SUMIF(基礎・屋根・外壁!B$111:AE$111,F617,基礎・屋根・外壁!B$117:AE$117)+SUMIF(見積拾!C$160:D$164,F617,見積拾!T$160:T$164)</f>
        <v>0</v>
      </c>
      <c r="AT617" s="2556"/>
      <c r="AU617" s="2556"/>
      <c r="AV617" s="2557"/>
      <c r="AW617" s="2520">
        <f t="shared" ca="1" si="178"/>
        <v>0</v>
      </c>
      <c r="AX617" s="2521"/>
      <c r="AY617" s="2521"/>
      <c r="AZ617" s="2522"/>
      <c r="BA617" s="25" t="b">
        <f t="shared" ca="1" si="179"/>
        <v>0</v>
      </c>
      <c r="BB617" s="1820" t="s">
        <v>1643</v>
      </c>
    </row>
    <row r="618" spans="2:54" ht="13.5" customHeight="1">
      <c r="B618" s="2681"/>
      <c r="C618" s="2673"/>
      <c r="D618" s="2682"/>
      <c r="E618" s="322" t="s">
        <v>893</v>
      </c>
      <c r="F618" s="2500" t="s">
        <v>1842</v>
      </c>
      <c r="G618" s="2500"/>
      <c r="H618" s="2500"/>
      <c r="I618" s="2500"/>
      <c r="J618" s="2500"/>
      <c r="K618" s="2500"/>
      <c r="L618" s="2500"/>
      <c r="M618" s="2500"/>
      <c r="N618" s="2500"/>
      <c r="O618" s="2500"/>
      <c r="P618" s="2501"/>
      <c r="Q618" s="2542">
        <v>2580</v>
      </c>
      <c r="R618" s="2518"/>
      <c r="S618" s="2518"/>
      <c r="T618" s="2299" t="s">
        <v>1664</v>
      </c>
      <c r="U618" s="2518" t="s">
        <v>1173</v>
      </c>
      <c r="V618" s="2518"/>
      <c r="W618" s="2518"/>
      <c r="X618" s="2299" t="s">
        <v>895</v>
      </c>
      <c r="Y618" s="2518">
        <v>464</v>
      </c>
      <c r="Z618" s="2518"/>
      <c r="AA618" s="2518"/>
      <c r="AB618" s="1380" t="s">
        <v>934</v>
      </c>
      <c r="AC618" s="2518"/>
      <c r="AD618" s="2518"/>
      <c r="AE618" s="2518"/>
      <c r="AF618" s="1380" t="s">
        <v>934</v>
      </c>
      <c r="AG618" s="2518"/>
      <c r="AH618" s="2518"/>
      <c r="AI618" s="2519"/>
      <c r="AJ618" s="2520">
        <f t="shared" si="176"/>
        <v>3040</v>
      </c>
      <c r="AK618" s="2521"/>
      <c r="AL618" s="2522"/>
      <c r="AM618" s="2505">
        <v>1</v>
      </c>
      <c r="AN618" s="2506"/>
      <c r="AO618" s="2507"/>
      <c r="AP618" s="2561">
        <f t="shared" si="177"/>
        <v>3040</v>
      </c>
      <c r="AQ618" s="2562"/>
      <c r="AR618" s="2563"/>
      <c r="AS618" s="2555">
        <f ca="1">SUMIF(基礎・屋根・外壁!B$85:AE$85,F618,基礎・屋根・外壁!B$91:AE$91)+SUMIF(基礎・屋根・外壁!B$111:AE$111,F618,基礎・屋根・外壁!B$117:AE$117)+SUMIF(見積拾!C$160:D$164,F618,見積拾!T$160:T$164)</f>
        <v>0</v>
      </c>
      <c r="AT618" s="2556"/>
      <c r="AU618" s="2556"/>
      <c r="AV618" s="2557"/>
      <c r="AW618" s="2520">
        <f t="shared" ca="1" si="178"/>
        <v>0</v>
      </c>
      <c r="AX618" s="2521"/>
      <c r="AY618" s="2521"/>
      <c r="AZ618" s="2522"/>
      <c r="BA618" s="25" t="b">
        <f t="shared" ca="1" si="179"/>
        <v>0</v>
      </c>
      <c r="BB618"/>
    </row>
    <row r="619" spans="2:54" ht="13.5" customHeight="1">
      <c r="B619" s="2681"/>
      <c r="C619" s="2673"/>
      <c r="D619" s="2682"/>
      <c r="E619" s="322" t="s">
        <v>893</v>
      </c>
      <c r="F619" s="2500" t="s">
        <v>1843</v>
      </c>
      <c r="G619" s="2500"/>
      <c r="H619" s="2500"/>
      <c r="I619" s="2500"/>
      <c r="J619" s="2500"/>
      <c r="K619" s="2500"/>
      <c r="L619" s="2500"/>
      <c r="M619" s="2500"/>
      <c r="N619" s="2500"/>
      <c r="O619" s="2500"/>
      <c r="P619" s="2501"/>
      <c r="Q619" s="2542">
        <v>1969</v>
      </c>
      <c r="R619" s="2518"/>
      <c r="S619" s="2518"/>
      <c r="T619" s="2299" t="s">
        <v>1664</v>
      </c>
      <c r="U619" s="2518">
        <v>3575</v>
      </c>
      <c r="V619" s="2518"/>
      <c r="W619" s="2518"/>
      <c r="X619" s="2299" t="s">
        <v>895</v>
      </c>
      <c r="Y619" s="2518">
        <v>3140</v>
      </c>
      <c r="Z619" s="2518"/>
      <c r="AA619" s="2518"/>
      <c r="AB619" s="1380" t="s">
        <v>904</v>
      </c>
      <c r="AC619" s="2518"/>
      <c r="AD619" s="2518"/>
      <c r="AE619" s="2518"/>
      <c r="AF619" s="1380" t="s">
        <v>904</v>
      </c>
      <c r="AG619" s="2518"/>
      <c r="AH619" s="2518"/>
      <c r="AI619" s="2519"/>
      <c r="AJ619" s="2520">
        <f t="shared" si="176"/>
        <v>8680</v>
      </c>
      <c r="AK619" s="2521"/>
      <c r="AL619" s="2522"/>
      <c r="AM619" s="2505">
        <v>1</v>
      </c>
      <c r="AN619" s="2506"/>
      <c r="AO619" s="2507"/>
      <c r="AP619" s="2561">
        <f t="shared" si="177"/>
        <v>8680</v>
      </c>
      <c r="AQ619" s="2562"/>
      <c r="AR619" s="2563"/>
      <c r="AS619" s="2555">
        <f ca="1">SUMIF(基礎・屋根・外壁!B$85:AE$85,F619,基礎・屋根・外壁!B$91:AE$91)+SUMIF(基礎・屋根・外壁!B$111:AE$111,F619,基礎・屋根・外壁!B$117:AE$117)+SUMIF(見積拾!C$160:D$164,F619,見積拾!T$160:T$164)</f>
        <v>0</v>
      </c>
      <c r="AT619" s="2556"/>
      <c r="AU619" s="2556"/>
      <c r="AV619" s="2557"/>
      <c r="AW619" s="2520">
        <f t="shared" ca="1" si="178"/>
        <v>0</v>
      </c>
      <c r="AX619" s="2521"/>
      <c r="AY619" s="2521"/>
      <c r="AZ619" s="2522"/>
      <c r="BA619" s="25" t="b">
        <f t="shared" ca="1" si="179"/>
        <v>0</v>
      </c>
      <c r="BB619"/>
    </row>
    <row r="620" spans="2:54" ht="13.5" customHeight="1">
      <c r="B620" s="2681"/>
      <c r="C620" s="2673"/>
      <c r="D620" s="2682"/>
      <c r="E620" s="322" t="s">
        <v>893</v>
      </c>
      <c r="F620" s="2500" t="s">
        <v>1844</v>
      </c>
      <c r="G620" s="2500"/>
      <c r="H620" s="2500"/>
      <c r="I620" s="2500"/>
      <c r="J620" s="2500"/>
      <c r="K620" s="2500"/>
      <c r="L620" s="2500"/>
      <c r="M620" s="2500"/>
      <c r="N620" s="2500"/>
      <c r="O620" s="2500"/>
      <c r="P620" s="2501"/>
      <c r="Q620" s="2542">
        <v>4550</v>
      </c>
      <c r="R620" s="2518"/>
      <c r="S620" s="2518"/>
      <c r="T620" s="2299" t="s">
        <v>1664</v>
      </c>
      <c r="U620" s="2518" t="s">
        <v>1173</v>
      </c>
      <c r="V620" s="2518"/>
      <c r="W620" s="2518"/>
      <c r="X620" s="2299" t="s">
        <v>895</v>
      </c>
      <c r="Y620" s="2518">
        <v>464</v>
      </c>
      <c r="Z620" s="2518"/>
      <c r="AA620" s="2518"/>
      <c r="AB620" s="1380" t="s">
        <v>64</v>
      </c>
      <c r="AC620" s="2518"/>
      <c r="AD620" s="2518"/>
      <c r="AE620" s="2518"/>
      <c r="AF620" s="1380" t="s">
        <v>64</v>
      </c>
      <c r="AG620" s="2518"/>
      <c r="AH620" s="2518"/>
      <c r="AI620" s="2519"/>
      <c r="AJ620" s="2520">
        <f t="shared" si="176"/>
        <v>5010</v>
      </c>
      <c r="AK620" s="2521"/>
      <c r="AL620" s="2522"/>
      <c r="AM620" s="2505">
        <v>1</v>
      </c>
      <c r="AN620" s="2506"/>
      <c r="AO620" s="2507"/>
      <c r="AP620" s="2561">
        <f t="shared" si="177"/>
        <v>5010</v>
      </c>
      <c r="AQ620" s="2562"/>
      <c r="AR620" s="2563"/>
      <c r="AS620" s="2555">
        <f ca="1">SUMIF(基礎・屋根・外壁!B$85:AE$85,F620,基礎・屋根・外壁!B$91:AE$91)+SUMIF(基礎・屋根・外壁!B$111:AE$111,F620,基礎・屋根・外壁!B$117:AE$117)+SUMIF(見積拾!C$160:D$164,F620,見積拾!T$160:T$164)</f>
        <v>0</v>
      </c>
      <c r="AT620" s="2556"/>
      <c r="AU620" s="2556"/>
      <c r="AV620" s="2557"/>
      <c r="AW620" s="2520">
        <f t="shared" ca="1" si="178"/>
        <v>0</v>
      </c>
      <c r="AX620" s="2521"/>
      <c r="AY620" s="2521"/>
      <c r="AZ620" s="2522"/>
      <c r="BA620" s="25" t="b">
        <f t="shared" ca="1" si="179"/>
        <v>0</v>
      </c>
      <c r="BB620"/>
    </row>
    <row r="621" spans="2:54" ht="13.5" customHeight="1">
      <c r="B621" s="2681"/>
      <c r="C621" s="2673"/>
      <c r="D621" s="2682"/>
      <c r="E621" s="322" t="s">
        <v>893</v>
      </c>
      <c r="F621" s="2500" t="s">
        <v>1187</v>
      </c>
      <c r="G621" s="2500"/>
      <c r="H621" s="2500"/>
      <c r="I621" s="2500"/>
      <c r="J621" s="2500"/>
      <c r="K621" s="2500"/>
      <c r="L621" s="2500"/>
      <c r="M621" s="2500"/>
      <c r="N621" s="2500"/>
      <c r="O621" s="2500"/>
      <c r="P621" s="2501"/>
      <c r="Q621" s="2542">
        <v>6400</v>
      </c>
      <c r="R621" s="2518"/>
      <c r="S621" s="2518"/>
      <c r="T621" s="2299" t="s">
        <v>1664</v>
      </c>
      <c r="U621" s="2518">
        <v>9094</v>
      </c>
      <c r="V621" s="2518"/>
      <c r="W621" s="2518"/>
      <c r="X621" s="2299" t="s">
        <v>895</v>
      </c>
      <c r="Y621" s="2518">
        <v>3140</v>
      </c>
      <c r="Z621" s="2518"/>
      <c r="AA621" s="2518"/>
      <c r="AB621" s="1380" t="s">
        <v>952</v>
      </c>
      <c r="AC621" s="2518"/>
      <c r="AD621" s="2518"/>
      <c r="AE621" s="2518"/>
      <c r="AF621" s="1380" t="s">
        <v>952</v>
      </c>
      <c r="AG621" s="2518"/>
      <c r="AH621" s="2518"/>
      <c r="AI621" s="2519"/>
      <c r="AJ621" s="2520">
        <f t="shared" si="176"/>
        <v>18630</v>
      </c>
      <c r="AK621" s="2521"/>
      <c r="AL621" s="2522"/>
      <c r="AM621" s="2505">
        <v>1</v>
      </c>
      <c r="AN621" s="2506"/>
      <c r="AO621" s="2507"/>
      <c r="AP621" s="2561">
        <f t="shared" si="177"/>
        <v>18630</v>
      </c>
      <c r="AQ621" s="2562"/>
      <c r="AR621" s="2563"/>
      <c r="AS621" s="2555">
        <f ca="1">SUMIF(基礎・屋根・外壁!B$85:AE$85,F621,基礎・屋根・外壁!B$91:AE$91)+SUMIF(基礎・屋根・外壁!B$111:AE$111,F621,基礎・屋根・外壁!B$117:AE$117)+SUMIF(見積拾!C$160:D$164,F621,見積拾!T$160:T$164)</f>
        <v>0</v>
      </c>
      <c r="AT621" s="2556"/>
      <c r="AU621" s="2556"/>
      <c r="AV621" s="2557"/>
      <c r="AW621" s="2520">
        <f t="shared" ca="1" si="178"/>
        <v>0</v>
      </c>
      <c r="AX621" s="2521"/>
      <c r="AY621" s="2521"/>
      <c r="AZ621" s="2522"/>
      <c r="BA621" s="25" t="b">
        <f t="shared" ca="1" si="179"/>
        <v>0</v>
      </c>
      <c r="BB621"/>
    </row>
    <row r="622" spans="2:54" ht="13.5" customHeight="1">
      <c r="B622" s="2681"/>
      <c r="C622" s="2673"/>
      <c r="D622" s="2682"/>
      <c r="E622" s="322" t="s">
        <v>893</v>
      </c>
      <c r="F622" s="2500" t="s">
        <v>1737</v>
      </c>
      <c r="G622" s="2500"/>
      <c r="H622" s="2500"/>
      <c r="I622" s="2500"/>
      <c r="J622" s="2500"/>
      <c r="K622" s="2500"/>
      <c r="L622" s="2500"/>
      <c r="M622" s="2500"/>
      <c r="N622" s="2500"/>
      <c r="O622" s="2500"/>
      <c r="P622" s="2501"/>
      <c r="Q622" s="2542">
        <v>1348</v>
      </c>
      <c r="R622" s="2518"/>
      <c r="S622" s="2518"/>
      <c r="T622" s="2299" t="s">
        <v>1664</v>
      </c>
      <c r="U622" s="2518">
        <v>2072</v>
      </c>
      <c r="V622" s="2518"/>
      <c r="W622" s="2518"/>
      <c r="X622" s="2299" t="s">
        <v>895</v>
      </c>
      <c r="Y622" s="2518">
        <v>3497</v>
      </c>
      <c r="Z622" s="2518"/>
      <c r="AA622" s="2518"/>
      <c r="AB622" s="1380" t="s">
        <v>952</v>
      </c>
      <c r="AC622" s="2518"/>
      <c r="AD622" s="2518"/>
      <c r="AE622" s="2518"/>
      <c r="AF622" s="1380" t="s">
        <v>952</v>
      </c>
      <c r="AG622" s="2518"/>
      <c r="AH622" s="2518"/>
      <c r="AI622" s="2519"/>
      <c r="AJ622" s="2520">
        <f t="shared" si="176"/>
        <v>6910</v>
      </c>
      <c r="AK622" s="2521"/>
      <c r="AL622" s="2522"/>
      <c r="AM622" s="2505">
        <v>1</v>
      </c>
      <c r="AN622" s="2506"/>
      <c r="AO622" s="2507"/>
      <c r="AP622" s="2561">
        <f t="shared" si="177"/>
        <v>6910</v>
      </c>
      <c r="AQ622" s="2562"/>
      <c r="AR622" s="2563"/>
      <c r="AS622" s="2555">
        <f ca="1">SUMIF(基礎・屋根・外壁!B$85:AE$85,F622,基礎・屋根・外壁!B$91:AE$91)+SUMIF(基礎・屋根・外壁!B$111:AE$111,F622,基礎・屋根・外壁!B$117:AE$117)+SUMIF(見積拾!C$160:D$164,F622,見積拾!T$160:T$164)</f>
        <v>0</v>
      </c>
      <c r="AT622" s="2556"/>
      <c r="AU622" s="2556"/>
      <c r="AV622" s="2557"/>
      <c r="AW622" s="2520">
        <f t="shared" ca="1" si="178"/>
        <v>0</v>
      </c>
      <c r="AX622" s="2521"/>
      <c r="AY622" s="2521"/>
      <c r="AZ622" s="2522"/>
      <c r="BA622" s="25" t="b">
        <f t="shared" ca="1" si="179"/>
        <v>0</v>
      </c>
      <c r="BB622"/>
    </row>
    <row r="623" spans="2:54" ht="13.5" customHeight="1">
      <c r="B623" s="2681"/>
      <c r="C623" s="2673"/>
      <c r="D623" s="2682"/>
      <c r="E623" s="322" t="s">
        <v>893</v>
      </c>
      <c r="F623" s="2500" t="s">
        <v>1845</v>
      </c>
      <c r="G623" s="2500"/>
      <c r="H623" s="2500"/>
      <c r="I623" s="2500"/>
      <c r="J623" s="2500"/>
      <c r="K623" s="2500"/>
      <c r="L623" s="2500"/>
      <c r="M623" s="2500"/>
      <c r="N623" s="2500"/>
      <c r="O623" s="2500"/>
      <c r="P623" s="2501"/>
      <c r="Q623" s="2542">
        <v>2467</v>
      </c>
      <c r="R623" s="2518"/>
      <c r="S623" s="2518"/>
      <c r="T623" s="2299" t="s">
        <v>1664</v>
      </c>
      <c r="U623" s="2518">
        <v>3236</v>
      </c>
      <c r="V623" s="2518"/>
      <c r="W623" s="2518"/>
      <c r="X623" s="2299" t="s">
        <v>895</v>
      </c>
      <c r="Y623" s="2518">
        <v>464</v>
      </c>
      <c r="Z623" s="2518"/>
      <c r="AA623" s="2518"/>
      <c r="AB623" s="1380" t="s">
        <v>903</v>
      </c>
      <c r="AC623" s="2518"/>
      <c r="AD623" s="2518"/>
      <c r="AE623" s="2518"/>
      <c r="AF623" s="1380" t="s">
        <v>903</v>
      </c>
      <c r="AG623" s="2518"/>
      <c r="AH623" s="2518"/>
      <c r="AI623" s="2519"/>
      <c r="AJ623" s="2520">
        <f t="shared" si="176"/>
        <v>6160</v>
      </c>
      <c r="AK623" s="2521"/>
      <c r="AL623" s="2522"/>
      <c r="AM623" s="2505">
        <v>1</v>
      </c>
      <c r="AN623" s="2506"/>
      <c r="AO623" s="2507"/>
      <c r="AP623" s="2561">
        <f t="shared" si="177"/>
        <v>6160</v>
      </c>
      <c r="AQ623" s="2562"/>
      <c r="AR623" s="2563"/>
      <c r="AS623" s="2555">
        <f ca="1">SUMIF(基礎・屋根・外壁!B$85:AE$85,F623,基礎・屋根・外壁!B$91:AE$91)+SUMIF(基礎・屋根・外壁!B$111:AE$111,F623,基礎・屋根・外壁!B$117:AE$117)+SUMIF(見積拾!C$160:D$164,F623,見積拾!T$160:T$164)</f>
        <v>0</v>
      </c>
      <c r="AT623" s="2556"/>
      <c r="AU623" s="2556"/>
      <c r="AV623" s="2557"/>
      <c r="AW623" s="2520">
        <f t="shared" ca="1" si="178"/>
        <v>0</v>
      </c>
      <c r="AX623" s="2521"/>
      <c r="AY623" s="2521"/>
      <c r="AZ623" s="2522"/>
      <c r="BA623" s="25" t="b">
        <f t="shared" ca="1" si="179"/>
        <v>0</v>
      </c>
      <c r="BB623"/>
    </row>
    <row r="624" spans="2:54" ht="13.5" customHeight="1">
      <c r="B624" s="2681"/>
      <c r="C624" s="2673"/>
      <c r="D624" s="2682"/>
      <c r="E624" s="322" t="s">
        <v>893</v>
      </c>
      <c r="F624" s="2500" t="s">
        <v>1846</v>
      </c>
      <c r="G624" s="2500"/>
      <c r="H624" s="2500"/>
      <c r="I624" s="2500"/>
      <c r="J624" s="2500"/>
      <c r="K624" s="2500"/>
      <c r="L624" s="2500"/>
      <c r="M624" s="2500"/>
      <c r="N624" s="2500"/>
      <c r="O624" s="2500"/>
      <c r="P624" s="2501"/>
      <c r="Q624" s="2542">
        <v>2349</v>
      </c>
      <c r="R624" s="2518"/>
      <c r="S624" s="2518"/>
      <c r="T624" s="2299" t="s">
        <v>1664</v>
      </c>
      <c r="U624" s="2518">
        <v>2072</v>
      </c>
      <c r="V624" s="2518"/>
      <c r="W624" s="2518"/>
      <c r="X624" s="2299" t="s">
        <v>895</v>
      </c>
      <c r="Y624" s="2518">
        <v>3497</v>
      </c>
      <c r="Z624" s="2518"/>
      <c r="AA624" s="2518"/>
      <c r="AB624" s="1380" t="s">
        <v>928</v>
      </c>
      <c r="AC624" s="2518"/>
      <c r="AD624" s="2518"/>
      <c r="AE624" s="2518"/>
      <c r="AF624" s="1380" t="s">
        <v>928</v>
      </c>
      <c r="AG624" s="2518"/>
      <c r="AH624" s="2518"/>
      <c r="AI624" s="2519"/>
      <c r="AJ624" s="2520">
        <f t="shared" si="176"/>
        <v>7910</v>
      </c>
      <c r="AK624" s="2521"/>
      <c r="AL624" s="2522"/>
      <c r="AM624" s="2505">
        <v>1</v>
      </c>
      <c r="AN624" s="2506"/>
      <c r="AO624" s="2507"/>
      <c r="AP624" s="2561">
        <f t="shared" si="177"/>
        <v>7910</v>
      </c>
      <c r="AQ624" s="2562"/>
      <c r="AR624" s="2563"/>
      <c r="AS624" s="2555">
        <f ca="1">SUMIF(基礎・屋根・外壁!B$85:AE$85,F624,基礎・屋根・外壁!B$91:AE$91)+SUMIF(基礎・屋根・外壁!B$111:AE$111,F624,基礎・屋根・外壁!B$117:AE$117)+SUMIF(見積拾!C$160:D$164,F624,見積拾!T$160:T$164)</f>
        <v>0</v>
      </c>
      <c r="AT624" s="2556"/>
      <c r="AU624" s="2556"/>
      <c r="AV624" s="2557"/>
      <c r="AW624" s="2520">
        <f t="shared" ca="1" si="178"/>
        <v>0</v>
      </c>
      <c r="AX624" s="2521"/>
      <c r="AY624" s="2521"/>
      <c r="AZ624" s="2522"/>
      <c r="BA624" s="25" t="b">
        <f t="shared" ca="1" si="179"/>
        <v>0</v>
      </c>
      <c r="BB624"/>
    </row>
    <row r="625" spans="2:54" ht="13.5" customHeight="1">
      <c r="B625" s="2681"/>
      <c r="C625" s="2673"/>
      <c r="D625" s="2682"/>
      <c r="E625" s="322" t="s">
        <v>893</v>
      </c>
      <c r="F625" s="2500" t="s">
        <v>1847</v>
      </c>
      <c r="G625" s="2500"/>
      <c r="H625" s="2500"/>
      <c r="I625" s="2500"/>
      <c r="J625" s="2500"/>
      <c r="K625" s="2500"/>
      <c r="L625" s="2500"/>
      <c r="M625" s="2500"/>
      <c r="N625" s="2500"/>
      <c r="O625" s="2500"/>
      <c r="P625" s="2501"/>
      <c r="Q625" s="2542">
        <v>4299</v>
      </c>
      <c r="R625" s="2518"/>
      <c r="S625" s="2518"/>
      <c r="T625" s="2299" t="s">
        <v>1664</v>
      </c>
      <c r="U625" s="2518">
        <v>3236</v>
      </c>
      <c r="V625" s="2518"/>
      <c r="W625" s="2518"/>
      <c r="X625" s="2299" t="s">
        <v>895</v>
      </c>
      <c r="Y625" s="2518">
        <v>464</v>
      </c>
      <c r="Z625" s="2518"/>
      <c r="AA625" s="2518"/>
      <c r="AB625" s="1380" t="s">
        <v>928</v>
      </c>
      <c r="AC625" s="2518"/>
      <c r="AD625" s="2518"/>
      <c r="AE625" s="2518"/>
      <c r="AF625" s="1380" t="s">
        <v>928</v>
      </c>
      <c r="AG625" s="2518"/>
      <c r="AH625" s="2518"/>
      <c r="AI625" s="2519"/>
      <c r="AJ625" s="2520">
        <f t="shared" si="176"/>
        <v>7990</v>
      </c>
      <c r="AK625" s="2521"/>
      <c r="AL625" s="2522"/>
      <c r="AM625" s="2505">
        <v>1</v>
      </c>
      <c r="AN625" s="2506"/>
      <c r="AO625" s="2507"/>
      <c r="AP625" s="2561">
        <f t="shared" si="177"/>
        <v>7990</v>
      </c>
      <c r="AQ625" s="2562"/>
      <c r="AR625" s="2563"/>
      <c r="AS625" s="2555">
        <f ca="1">SUMIF(基礎・屋根・外壁!B$85:AE$85,F625,基礎・屋根・外壁!B$91:AE$91)+SUMIF(基礎・屋根・外壁!B$111:AE$111,F625,基礎・屋根・外壁!B$117:AE$117)+SUMIF(見積拾!C$160:D$164,F625,見積拾!T$160:T$164)</f>
        <v>0</v>
      </c>
      <c r="AT625" s="2556"/>
      <c r="AU625" s="2556"/>
      <c r="AV625" s="2557"/>
      <c r="AW625" s="2520">
        <f t="shared" ca="1" si="178"/>
        <v>0</v>
      </c>
      <c r="AX625" s="2521"/>
      <c r="AY625" s="2521"/>
      <c r="AZ625" s="2522"/>
      <c r="BA625" s="25" t="b">
        <f t="shared" ca="1" si="179"/>
        <v>0</v>
      </c>
      <c r="BB625"/>
    </row>
    <row r="626" spans="2:54" ht="13.5" customHeight="1">
      <c r="B626" s="2681"/>
      <c r="C626" s="2673"/>
      <c r="D626" s="2682"/>
      <c r="E626" s="322" t="s">
        <v>893</v>
      </c>
      <c r="F626" s="2500" t="s">
        <v>1711</v>
      </c>
      <c r="G626" s="2500"/>
      <c r="H626" s="2500"/>
      <c r="I626" s="2500"/>
      <c r="J626" s="2500"/>
      <c r="K626" s="2500"/>
      <c r="L626" s="2500"/>
      <c r="M626" s="2500"/>
      <c r="N626" s="2500"/>
      <c r="O626" s="2500"/>
      <c r="P626" s="2501"/>
      <c r="Q626" s="2542">
        <v>5200</v>
      </c>
      <c r="R626" s="2518"/>
      <c r="S626" s="2518"/>
      <c r="T626" s="2299" t="s">
        <v>1664</v>
      </c>
      <c r="U626" s="2518">
        <v>3575</v>
      </c>
      <c r="V626" s="2518"/>
      <c r="W626" s="2518"/>
      <c r="X626" s="2299" t="s">
        <v>895</v>
      </c>
      <c r="Y626" s="2518">
        <v>3140</v>
      </c>
      <c r="Z626" s="2518"/>
      <c r="AA626" s="2518"/>
      <c r="AB626" s="1380" t="s">
        <v>905</v>
      </c>
      <c r="AC626" s="2518"/>
      <c r="AD626" s="2518"/>
      <c r="AE626" s="2518"/>
      <c r="AF626" s="1380" t="s">
        <v>905</v>
      </c>
      <c r="AG626" s="2518"/>
      <c r="AH626" s="2518"/>
      <c r="AI626" s="2519"/>
      <c r="AJ626" s="2520">
        <f t="shared" si="176"/>
        <v>11910</v>
      </c>
      <c r="AK626" s="2521"/>
      <c r="AL626" s="2522"/>
      <c r="AM626" s="2505">
        <v>1</v>
      </c>
      <c r="AN626" s="2506"/>
      <c r="AO626" s="2507"/>
      <c r="AP626" s="2561">
        <f t="shared" si="177"/>
        <v>11910</v>
      </c>
      <c r="AQ626" s="2562"/>
      <c r="AR626" s="2563"/>
      <c r="AS626" s="2555">
        <f ca="1">SUMIF(基礎・屋根・外壁!B$85:AE$85,F626,基礎・屋根・外壁!B$91:AE$91)+SUMIF(基礎・屋根・外壁!B$111:AE$111,F626,基礎・屋根・外壁!B$117:AE$117)+SUMIF(見積拾!C$160:D$164,F626,見積拾!T$160:T$164)</f>
        <v>0</v>
      </c>
      <c r="AT626" s="2556"/>
      <c r="AU626" s="2556"/>
      <c r="AV626" s="2557"/>
      <c r="AW626" s="2520">
        <f t="shared" ca="1" si="178"/>
        <v>0</v>
      </c>
      <c r="AX626" s="2521"/>
      <c r="AY626" s="2521"/>
      <c r="AZ626" s="2522"/>
      <c r="BA626" s="25" t="b">
        <f t="shared" ca="1" si="179"/>
        <v>0</v>
      </c>
      <c r="BB626"/>
    </row>
    <row r="627" spans="2:54" ht="13.5" customHeight="1">
      <c r="B627" s="2681"/>
      <c r="C627" s="2673"/>
      <c r="D627" s="2682"/>
      <c r="E627" s="322" t="s">
        <v>893</v>
      </c>
      <c r="F627" s="2500" t="s">
        <v>2078</v>
      </c>
      <c r="G627" s="2500"/>
      <c r="H627" s="2500"/>
      <c r="I627" s="2500"/>
      <c r="J627" s="2500"/>
      <c r="K627" s="2500"/>
      <c r="L627" s="2500"/>
      <c r="M627" s="2500"/>
      <c r="N627" s="2500"/>
      <c r="O627" s="2500"/>
      <c r="P627" s="2501"/>
      <c r="Q627" s="2542">
        <v>4460</v>
      </c>
      <c r="R627" s="2518"/>
      <c r="S627" s="2518"/>
      <c r="T627" s="2299" t="s">
        <v>1664</v>
      </c>
      <c r="U627" s="2518" t="s">
        <v>1173</v>
      </c>
      <c r="V627" s="2518"/>
      <c r="W627" s="2518"/>
      <c r="X627" s="2299" t="s">
        <v>895</v>
      </c>
      <c r="Y627" s="2518">
        <v>2320</v>
      </c>
      <c r="Z627" s="2518"/>
      <c r="AA627" s="2518"/>
      <c r="AB627" s="1380" t="s">
        <v>903</v>
      </c>
      <c r="AC627" s="2518"/>
      <c r="AD627" s="2518"/>
      <c r="AE627" s="2518"/>
      <c r="AF627" s="1380" t="s">
        <v>903</v>
      </c>
      <c r="AG627" s="2518"/>
      <c r="AH627" s="2518"/>
      <c r="AI627" s="2519"/>
      <c r="AJ627" s="2520">
        <f t="shared" si="176"/>
        <v>6780</v>
      </c>
      <c r="AK627" s="2521"/>
      <c r="AL627" s="2522"/>
      <c r="AM627" s="2505">
        <v>1</v>
      </c>
      <c r="AN627" s="2506"/>
      <c r="AO627" s="2507"/>
      <c r="AP627" s="2561">
        <f t="shared" si="177"/>
        <v>6780</v>
      </c>
      <c r="AQ627" s="2562"/>
      <c r="AR627" s="2563"/>
      <c r="AS627" s="2555">
        <f ca="1">SUMIF(基礎・屋根・外壁!B$85:AE$85,F627,基礎・屋根・外壁!B$91:AE$91)+SUMIF(基礎・屋根・外壁!B$111:AE$111,F627,基礎・屋根・外壁!B$117:AE$117)+SUMIF(見積拾!C$160:D$164,F627,見積拾!T$160:T$164)</f>
        <v>0</v>
      </c>
      <c r="AT627" s="2556"/>
      <c r="AU627" s="2556"/>
      <c r="AV627" s="2557"/>
      <c r="AW627" s="2520">
        <f t="shared" ca="1" si="178"/>
        <v>0</v>
      </c>
      <c r="AX627" s="2521"/>
      <c r="AY627" s="2521"/>
      <c r="AZ627" s="2522"/>
      <c r="BA627" s="25" t="b">
        <f t="shared" ca="1" si="179"/>
        <v>0</v>
      </c>
      <c r="BB627"/>
    </row>
    <row r="628" spans="2:54" ht="13.5" customHeight="1">
      <c r="B628" s="2681"/>
      <c r="C628" s="2673"/>
      <c r="D628" s="2682"/>
      <c r="E628" s="322" t="s">
        <v>893</v>
      </c>
      <c r="F628" s="2500" t="s">
        <v>2079</v>
      </c>
      <c r="G628" s="2500"/>
      <c r="H628" s="2500"/>
      <c r="I628" s="2500"/>
      <c r="J628" s="2500"/>
      <c r="K628" s="2500"/>
      <c r="L628" s="2500"/>
      <c r="M628" s="2500"/>
      <c r="N628" s="2500"/>
      <c r="O628" s="2500"/>
      <c r="P628" s="2501"/>
      <c r="Q628" s="2542">
        <v>1690</v>
      </c>
      <c r="R628" s="2518"/>
      <c r="S628" s="2518"/>
      <c r="T628" s="2299" t="s">
        <v>1664</v>
      </c>
      <c r="U628" s="2518" t="s">
        <v>1173</v>
      </c>
      <c r="V628" s="2518"/>
      <c r="W628" s="2518"/>
      <c r="X628" s="2299" t="s">
        <v>895</v>
      </c>
      <c r="Y628" s="2518">
        <v>2320</v>
      </c>
      <c r="Z628" s="2518"/>
      <c r="AA628" s="2518"/>
      <c r="AB628" s="1380" t="s">
        <v>903</v>
      </c>
      <c r="AC628" s="2518"/>
      <c r="AD628" s="2518"/>
      <c r="AE628" s="2518"/>
      <c r="AF628" s="1380" t="s">
        <v>903</v>
      </c>
      <c r="AG628" s="2518"/>
      <c r="AH628" s="2518"/>
      <c r="AI628" s="2519"/>
      <c r="AJ628" s="2520">
        <f t="shared" si="176"/>
        <v>4010</v>
      </c>
      <c r="AK628" s="2521"/>
      <c r="AL628" s="2522"/>
      <c r="AM628" s="2505">
        <v>1</v>
      </c>
      <c r="AN628" s="2506"/>
      <c r="AO628" s="2507"/>
      <c r="AP628" s="2561">
        <f t="shared" si="177"/>
        <v>4010</v>
      </c>
      <c r="AQ628" s="2562"/>
      <c r="AR628" s="2563"/>
      <c r="AS628" s="2555">
        <f ca="1">SUMIF(基礎・屋根・外壁!B$85:AE$85,F628,基礎・屋根・外壁!B$91:AE$91)+SUMIF(基礎・屋根・外壁!B$111:AE$111,F628,基礎・屋根・外壁!B$117:AE$117)+SUMIF(見積拾!C$160:D$164,F628,見積拾!T$160:T$164)</f>
        <v>0</v>
      </c>
      <c r="AT628" s="2556"/>
      <c r="AU628" s="2556"/>
      <c r="AV628" s="2557"/>
      <c r="AW628" s="2520">
        <f t="shared" ca="1" si="178"/>
        <v>0</v>
      </c>
      <c r="AX628" s="2521"/>
      <c r="AY628" s="2521"/>
      <c r="AZ628" s="2522"/>
      <c r="BA628" s="25" t="b">
        <f t="shared" ca="1" si="179"/>
        <v>0</v>
      </c>
      <c r="BB628"/>
    </row>
    <row r="629" spans="2:54" ht="13.5" customHeight="1">
      <c r="B629" s="2681"/>
      <c r="C629" s="2673"/>
      <c r="D629" s="2682"/>
      <c r="E629" s="322" t="s">
        <v>893</v>
      </c>
      <c r="F629" s="2500" t="s">
        <v>1714</v>
      </c>
      <c r="G629" s="2500"/>
      <c r="H629" s="2500"/>
      <c r="I629" s="2500"/>
      <c r="J629" s="2500"/>
      <c r="K629" s="2500"/>
      <c r="L629" s="2500"/>
      <c r="M629" s="2500"/>
      <c r="N629" s="2500"/>
      <c r="O629" s="2500"/>
      <c r="P629" s="2501"/>
      <c r="Q629" s="2542">
        <v>2360</v>
      </c>
      <c r="R629" s="2518"/>
      <c r="S629" s="2518"/>
      <c r="T629" s="2299" t="s">
        <v>1664</v>
      </c>
      <c r="U629" s="2518" t="s">
        <v>1173</v>
      </c>
      <c r="V629" s="2518"/>
      <c r="W629" s="2518"/>
      <c r="X629" s="2299" t="s">
        <v>895</v>
      </c>
      <c r="Y629" s="2518">
        <v>964</v>
      </c>
      <c r="Z629" s="2518"/>
      <c r="AA629" s="2518"/>
      <c r="AB629" s="1380" t="s">
        <v>928</v>
      </c>
      <c r="AC629" s="2518"/>
      <c r="AD629" s="2518"/>
      <c r="AE629" s="2518"/>
      <c r="AF629" s="1380" t="s">
        <v>928</v>
      </c>
      <c r="AG629" s="2518"/>
      <c r="AH629" s="2518"/>
      <c r="AI629" s="2519"/>
      <c r="AJ629" s="2520">
        <f t="shared" si="176"/>
        <v>3320</v>
      </c>
      <c r="AK629" s="2521"/>
      <c r="AL629" s="2522"/>
      <c r="AM629" s="2505">
        <v>1</v>
      </c>
      <c r="AN629" s="2506"/>
      <c r="AO629" s="2507"/>
      <c r="AP629" s="2561">
        <f t="shared" si="177"/>
        <v>3320</v>
      </c>
      <c r="AQ629" s="2562"/>
      <c r="AR629" s="2563"/>
      <c r="AS629" s="2555">
        <f ca="1">SUMIF(基礎・屋根・外壁!B$85:AE$85,F629,基礎・屋根・外壁!B$91:AE$91)+SUMIF(基礎・屋根・外壁!B$111:AE$111,F629,基礎・屋根・外壁!B$117:AE$117)+SUMIF(見積拾!C$160:D$164,F629,見積拾!T$160:T$164)</f>
        <v>0</v>
      </c>
      <c r="AT629" s="2556"/>
      <c r="AU629" s="2556"/>
      <c r="AV629" s="2557"/>
      <c r="AW629" s="2520">
        <f t="shared" ca="1" si="178"/>
        <v>0</v>
      </c>
      <c r="AX629" s="2521"/>
      <c r="AY629" s="2521"/>
      <c r="AZ629" s="2522"/>
      <c r="BA629" s="25" t="b">
        <f t="shared" ca="1" si="179"/>
        <v>0</v>
      </c>
      <c r="BB629"/>
    </row>
    <row r="630" spans="2:54" ht="13.5" customHeight="1">
      <c r="B630" s="2681"/>
      <c r="C630" s="2673"/>
      <c r="D630" s="2682"/>
      <c r="E630" s="322" t="s">
        <v>893</v>
      </c>
      <c r="F630" s="2500" t="s">
        <v>1713</v>
      </c>
      <c r="G630" s="2500"/>
      <c r="H630" s="2500"/>
      <c r="I630" s="2500"/>
      <c r="J630" s="2500"/>
      <c r="K630" s="2500"/>
      <c r="L630" s="2500"/>
      <c r="M630" s="2500"/>
      <c r="N630" s="2500"/>
      <c r="O630" s="2500"/>
      <c r="P630" s="2501"/>
      <c r="Q630" s="2542">
        <v>4210</v>
      </c>
      <c r="R630" s="2518"/>
      <c r="S630" s="2518"/>
      <c r="T630" s="2299" t="s">
        <v>1664</v>
      </c>
      <c r="U630" s="2518" t="s">
        <v>1173</v>
      </c>
      <c r="V630" s="2518"/>
      <c r="W630" s="2518"/>
      <c r="X630" s="2299" t="s">
        <v>895</v>
      </c>
      <c r="Y630" s="2518">
        <v>3140</v>
      </c>
      <c r="Z630" s="2518"/>
      <c r="AA630" s="2518"/>
      <c r="AB630" s="1380" t="s">
        <v>928</v>
      </c>
      <c r="AC630" s="2518"/>
      <c r="AD630" s="2518"/>
      <c r="AE630" s="2518"/>
      <c r="AF630" s="1380" t="s">
        <v>928</v>
      </c>
      <c r="AG630" s="2518"/>
      <c r="AH630" s="2518"/>
      <c r="AI630" s="2519"/>
      <c r="AJ630" s="2520">
        <f t="shared" si="176"/>
        <v>7350</v>
      </c>
      <c r="AK630" s="2521"/>
      <c r="AL630" s="2522"/>
      <c r="AM630" s="2505">
        <v>1</v>
      </c>
      <c r="AN630" s="2506"/>
      <c r="AO630" s="2507"/>
      <c r="AP630" s="2561">
        <f t="shared" si="177"/>
        <v>7350</v>
      </c>
      <c r="AQ630" s="2562"/>
      <c r="AR630" s="2563"/>
      <c r="AS630" s="2555">
        <f ca="1">SUMIF(基礎・屋根・外壁!B$85:AE$85,F630,基礎・屋根・外壁!B$91:AE$91)+SUMIF(基礎・屋根・外壁!B$111:AE$111,F630,基礎・屋根・外壁!B$117:AE$117)+SUMIF(見積拾!C$160:D$164,F630,見積拾!T$160:T$164)</f>
        <v>0</v>
      </c>
      <c r="AT630" s="2556"/>
      <c r="AU630" s="2556"/>
      <c r="AV630" s="2557"/>
      <c r="AW630" s="2520">
        <f t="shared" ca="1" si="178"/>
        <v>0</v>
      </c>
      <c r="AX630" s="2521"/>
      <c r="AY630" s="2521"/>
      <c r="AZ630" s="2522"/>
      <c r="BA630" s="25" t="b">
        <f t="shared" ca="1" si="179"/>
        <v>0</v>
      </c>
      <c r="BB630"/>
    </row>
    <row r="631" spans="2:54" ht="13.5" customHeight="1">
      <c r="B631" s="2681"/>
      <c r="C631" s="2673"/>
      <c r="D631" s="2682"/>
      <c r="E631" s="322" t="s">
        <v>893</v>
      </c>
      <c r="F631" s="2500" t="s">
        <v>1716</v>
      </c>
      <c r="G631" s="2500"/>
      <c r="H631" s="2500"/>
      <c r="I631" s="2500"/>
      <c r="J631" s="2500"/>
      <c r="K631" s="2500"/>
      <c r="L631" s="2500"/>
      <c r="M631" s="2500"/>
      <c r="N631" s="2500"/>
      <c r="O631" s="2500"/>
      <c r="P631" s="2501"/>
      <c r="Q631" s="2542">
        <v>461</v>
      </c>
      <c r="R631" s="2518"/>
      <c r="S631" s="2518"/>
      <c r="T631" s="2299" t="s">
        <v>1664</v>
      </c>
      <c r="U631" s="2518">
        <v>825</v>
      </c>
      <c r="V631" s="2518"/>
      <c r="W631" s="2518"/>
      <c r="X631" s="2299" t="s">
        <v>895</v>
      </c>
      <c r="Y631" s="2518">
        <v>1330</v>
      </c>
      <c r="Z631" s="2518"/>
      <c r="AA631" s="2518"/>
      <c r="AB631" s="1380" t="s">
        <v>905</v>
      </c>
      <c r="AC631" s="2518"/>
      <c r="AD631" s="2518"/>
      <c r="AE631" s="2518"/>
      <c r="AF631" s="1380" t="s">
        <v>905</v>
      </c>
      <c r="AG631" s="2518"/>
      <c r="AH631" s="2518"/>
      <c r="AI631" s="2519"/>
      <c r="AJ631" s="2520">
        <f t="shared" ref="AJ631:AJ637" si="180">ROUNDDOWN(SUM(Q631:AI631),-1)</f>
        <v>2610</v>
      </c>
      <c r="AK631" s="2521"/>
      <c r="AL631" s="2522"/>
      <c r="AM631" s="2505">
        <v>1</v>
      </c>
      <c r="AN631" s="2506"/>
      <c r="AO631" s="2507"/>
      <c r="AP631" s="2561">
        <f t="shared" ref="AP631:AP637" si="181">INT(AJ631*AM631)</f>
        <v>2610</v>
      </c>
      <c r="AQ631" s="2562"/>
      <c r="AR631" s="2563"/>
      <c r="AS631" s="2555">
        <f ca="1">SUMIF(基礎・屋根・外壁!B$85:AE$85,F631,基礎・屋根・外壁!B$91:AE$91)+SUMIF(基礎・屋根・外壁!B$111:AE$111,F631,基礎・屋根・外壁!B$117:AE$117)+SUMIF(見積拾!C$160:D$164,F631,見積拾!T$160:T$164)</f>
        <v>0</v>
      </c>
      <c r="AT631" s="2556"/>
      <c r="AU631" s="2556"/>
      <c r="AV631" s="2557"/>
      <c r="AW631" s="2520">
        <f t="shared" ref="AW631:AW637" ca="1" si="182">INT(AP631*AS631)</f>
        <v>0</v>
      </c>
      <c r="AX631" s="2521"/>
      <c r="AY631" s="2521"/>
      <c r="AZ631" s="2522"/>
      <c r="BA631" s="25" t="b">
        <f t="shared" ca="1" si="179"/>
        <v>0</v>
      </c>
      <c r="BB631"/>
    </row>
    <row r="632" spans="2:54" ht="13.5" customHeight="1">
      <c r="B632" s="2681"/>
      <c r="C632" s="2673"/>
      <c r="D632" s="2682"/>
      <c r="E632" s="322" t="s">
        <v>893</v>
      </c>
      <c r="F632" s="2500" t="s">
        <v>1717</v>
      </c>
      <c r="G632" s="2500"/>
      <c r="H632" s="2500"/>
      <c r="I632" s="2500"/>
      <c r="J632" s="2500"/>
      <c r="K632" s="2500"/>
      <c r="L632" s="2500"/>
      <c r="M632" s="2500"/>
      <c r="N632" s="2500"/>
      <c r="O632" s="2500"/>
      <c r="P632" s="2501"/>
      <c r="Q632" s="2542">
        <v>1955</v>
      </c>
      <c r="R632" s="2518"/>
      <c r="S632" s="2518"/>
      <c r="T632" s="2299" t="s">
        <v>1664</v>
      </c>
      <c r="U632" s="2518">
        <v>1650</v>
      </c>
      <c r="V632" s="2518"/>
      <c r="W632" s="2518"/>
      <c r="X632" s="2299" t="s">
        <v>895</v>
      </c>
      <c r="Y632" s="2518">
        <v>2320</v>
      </c>
      <c r="Z632" s="2518"/>
      <c r="AA632" s="2518"/>
      <c r="AB632" s="1380" t="s">
        <v>903</v>
      </c>
      <c r="AC632" s="2518"/>
      <c r="AD632" s="2518"/>
      <c r="AE632" s="2518"/>
      <c r="AF632" s="1380" t="s">
        <v>903</v>
      </c>
      <c r="AG632" s="2518"/>
      <c r="AH632" s="2518"/>
      <c r="AI632" s="2519"/>
      <c r="AJ632" s="2520">
        <f t="shared" si="180"/>
        <v>5920</v>
      </c>
      <c r="AK632" s="2521"/>
      <c r="AL632" s="2522"/>
      <c r="AM632" s="2505">
        <v>1</v>
      </c>
      <c r="AN632" s="2506"/>
      <c r="AO632" s="2507"/>
      <c r="AP632" s="2561">
        <f t="shared" si="181"/>
        <v>5920</v>
      </c>
      <c r="AQ632" s="2562"/>
      <c r="AR632" s="2563"/>
      <c r="AS632" s="2555">
        <f ca="1">SUMIF(基礎・屋根・外壁!B$85:AE$85,F632,基礎・屋根・外壁!B$91:AE$91)+SUMIF(基礎・屋根・外壁!B$111:AE$111,F632,基礎・屋根・外壁!B$117:AE$117)+SUMIF(見積拾!C$160:D$164,F632,見積拾!T$160:T$164)</f>
        <v>0</v>
      </c>
      <c r="AT632" s="2556"/>
      <c r="AU632" s="2556"/>
      <c r="AV632" s="2557"/>
      <c r="AW632" s="2520">
        <f t="shared" ca="1" si="182"/>
        <v>0</v>
      </c>
      <c r="AX632" s="2521"/>
      <c r="AY632" s="2521"/>
      <c r="AZ632" s="2522"/>
      <c r="BA632" s="25" t="b">
        <f t="shared" ref="BA632:BA637" ca="1" si="183">AW632&lt;&gt;0</f>
        <v>0</v>
      </c>
      <c r="BB632"/>
    </row>
    <row r="633" spans="2:54" ht="13.5" customHeight="1">
      <c r="B633" s="2681"/>
      <c r="C633" s="2673"/>
      <c r="D633" s="2682"/>
      <c r="E633" s="322" t="s">
        <v>893</v>
      </c>
      <c r="F633" s="2500" t="s">
        <v>1718</v>
      </c>
      <c r="G633" s="2500"/>
      <c r="H633" s="2500"/>
      <c r="I633" s="2500"/>
      <c r="J633" s="2500"/>
      <c r="K633" s="2500"/>
      <c r="L633" s="2500"/>
      <c r="M633" s="2500"/>
      <c r="N633" s="2500"/>
      <c r="O633" s="2500"/>
      <c r="P633" s="2501"/>
      <c r="Q633" s="2542">
        <v>6550</v>
      </c>
      <c r="R633" s="2518"/>
      <c r="S633" s="2518"/>
      <c r="T633" s="2299" t="s">
        <v>1664</v>
      </c>
      <c r="U633" s="2518">
        <v>1650</v>
      </c>
      <c r="V633" s="2518"/>
      <c r="W633" s="2518"/>
      <c r="X633" s="2299" t="s">
        <v>895</v>
      </c>
      <c r="Y633" s="2518">
        <v>2320</v>
      </c>
      <c r="Z633" s="2518"/>
      <c r="AA633" s="2518"/>
      <c r="AB633" s="1380" t="s">
        <v>903</v>
      </c>
      <c r="AC633" s="2518"/>
      <c r="AD633" s="2518"/>
      <c r="AE633" s="2518"/>
      <c r="AF633" s="1380" t="s">
        <v>903</v>
      </c>
      <c r="AG633" s="2518"/>
      <c r="AH633" s="2518"/>
      <c r="AI633" s="2519"/>
      <c r="AJ633" s="2520">
        <f t="shared" si="180"/>
        <v>10520</v>
      </c>
      <c r="AK633" s="2521"/>
      <c r="AL633" s="2522"/>
      <c r="AM633" s="2505">
        <v>1</v>
      </c>
      <c r="AN633" s="2506"/>
      <c r="AO633" s="2507"/>
      <c r="AP633" s="2561">
        <f t="shared" si="181"/>
        <v>10520</v>
      </c>
      <c r="AQ633" s="2562"/>
      <c r="AR633" s="2563"/>
      <c r="AS633" s="2555">
        <f ca="1">SUMIF(基礎・屋根・外壁!B$85:AE$85,F633,基礎・屋根・外壁!B$91:AE$91)+SUMIF(基礎・屋根・外壁!B$111:AE$111,F633,基礎・屋根・外壁!B$117:AE$117)+SUMIF(見積拾!C$160:D$164,F633,見積拾!T$160:T$164)</f>
        <v>0</v>
      </c>
      <c r="AT633" s="2556"/>
      <c r="AU633" s="2556"/>
      <c r="AV633" s="2557"/>
      <c r="AW633" s="2520">
        <f t="shared" ca="1" si="182"/>
        <v>0</v>
      </c>
      <c r="AX633" s="2521"/>
      <c r="AY633" s="2521"/>
      <c r="AZ633" s="2522"/>
      <c r="BA633" s="25" t="b">
        <f t="shared" ca="1" si="183"/>
        <v>0</v>
      </c>
      <c r="BB633"/>
    </row>
    <row r="634" spans="2:54" ht="13.5" customHeight="1">
      <c r="B634" s="2681"/>
      <c r="C634" s="2673"/>
      <c r="D634" s="2682"/>
      <c r="E634" s="322" t="s">
        <v>893</v>
      </c>
      <c r="F634" s="2500" t="s">
        <v>1848</v>
      </c>
      <c r="G634" s="2500"/>
      <c r="H634" s="2500"/>
      <c r="I634" s="2500"/>
      <c r="J634" s="2500"/>
      <c r="K634" s="2500"/>
      <c r="L634" s="2500"/>
      <c r="M634" s="2500"/>
      <c r="N634" s="2500"/>
      <c r="O634" s="2500"/>
      <c r="P634" s="2501"/>
      <c r="Q634" s="2542">
        <v>1818</v>
      </c>
      <c r="R634" s="2518"/>
      <c r="S634" s="2518"/>
      <c r="T634" s="2299" t="s">
        <v>1664</v>
      </c>
      <c r="U634" s="2518">
        <v>220</v>
      </c>
      <c r="V634" s="2518"/>
      <c r="W634" s="2518"/>
      <c r="X634" s="2299" t="s">
        <v>895</v>
      </c>
      <c r="Y634" s="2518">
        <v>3140</v>
      </c>
      <c r="Z634" s="2518"/>
      <c r="AA634" s="2518"/>
      <c r="AB634" s="1380" t="s">
        <v>903</v>
      </c>
      <c r="AC634" s="2518"/>
      <c r="AD634" s="2518"/>
      <c r="AE634" s="2518"/>
      <c r="AF634" s="1380" t="s">
        <v>903</v>
      </c>
      <c r="AG634" s="2518"/>
      <c r="AH634" s="2518"/>
      <c r="AI634" s="2519"/>
      <c r="AJ634" s="2520">
        <f t="shared" si="180"/>
        <v>5170</v>
      </c>
      <c r="AK634" s="2521"/>
      <c r="AL634" s="2522"/>
      <c r="AM634" s="2505">
        <v>1</v>
      </c>
      <c r="AN634" s="2506"/>
      <c r="AO634" s="2507"/>
      <c r="AP634" s="2561">
        <f t="shared" si="181"/>
        <v>5170</v>
      </c>
      <c r="AQ634" s="2562"/>
      <c r="AR634" s="2563"/>
      <c r="AS634" s="2555">
        <f ca="1">SUMIF(基礎・屋根・外壁!B$85:AE$85,F634,基礎・屋根・外壁!B$91:AE$91)+SUMIF(基礎・屋根・外壁!B$111:AE$111,F634,基礎・屋根・外壁!B$117:AE$117)+SUMIF(見積拾!C$160:D$164,F634,見積拾!T$160:T$164)</f>
        <v>0</v>
      </c>
      <c r="AT634" s="2556"/>
      <c r="AU634" s="2556"/>
      <c r="AV634" s="2557"/>
      <c r="AW634" s="2520">
        <f t="shared" ca="1" si="182"/>
        <v>0</v>
      </c>
      <c r="AX634" s="2521"/>
      <c r="AY634" s="2521"/>
      <c r="AZ634" s="2522"/>
      <c r="BA634" s="25" t="b">
        <f t="shared" ca="1" si="183"/>
        <v>0</v>
      </c>
      <c r="BB634"/>
    </row>
    <row r="635" spans="2:54" ht="13.5" customHeight="1">
      <c r="B635" s="2681"/>
      <c r="C635" s="2673"/>
      <c r="D635" s="2682"/>
      <c r="E635" s="322" t="s">
        <v>893</v>
      </c>
      <c r="F635" s="2500" t="s">
        <v>1724</v>
      </c>
      <c r="G635" s="2500"/>
      <c r="H635" s="2500"/>
      <c r="I635" s="2500"/>
      <c r="J635" s="2500"/>
      <c r="K635" s="2500"/>
      <c r="L635" s="2500"/>
      <c r="M635" s="2500"/>
      <c r="N635" s="2500"/>
      <c r="O635" s="2500"/>
      <c r="P635" s="2501"/>
      <c r="Q635" s="2542">
        <v>4950</v>
      </c>
      <c r="R635" s="2518"/>
      <c r="S635" s="2518"/>
      <c r="T635" s="2299" t="s">
        <v>1664</v>
      </c>
      <c r="U635" s="2518">
        <v>1538</v>
      </c>
      <c r="V635" s="2518"/>
      <c r="W635" s="2518"/>
      <c r="X635" s="2299" t="s">
        <v>895</v>
      </c>
      <c r="Y635" s="2518">
        <v>1330</v>
      </c>
      <c r="Z635" s="2518"/>
      <c r="AA635" s="2518"/>
      <c r="AB635" s="1380" t="s">
        <v>64</v>
      </c>
      <c r="AC635" s="2518"/>
      <c r="AD635" s="2518"/>
      <c r="AE635" s="2518"/>
      <c r="AF635" s="1380" t="s">
        <v>64</v>
      </c>
      <c r="AG635" s="2518"/>
      <c r="AH635" s="2518"/>
      <c r="AI635" s="2519"/>
      <c r="AJ635" s="2520">
        <f t="shared" si="180"/>
        <v>7810</v>
      </c>
      <c r="AK635" s="2521"/>
      <c r="AL635" s="2522"/>
      <c r="AM635" s="2505">
        <v>1</v>
      </c>
      <c r="AN635" s="2506"/>
      <c r="AO635" s="2507"/>
      <c r="AP635" s="2561">
        <f t="shared" si="181"/>
        <v>7810</v>
      </c>
      <c r="AQ635" s="2562"/>
      <c r="AR635" s="2563"/>
      <c r="AS635" s="2555">
        <f ca="1">SUMIF(基礎・屋根・外壁!B$85:AE$85,F635,基礎・屋根・外壁!B$91:AE$91)+SUMIF(基礎・屋根・外壁!B$111:AE$111,F635,基礎・屋根・外壁!B$117:AE$117)+SUMIF(見積拾!C$160:D$164,F635,見積拾!T$160:T$164)</f>
        <v>0</v>
      </c>
      <c r="AT635" s="2556"/>
      <c r="AU635" s="2556"/>
      <c r="AV635" s="2557"/>
      <c r="AW635" s="2520">
        <f t="shared" ca="1" si="182"/>
        <v>0</v>
      </c>
      <c r="AX635" s="2521"/>
      <c r="AY635" s="2521"/>
      <c r="AZ635" s="2522"/>
      <c r="BA635" s="25" t="b">
        <f t="shared" ca="1" si="183"/>
        <v>0</v>
      </c>
      <c r="BB635"/>
    </row>
    <row r="636" spans="2:54" ht="13.5" customHeight="1">
      <c r="B636" s="2681"/>
      <c r="C636" s="2673"/>
      <c r="D636" s="2682"/>
      <c r="E636" s="322" t="s">
        <v>893</v>
      </c>
      <c r="F636" s="2500" t="s">
        <v>1725</v>
      </c>
      <c r="G636" s="2500"/>
      <c r="H636" s="2500"/>
      <c r="I636" s="2500"/>
      <c r="J636" s="2500"/>
      <c r="K636" s="2500"/>
      <c r="L636" s="2500"/>
      <c r="M636" s="2500"/>
      <c r="N636" s="2500"/>
      <c r="O636" s="2500"/>
      <c r="P636" s="2501"/>
      <c r="Q636" s="2542">
        <v>2754</v>
      </c>
      <c r="R636" s="2518"/>
      <c r="S636" s="2518"/>
      <c r="T636" s="2299" t="s">
        <v>1664</v>
      </c>
      <c r="U636" s="2518">
        <v>1208</v>
      </c>
      <c r="V636" s="2518"/>
      <c r="W636" s="2518"/>
      <c r="X636" s="2299" t="s">
        <v>895</v>
      </c>
      <c r="Y636" s="2518">
        <v>1330</v>
      </c>
      <c r="Z636" s="2518"/>
      <c r="AA636" s="2518"/>
      <c r="AB636" s="1380" t="s">
        <v>64</v>
      </c>
      <c r="AC636" s="2518"/>
      <c r="AD636" s="2518"/>
      <c r="AE636" s="2518"/>
      <c r="AF636" s="1380" t="s">
        <v>64</v>
      </c>
      <c r="AG636" s="2518"/>
      <c r="AH636" s="2518"/>
      <c r="AI636" s="2519"/>
      <c r="AJ636" s="2520">
        <f t="shared" si="180"/>
        <v>5290</v>
      </c>
      <c r="AK636" s="2521"/>
      <c r="AL636" s="2522"/>
      <c r="AM636" s="2505">
        <v>1</v>
      </c>
      <c r="AN636" s="2506"/>
      <c r="AO636" s="2507"/>
      <c r="AP636" s="2561">
        <f t="shared" si="181"/>
        <v>5290</v>
      </c>
      <c r="AQ636" s="2562"/>
      <c r="AR636" s="2563"/>
      <c r="AS636" s="2555">
        <f ca="1">SUMIF(基礎・屋根・外壁!B$85:AE$85,F636,基礎・屋根・外壁!B$91:AE$91)+SUMIF(基礎・屋根・外壁!B$111:AE$111,F636,基礎・屋根・外壁!B$117:AE$117)+SUMIF(見積拾!C$160:D$164,F636,見積拾!T$160:T$164)</f>
        <v>0</v>
      </c>
      <c r="AT636" s="2556"/>
      <c r="AU636" s="2556"/>
      <c r="AV636" s="2557"/>
      <c r="AW636" s="2520">
        <f t="shared" ca="1" si="182"/>
        <v>0</v>
      </c>
      <c r="AX636" s="2521"/>
      <c r="AY636" s="2521"/>
      <c r="AZ636" s="2522"/>
      <c r="BA636" s="25" t="b">
        <f t="shared" ca="1" si="183"/>
        <v>0</v>
      </c>
      <c r="BB636" t="s">
        <v>2383</v>
      </c>
    </row>
    <row r="637" spans="2:54" ht="13.5" customHeight="1">
      <c r="B637" s="2681"/>
      <c r="C637" s="2673"/>
      <c r="D637" s="2682"/>
      <c r="E637" s="327" t="s">
        <v>897</v>
      </c>
      <c r="F637" s="2714" t="s">
        <v>898</v>
      </c>
      <c r="G637" s="2714"/>
      <c r="H637" s="2714"/>
      <c r="I637" s="2714"/>
      <c r="J637" s="2714"/>
      <c r="K637" s="2714"/>
      <c r="L637" s="2714"/>
      <c r="M637" s="2714"/>
      <c r="N637" s="2714"/>
      <c r="O637" s="2714"/>
      <c r="P637" s="2715"/>
      <c r="Q637" s="2724"/>
      <c r="R637" s="2527"/>
      <c r="S637" s="2527"/>
      <c r="T637" s="1388" t="s">
        <v>64</v>
      </c>
      <c r="U637" s="2527"/>
      <c r="V637" s="2527"/>
      <c r="W637" s="2527"/>
      <c r="X637" s="1388" t="s">
        <v>64</v>
      </c>
      <c r="Y637" s="2527"/>
      <c r="Z637" s="2527"/>
      <c r="AA637" s="2527"/>
      <c r="AB637" s="1388" t="s">
        <v>64</v>
      </c>
      <c r="AC637" s="2527"/>
      <c r="AD637" s="2527"/>
      <c r="AE637" s="2527"/>
      <c r="AF637" s="1388" t="s">
        <v>64</v>
      </c>
      <c r="AG637" s="2527"/>
      <c r="AH637" s="2527"/>
      <c r="AI637" s="2786"/>
      <c r="AJ637" s="2543">
        <f t="shared" si="180"/>
        <v>0</v>
      </c>
      <c r="AK637" s="2544"/>
      <c r="AL637" s="2545"/>
      <c r="AM637" s="2505">
        <v>1</v>
      </c>
      <c r="AN637" s="2506"/>
      <c r="AO637" s="2507"/>
      <c r="AP637" s="2499">
        <f t="shared" si="181"/>
        <v>0</v>
      </c>
      <c r="AQ637" s="2500"/>
      <c r="AR637" s="2501"/>
      <c r="AS637" s="2555">
        <f ca="1">SUMIF(基礎・屋根・外壁!B$85:AE$85,F637,基礎・屋根・外壁!B$91:AE$91)+SUMIF(基礎・屋根・外壁!B$111:AE$111,F637,基礎・屋根・外壁!B$117:AE$117)+SUMIF(見積拾!C$160:D$164,F637,見積拾!T$160:T$164)</f>
        <v>0</v>
      </c>
      <c r="AT637" s="2556"/>
      <c r="AU637" s="2556"/>
      <c r="AV637" s="2557"/>
      <c r="AW637" s="2520">
        <f t="shared" ca="1" si="182"/>
        <v>0</v>
      </c>
      <c r="AX637" s="2521"/>
      <c r="AY637" s="2521"/>
      <c r="AZ637" s="2522"/>
      <c r="BA637" s="25" t="b">
        <f t="shared" ca="1" si="183"/>
        <v>0</v>
      </c>
      <c r="BB637"/>
    </row>
    <row r="638" spans="2:54" ht="13.5" customHeight="1">
      <c r="B638" s="2681"/>
      <c r="C638" s="2673"/>
      <c r="D638" s="2682"/>
      <c r="E638" s="327" t="s">
        <v>897</v>
      </c>
      <c r="F638" s="2714" t="s">
        <v>898</v>
      </c>
      <c r="G638" s="2714"/>
      <c r="H638" s="2714"/>
      <c r="I638" s="2714"/>
      <c r="J638" s="2714"/>
      <c r="K638" s="2714"/>
      <c r="L638" s="2714"/>
      <c r="M638" s="2714"/>
      <c r="N638" s="2714"/>
      <c r="O638" s="2714"/>
      <c r="P638" s="2715"/>
      <c r="Q638" s="2724"/>
      <c r="R638" s="2527"/>
      <c r="S638" s="2527"/>
      <c r="T638" s="1388" t="s">
        <v>907</v>
      </c>
      <c r="U638" s="2527"/>
      <c r="V638" s="2527"/>
      <c r="W638" s="2527"/>
      <c r="X638" s="1388" t="s">
        <v>907</v>
      </c>
      <c r="Y638" s="2527"/>
      <c r="Z638" s="2527"/>
      <c r="AA638" s="2527"/>
      <c r="AB638" s="1388" t="s">
        <v>907</v>
      </c>
      <c r="AC638" s="2527"/>
      <c r="AD638" s="2527"/>
      <c r="AE638" s="2527"/>
      <c r="AF638" s="1388" t="s">
        <v>907</v>
      </c>
      <c r="AG638" s="2527"/>
      <c r="AH638" s="2527"/>
      <c r="AI638" s="2786"/>
      <c r="AJ638" s="2543">
        <f t="shared" ref="AJ638:AJ650" si="184">ROUNDDOWN(SUM(Q638:AI638),-1)</f>
        <v>0</v>
      </c>
      <c r="AK638" s="2544"/>
      <c r="AL638" s="2545"/>
      <c r="AM638" s="2505">
        <v>1</v>
      </c>
      <c r="AN638" s="2506"/>
      <c r="AO638" s="2507"/>
      <c r="AP638" s="2499">
        <f t="shared" ref="AP638:AP650" si="185">INT(AJ638*AM638)</f>
        <v>0</v>
      </c>
      <c r="AQ638" s="2500"/>
      <c r="AR638" s="2501"/>
      <c r="AS638" s="2555">
        <f ca="1">SUMIF(基礎・屋根・外壁!B$85:AE$85,F638,基礎・屋根・外壁!B$91:AE$91)+SUMIF(基礎・屋根・外壁!B$111:AE$111,F638,基礎・屋根・外壁!B$117:AE$117)+SUMIF(見積拾!C$160:D$164,F638,見積拾!T$160:T$164)</f>
        <v>0</v>
      </c>
      <c r="AT638" s="2556"/>
      <c r="AU638" s="2556"/>
      <c r="AV638" s="2557"/>
      <c r="AW638" s="2520">
        <f t="shared" ref="AW638:AW650" ca="1" si="186">INT(AP638*AS638)</f>
        <v>0</v>
      </c>
      <c r="AX638" s="2521"/>
      <c r="AY638" s="2521"/>
      <c r="AZ638" s="2522"/>
      <c r="BA638" s="25" t="b">
        <f t="shared" ref="BA638:BA650" ca="1" si="187">AW638&lt;&gt;0</f>
        <v>0</v>
      </c>
      <c r="BB638"/>
    </row>
    <row r="639" spans="2:54" ht="13.5" customHeight="1">
      <c r="B639" s="2681"/>
      <c r="C639" s="2673"/>
      <c r="D639" s="2682"/>
      <c r="E639" s="327" t="s">
        <v>918</v>
      </c>
      <c r="F639" s="2714" t="s">
        <v>898</v>
      </c>
      <c r="G639" s="2714"/>
      <c r="H639" s="2714"/>
      <c r="I639" s="2714"/>
      <c r="J639" s="2714"/>
      <c r="K639" s="2714"/>
      <c r="L639" s="2714"/>
      <c r="M639" s="2714"/>
      <c r="N639" s="2714"/>
      <c r="O639" s="2714"/>
      <c r="P639" s="2715"/>
      <c r="Q639" s="2724"/>
      <c r="R639" s="2527"/>
      <c r="S639" s="2527"/>
      <c r="T639" s="1388" t="s">
        <v>907</v>
      </c>
      <c r="U639" s="2527"/>
      <c r="V639" s="2527"/>
      <c r="W639" s="2527"/>
      <c r="X639" s="1388" t="s">
        <v>907</v>
      </c>
      <c r="Y639" s="2527"/>
      <c r="Z639" s="2527"/>
      <c r="AA639" s="2527"/>
      <c r="AB639" s="1388" t="s">
        <v>907</v>
      </c>
      <c r="AC639" s="2527"/>
      <c r="AD639" s="2527"/>
      <c r="AE639" s="2527"/>
      <c r="AF639" s="1388" t="s">
        <v>907</v>
      </c>
      <c r="AG639" s="2527"/>
      <c r="AH639" s="2527"/>
      <c r="AI639" s="2786"/>
      <c r="AJ639" s="2543">
        <f t="shared" si="184"/>
        <v>0</v>
      </c>
      <c r="AK639" s="2544"/>
      <c r="AL639" s="2545"/>
      <c r="AM639" s="2505">
        <v>1</v>
      </c>
      <c r="AN639" s="2506"/>
      <c r="AO639" s="2507"/>
      <c r="AP639" s="2499">
        <f t="shared" si="185"/>
        <v>0</v>
      </c>
      <c r="AQ639" s="2500"/>
      <c r="AR639" s="2501"/>
      <c r="AS639" s="2555">
        <f ca="1">SUMIF(基礎・屋根・外壁!B$85:AE$85,F639,基礎・屋根・外壁!B$91:AE$91)+SUMIF(基礎・屋根・外壁!B$111:AE$111,F639,基礎・屋根・外壁!B$117:AE$117)+SUMIF(見積拾!C$160:D$164,F639,見積拾!T$160:T$164)</f>
        <v>0</v>
      </c>
      <c r="AT639" s="2556"/>
      <c r="AU639" s="2556"/>
      <c r="AV639" s="2557"/>
      <c r="AW639" s="2520">
        <f t="shared" ca="1" si="186"/>
        <v>0</v>
      </c>
      <c r="AX639" s="2521"/>
      <c r="AY639" s="2521"/>
      <c r="AZ639" s="2522"/>
      <c r="BA639" s="25" t="b">
        <f t="shared" ca="1" si="187"/>
        <v>0</v>
      </c>
      <c r="BB639"/>
    </row>
    <row r="640" spans="2:54" ht="13.5" customHeight="1">
      <c r="B640" s="2681"/>
      <c r="C640" s="2673"/>
      <c r="D640" s="2682"/>
      <c r="E640" s="328" t="s">
        <v>918</v>
      </c>
      <c r="F640" s="3088" t="s">
        <v>898</v>
      </c>
      <c r="G640" s="3088"/>
      <c r="H640" s="3088"/>
      <c r="I640" s="3088"/>
      <c r="J640" s="3088"/>
      <c r="K640" s="3088"/>
      <c r="L640" s="3088"/>
      <c r="M640" s="3088"/>
      <c r="N640" s="3088"/>
      <c r="O640" s="3088"/>
      <c r="P640" s="3089"/>
      <c r="Q640" s="3083"/>
      <c r="R640" s="2693"/>
      <c r="S640" s="2693"/>
      <c r="T640" s="1389" t="s">
        <v>907</v>
      </c>
      <c r="U640" s="2693"/>
      <c r="V640" s="2693"/>
      <c r="W640" s="2693"/>
      <c r="X640" s="1389" t="s">
        <v>907</v>
      </c>
      <c r="Y640" s="2693"/>
      <c r="Z640" s="2693"/>
      <c r="AA640" s="2693"/>
      <c r="AB640" s="1389" t="s">
        <v>907</v>
      </c>
      <c r="AC640" s="2693"/>
      <c r="AD640" s="2693"/>
      <c r="AE640" s="2693"/>
      <c r="AF640" s="1389" t="s">
        <v>907</v>
      </c>
      <c r="AG640" s="2693"/>
      <c r="AH640" s="2693"/>
      <c r="AI640" s="3114"/>
      <c r="AJ640" s="2662">
        <f t="shared" si="184"/>
        <v>0</v>
      </c>
      <c r="AK640" s="2663"/>
      <c r="AL640" s="2664"/>
      <c r="AM640" s="2558">
        <v>1</v>
      </c>
      <c r="AN640" s="2559"/>
      <c r="AO640" s="2560"/>
      <c r="AP640" s="2662">
        <f t="shared" si="185"/>
        <v>0</v>
      </c>
      <c r="AQ640" s="2663"/>
      <c r="AR640" s="2664"/>
      <c r="AS640" s="2555">
        <f ca="1">SUMIF(基礎・屋根・外壁!B$85:AE$85,F640,基礎・屋根・外壁!B$91:AE$91)+SUMIF(基礎・屋根・外壁!B$111:AE$111,F640,基礎・屋根・外壁!B$117:AE$117)+SUMIF(見積拾!C$160:D$164,F640,見積拾!T$160:T$164)</f>
        <v>0</v>
      </c>
      <c r="AT640" s="2556"/>
      <c r="AU640" s="2556"/>
      <c r="AV640" s="2557"/>
      <c r="AW640" s="2665">
        <f t="shared" ca="1" si="186"/>
        <v>0</v>
      </c>
      <c r="AX640" s="2666"/>
      <c r="AY640" s="2666"/>
      <c r="AZ640" s="2667"/>
      <c r="BA640" s="25" t="b">
        <f t="shared" ca="1" si="187"/>
        <v>0</v>
      </c>
      <c r="BB640"/>
    </row>
    <row r="641" spans="2:54" ht="13.5" customHeight="1">
      <c r="B641" s="2681"/>
      <c r="C641" s="2673"/>
      <c r="D641" s="2682"/>
      <c r="E641" s="2789" t="s">
        <v>1271</v>
      </c>
      <c r="F641" s="2790"/>
      <c r="G641" s="335" t="s">
        <v>893</v>
      </c>
      <c r="H641" s="3093" t="s">
        <v>940</v>
      </c>
      <c r="I641" s="3093"/>
      <c r="J641" s="3093"/>
      <c r="K641" s="3093"/>
      <c r="L641" s="3093"/>
      <c r="M641" s="3093"/>
      <c r="N641" s="3093"/>
      <c r="O641" s="3093"/>
      <c r="P641" s="3094"/>
      <c r="Q641" s="2787">
        <v>2900</v>
      </c>
      <c r="R641" s="2728"/>
      <c r="S641" s="2728"/>
      <c r="T641" s="336" t="s">
        <v>64</v>
      </c>
      <c r="U641" s="3096" t="s">
        <v>1173</v>
      </c>
      <c r="V641" s="3096"/>
      <c r="W641" s="3096"/>
      <c r="X641" s="336" t="s">
        <v>64</v>
      </c>
      <c r="Y641" s="3096" t="s">
        <v>1174</v>
      </c>
      <c r="Z641" s="3096"/>
      <c r="AA641" s="3096"/>
      <c r="AB641" s="336" t="s">
        <v>64</v>
      </c>
      <c r="AC641" s="2728"/>
      <c r="AD641" s="2728"/>
      <c r="AE641" s="2728"/>
      <c r="AF641" s="336" t="s">
        <v>64</v>
      </c>
      <c r="AG641" s="2728"/>
      <c r="AH641" s="2728"/>
      <c r="AI641" s="2728"/>
      <c r="AJ641" s="2609">
        <f t="shared" si="184"/>
        <v>2900</v>
      </c>
      <c r="AK641" s="2610"/>
      <c r="AL641" s="2611"/>
      <c r="AM641" s="2644">
        <v>1</v>
      </c>
      <c r="AN641" s="2645"/>
      <c r="AO641" s="2692"/>
      <c r="AP641" s="2651">
        <f t="shared" si="185"/>
        <v>2900</v>
      </c>
      <c r="AQ641" s="2652"/>
      <c r="AR641" s="2653"/>
      <c r="AS641" s="3084">
        <f>SUMIF(基礎・屋根・外壁!B$86:AE$86,H641,基礎・屋根・外壁!B$91:AE$91)+SUMIF(基礎・屋根・外壁!B$87:AE$87,H641,基礎・屋根・外壁!B$91:AE$91)+
SUMIF(基礎・屋根・外壁!B$112:AE$112,H641,基礎・屋根・外壁!B$117:AE$117)+SUMIF(基礎・屋根・外壁!B$113:AE$113,H641,基礎・屋根・外壁!B$117:AE$117)+
SUMIF(見積拾!D$165:D$169,H641,見積拾!T$165:T$169)</f>
        <v>0</v>
      </c>
      <c r="AT641" s="3085"/>
      <c r="AU641" s="3085"/>
      <c r="AV641" s="3086"/>
      <c r="AW641" s="2609">
        <f t="shared" si="186"/>
        <v>0</v>
      </c>
      <c r="AX641" s="2610"/>
      <c r="AY641" s="2610"/>
      <c r="AZ641" s="2611"/>
      <c r="BA641" s="25" t="b">
        <f t="shared" si="187"/>
        <v>0</v>
      </c>
      <c r="BB641"/>
    </row>
    <row r="642" spans="2:54" ht="13.5" customHeight="1">
      <c r="B642" s="2681"/>
      <c r="C642" s="2673"/>
      <c r="D642" s="2682"/>
      <c r="E642" s="2734"/>
      <c r="F642" s="2674"/>
      <c r="G642" s="337" t="s">
        <v>893</v>
      </c>
      <c r="H642" s="2712" t="s">
        <v>941</v>
      </c>
      <c r="I642" s="2712"/>
      <c r="J642" s="2712"/>
      <c r="K642" s="2712"/>
      <c r="L642" s="2712"/>
      <c r="M642" s="2712"/>
      <c r="N642" s="2712"/>
      <c r="O642" s="2712"/>
      <c r="P642" s="2713"/>
      <c r="Q642" s="2694">
        <v>1360</v>
      </c>
      <c r="R642" s="2689"/>
      <c r="S642" s="2689"/>
      <c r="T642" s="326" t="s">
        <v>64</v>
      </c>
      <c r="U642" s="2710" t="s">
        <v>1173</v>
      </c>
      <c r="V642" s="2710"/>
      <c r="W642" s="2710"/>
      <c r="X642" s="326" t="s">
        <v>64</v>
      </c>
      <c r="Y642" s="2710" t="s">
        <v>1174</v>
      </c>
      <c r="Z642" s="2710"/>
      <c r="AA642" s="2710"/>
      <c r="AB642" s="326" t="s">
        <v>64</v>
      </c>
      <c r="AC642" s="2689"/>
      <c r="AD642" s="2689"/>
      <c r="AE642" s="2689"/>
      <c r="AF642" s="326" t="s">
        <v>64</v>
      </c>
      <c r="AG642" s="2689"/>
      <c r="AH642" s="2689"/>
      <c r="AI642" s="2689"/>
      <c r="AJ642" s="2561">
        <f t="shared" si="184"/>
        <v>1360</v>
      </c>
      <c r="AK642" s="2562"/>
      <c r="AL642" s="2563"/>
      <c r="AM642" s="2502">
        <v>1</v>
      </c>
      <c r="AN642" s="2503"/>
      <c r="AO642" s="2504"/>
      <c r="AP642" s="2499">
        <f t="shared" si="185"/>
        <v>1360</v>
      </c>
      <c r="AQ642" s="2500"/>
      <c r="AR642" s="2501"/>
      <c r="AS642" s="2555">
        <f>SUMIF(基礎・屋根・外壁!B$86:AE$86,H642,基礎・屋根・外壁!B$91:AE$91)+SUMIF(基礎・屋根・外壁!B$87:AE$87,H642,基礎・屋根・外壁!B$91:AE$91)+
SUMIF(基礎・屋根・外壁!B$112:AE$112,H642,基礎・屋根・外壁!B$117:AE$117)+SUMIF(基礎・屋根・外壁!B$113:AE$113,H642,基礎・屋根・外壁!B$117:AE$117)+
SUMIF(見積拾!D$165:D$169,H642,見積拾!T$165:T$169)</f>
        <v>0</v>
      </c>
      <c r="AT642" s="2556"/>
      <c r="AU642" s="2556"/>
      <c r="AV642" s="2557"/>
      <c r="AW642" s="2561">
        <f t="shared" si="186"/>
        <v>0</v>
      </c>
      <c r="AX642" s="2562"/>
      <c r="AY642" s="2562"/>
      <c r="AZ642" s="2563"/>
      <c r="BA642" s="25" t="b">
        <f t="shared" si="187"/>
        <v>0</v>
      </c>
      <c r="BB642"/>
    </row>
    <row r="643" spans="2:54" ht="13.5" customHeight="1">
      <c r="B643" s="2681"/>
      <c r="C643" s="2673"/>
      <c r="D643" s="2682"/>
      <c r="E643" s="2734"/>
      <c r="F643" s="2674"/>
      <c r="G643" s="337" t="s">
        <v>893</v>
      </c>
      <c r="H643" s="2712" t="s">
        <v>942</v>
      </c>
      <c r="I643" s="2712"/>
      <c r="J643" s="2712"/>
      <c r="K643" s="2712"/>
      <c r="L643" s="2712"/>
      <c r="M643" s="2712"/>
      <c r="N643" s="2712"/>
      <c r="O643" s="2712"/>
      <c r="P643" s="2713"/>
      <c r="Q643" s="2694">
        <v>930</v>
      </c>
      <c r="R643" s="2689"/>
      <c r="S643" s="2689"/>
      <c r="T643" s="326" t="s">
        <v>64</v>
      </c>
      <c r="U643" s="2710" t="s">
        <v>1173</v>
      </c>
      <c r="V643" s="2710"/>
      <c r="W643" s="2710"/>
      <c r="X643" s="326" t="s">
        <v>64</v>
      </c>
      <c r="Y643" s="2710" t="s">
        <v>1174</v>
      </c>
      <c r="Z643" s="2710"/>
      <c r="AA643" s="2710"/>
      <c r="AB643" s="326" t="s">
        <v>64</v>
      </c>
      <c r="AC643" s="2689"/>
      <c r="AD643" s="2689"/>
      <c r="AE643" s="2689"/>
      <c r="AF643" s="326" t="s">
        <v>64</v>
      </c>
      <c r="AG643" s="2689"/>
      <c r="AH643" s="2689"/>
      <c r="AI643" s="2689"/>
      <c r="AJ643" s="2561">
        <f t="shared" si="184"/>
        <v>930</v>
      </c>
      <c r="AK643" s="2562"/>
      <c r="AL643" s="2563"/>
      <c r="AM643" s="2502">
        <v>1</v>
      </c>
      <c r="AN643" s="2503"/>
      <c r="AO643" s="2504"/>
      <c r="AP643" s="2499">
        <f t="shared" si="185"/>
        <v>930</v>
      </c>
      <c r="AQ643" s="2500"/>
      <c r="AR643" s="2501"/>
      <c r="AS643" s="2555">
        <f>SUMIF(基礎・屋根・外壁!B$86:AE$86,H643,基礎・屋根・外壁!B$91:AE$91)+SUMIF(基礎・屋根・外壁!B$87:AE$87,H643,基礎・屋根・外壁!B$91:AE$91)+
SUMIF(基礎・屋根・外壁!B$112:AE$112,H643,基礎・屋根・外壁!B$117:AE$117)+SUMIF(基礎・屋根・外壁!B$113:AE$113,H643,基礎・屋根・外壁!B$117:AE$117)+
SUMIF(見積拾!D$165:D$169,H643,見積拾!T$165:T$169)</f>
        <v>0</v>
      </c>
      <c r="AT643" s="2556"/>
      <c r="AU643" s="2556"/>
      <c r="AV643" s="2557"/>
      <c r="AW643" s="2561">
        <f t="shared" si="186"/>
        <v>0</v>
      </c>
      <c r="AX643" s="2562"/>
      <c r="AY643" s="2562"/>
      <c r="AZ643" s="2563"/>
      <c r="BA643" s="25" t="b">
        <f t="shared" si="187"/>
        <v>0</v>
      </c>
      <c r="BB643"/>
    </row>
    <row r="644" spans="2:54" s="1929" customFormat="1" ht="13.5" customHeight="1">
      <c r="B644" s="2681"/>
      <c r="C644" s="2673"/>
      <c r="D644" s="2683"/>
      <c r="E644" s="2734"/>
      <c r="F644" s="2791"/>
      <c r="G644" s="337" t="s">
        <v>893</v>
      </c>
      <c r="H644" s="2712" t="s">
        <v>1959</v>
      </c>
      <c r="I644" s="2712"/>
      <c r="J644" s="2712"/>
      <c r="K644" s="2712"/>
      <c r="L644" s="2712"/>
      <c r="M644" s="2712"/>
      <c r="N644" s="2712"/>
      <c r="O644" s="2712"/>
      <c r="P644" s="2713"/>
      <c r="Q644" s="2694">
        <v>1790</v>
      </c>
      <c r="R644" s="2689"/>
      <c r="S644" s="2689"/>
      <c r="T644" s="326" t="s">
        <v>64</v>
      </c>
      <c r="U644" s="2710" t="s">
        <v>1173</v>
      </c>
      <c r="V644" s="2710"/>
      <c r="W644" s="2710"/>
      <c r="X644" s="326" t="s">
        <v>64</v>
      </c>
      <c r="Y644" s="2710" t="s">
        <v>1174</v>
      </c>
      <c r="Z644" s="2710"/>
      <c r="AA644" s="2710"/>
      <c r="AB644" s="326" t="s">
        <v>64</v>
      </c>
      <c r="AC644" s="2689"/>
      <c r="AD644" s="2689"/>
      <c r="AE644" s="2689"/>
      <c r="AF644" s="326" t="s">
        <v>64</v>
      </c>
      <c r="AG644" s="2689"/>
      <c r="AH644" s="2689"/>
      <c r="AI644" s="2689"/>
      <c r="AJ644" s="2561">
        <f t="shared" ref="AJ644:AJ649" si="188">ROUNDDOWN(SUM(Q644:AI644),-1)</f>
        <v>1790</v>
      </c>
      <c r="AK644" s="2562"/>
      <c r="AL644" s="2563"/>
      <c r="AM644" s="2502">
        <v>1</v>
      </c>
      <c r="AN644" s="2503"/>
      <c r="AO644" s="2504"/>
      <c r="AP644" s="2499">
        <f t="shared" si="185"/>
        <v>1790</v>
      </c>
      <c r="AQ644" s="2500"/>
      <c r="AR644" s="2501"/>
      <c r="AS644" s="2555">
        <f>SUMIF(基礎・屋根・外壁!B$86:AE$86,H644,基礎・屋根・外壁!B$91:AE$91)+SUMIF(基礎・屋根・外壁!B$87:AE$87,H644,基礎・屋根・外壁!B$91:AE$91)+
SUMIF(基礎・屋根・外壁!B$112:AE$112,H644,基礎・屋根・外壁!B$117:AE$117)+SUMIF(基礎・屋根・外壁!B$113:AE$113,H644,基礎・屋根・外壁!B$117:AE$117)+
SUMIF(見積拾!D$165:D$169,H644,見積拾!T$165:T$169)</f>
        <v>0</v>
      </c>
      <c r="AT644" s="2556"/>
      <c r="AU644" s="2556"/>
      <c r="AV644" s="2557"/>
      <c r="AW644" s="2561">
        <f t="shared" si="186"/>
        <v>0</v>
      </c>
      <c r="AX644" s="2562"/>
      <c r="AY644" s="2562"/>
      <c r="AZ644" s="2563"/>
      <c r="BA644" s="25" t="b">
        <f t="shared" si="187"/>
        <v>0</v>
      </c>
    </row>
    <row r="645" spans="2:54" s="1929" customFormat="1" ht="13.5" customHeight="1">
      <c r="B645" s="2681"/>
      <c r="C645" s="2673"/>
      <c r="D645" s="2683"/>
      <c r="E645" s="2734"/>
      <c r="F645" s="2791"/>
      <c r="G645" s="337" t="s">
        <v>893</v>
      </c>
      <c r="H645" s="2712" t="s">
        <v>1960</v>
      </c>
      <c r="I645" s="2712"/>
      <c r="J645" s="2712"/>
      <c r="K645" s="2712"/>
      <c r="L645" s="2712"/>
      <c r="M645" s="2712"/>
      <c r="N645" s="2712"/>
      <c r="O645" s="2712"/>
      <c r="P645" s="2713"/>
      <c r="Q645" s="2694">
        <v>990</v>
      </c>
      <c r="R645" s="2689"/>
      <c r="S645" s="2689"/>
      <c r="T645" s="326" t="s">
        <v>64</v>
      </c>
      <c r="U645" s="2710" t="s">
        <v>1173</v>
      </c>
      <c r="V645" s="2710"/>
      <c r="W645" s="2710"/>
      <c r="X645" s="326" t="s">
        <v>64</v>
      </c>
      <c r="Y645" s="2710" t="s">
        <v>1174</v>
      </c>
      <c r="Z645" s="2710"/>
      <c r="AA645" s="2710"/>
      <c r="AB645" s="326" t="s">
        <v>64</v>
      </c>
      <c r="AC645" s="2689"/>
      <c r="AD645" s="2689"/>
      <c r="AE645" s="2689"/>
      <c r="AF645" s="326" t="s">
        <v>64</v>
      </c>
      <c r="AG645" s="2689"/>
      <c r="AH645" s="2689"/>
      <c r="AI645" s="2689"/>
      <c r="AJ645" s="2561">
        <f t="shared" si="188"/>
        <v>990</v>
      </c>
      <c r="AK645" s="2562"/>
      <c r="AL645" s="2563"/>
      <c r="AM645" s="2502">
        <v>1</v>
      </c>
      <c r="AN645" s="2503"/>
      <c r="AO645" s="2504"/>
      <c r="AP645" s="2499">
        <f t="shared" si="185"/>
        <v>990</v>
      </c>
      <c r="AQ645" s="2500"/>
      <c r="AR645" s="2501"/>
      <c r="AS645" s="2555">
        <f>SUMIF(基礎・屋根・外壁!B$86:AE$86,H645,基礎・屋根・外壁!B$91:AE$91)+SUMIF(基礎・屋根・外壁!B$87:AE$87,H645,基礎・屋根・外壁!B$91:AE$91)+
SUMIF(基礎・屋根・外壁!B$112:AE$112,H645,基礎・屋根・外壁!B$117:AE$117)+SUMIF(基礎・屋根・外壁!B$113:AE$113,H645,基礎・屋根・外壁!B$117:AE$117)+
SUMIF(見積拾!D$165:D$169,H645,見積拾!T$165:T$169)</f>
        <v>0</v>
      </c>
      <c r="AT645" s="2556"/>
      <c r="AU645" s="2556"/>
      <c r="AV645" s="2557"/>
      <c r="AW645" s="2561">
        <f t="shared" si="186"/>
        <v>0</v>
      </c>
      <c r="AX645" s="2562"/>
      <c r="AY645" s="2562"/>
      <c r="AZ645" s="2563"/>
      <c r="BA645" s="25" t="b">
        <f t="shared" si="187"/>
        <v>0</v>
      </c>
    </row>
    <row r="646" spans="2:54" s="1929" customFormat="1" ht="13.5" customHeight="1">
      <c r="B646" s="2681"/>
      <c r="C646" s="2673"/>
      <c r="D646" s="2683"/>
      <c r="E646" s="2734"/>
      <c r="F646" s="2791"/>
      <c r="G646" s="337" t="s">
        <v>893</v>
      </c>
      <c r="H646" s="2712" t="s">
        <v>1961</v>
      </c>
      <c r="I646" s="2712"/>
      <c r="J646" s="2712"/>
      <c r="K646" s="2712"/>
      <c r="L646" s="2712"/>
      <c r="M646" s="2712"/>
      <c r="N646" s="2712"/>
      <c r="O646" s="2712"/>
      <c r="P646" s="2713"/>
      <c r="Q646" s="2694">
        <v>1750</v>
      </c>
      <c r="R646" s="2689"/>
      <c r="S646" s="2689"/>
      <c r="T646" s="326" t="s">
        <v>64</v>
      </c>
      <c r="U646" s="2710" t="s">
        <v>1173</v>
      </c>
      <c r="V646" s="2710"/>
      <c r="W646" s="2710"/>
      <c r="X646" s="326" t="s">
        <v>64</v>
      </c>
      <c r="Y646" s="2710" t="s">
        <v>1174</v>
      </c>
      <c r="Z646" s="2710"/>
      <c r="AA646" s="2710"/>
      <c r="AB646" s="326" t="s">
        <v>64</v>
      </c>
      <c r="AC646" s="2689"/>
      <c r="AD646" s="2689"/>
      <c r="AE646" s="2689"/>
      <c r="AF646" s="326" t="s">
        <v>64</v>
      </c>
      <c r="AG646" s="2689"/>
      <c r="AH646" s="2689"/>
      <c r="AI646" s="2689"/>
      <c r="AJ646" s="2561">
        <f t="shared" si="188"/>
        <v>1750</v>
      </c>
      <c r="AK646" s="2562"/>
      <c r="AL646" s="2563"/>
      <c r="AM646" s="2502">
        <v>1</v>
      </c>
      <c r="AN646" s="2503"/>
      <c r="AO646" s="2504"/>
      <c r="AP646" s="2499">
        <f t="shared" si="185"/>
        <v>1750</v>
      </c>
      <c r="AQ646" s="2500"/>
      <c r="AR646" s="2501"/>
      <c r="AS646" s="2555">
        <f>SUMIF(基礎・屋根・外壁!B$86:AE$86,H646,基礎・屋根・外壁!B$91:AE$91)+SUMIF(基礎・屋根・外壁!B$87:AE$87,H646,基礎・屋根・外壁!B$91:AE$91)+
SUMIF(基礎・屋根・外壁!B$112:AE$112,H646,基礎・屋根・外壁!B$117:AE$117)+SUMIF(基礎・屋根・外壁!B$113:AE$113,H646,基礎・屋根・外壁!B$117:AE$117)+
SUMIF(見積拾!D$165:D$169,H646,見積拾!T$165:T$169)</f>
        <v>0</v>
      </c>
      <c r="AT646" s="2556"/>
      <c r="AU646" s="2556"/>
      <c r="AV646" s="2557"/>
      <c r="AW646" s="2561">
        <f t="shared" si="186"/>
        <v>0</v>
      </c>
      <c r="AX646" s="2562"/>
      <c r="AY646" s="2562"/>
      <c r="AZ646" s="2563"/>
      <c r="BA646" s="25" t="b">
        <f t="shared" si="187"/>
        <v>0</v>
      </c>
    </row>
    <row r="647" spans="2:54" s="1929" customFormat="1" ht="13.5" customHeight="1">
      <c r="B647" s="2681"/>
      <c r="C647" s="2673"/>
      <c r="D647" s="2683"/>
      <c r="E647" s="2734"/>
      <c r="F647" s="2791"/>
      <c r="G647" s="337" t="s">
        <v>893</v>
      </c>
      <c r="H647" s="2712" t="s">
        <v>1962</v>
      </c>
      <c r="I647" s="2712"/>
      <c r="J647" s="2712"/>
      <c r="K647" s="2712"/>
      <c r="L647" s="2712"/>
      <c r="M647" s="2712"/>
      <c r="N647" s="2712"/>
      <c r="O647" s="2712"/>
      <c r="P647" s="2713"/>
      <c r="Q647" s="2694">
        <v>810</v>
      </c>
      <c r="R647" s="2689"/>
      <c r="S647" s="2689"/>
      <c r="T647" s="326" t="s">
        <v>64</v>
      </c>
      <c r="U647" s="2710" t="s">
        <v>1173</v>
      </c>
      <c r="V647" s="2710"/>
      <c r="W647" s="2710"/>
      <c r="X647" s="326" t="s">
        <v>64</v>
      </c>
      <c r="Y647" s="2710" t="s">
        <v>1174</v>
      </c>
      <c r="Z647" s="2710"/>
      <c r="AA647" s="2710"/>
      <c r="AB647" s="326" t="s">
        <v>64</v>
      </c>
      <c r="AC647" s="2689"/>
      <c r="AD647" s="2689"/>
      <c r="AE647" s="2689"/>
      <c r="AF647" s="326" t="s">
        <v>64</v>
      </c>
      <c r="AG647" s="2689"/>
      <c r="AH647" s="2689"/>
      <c r="AI647" s="2689"/>
      <c r="AJ647" s="2561">
        <f t="shared" si="188"/>
        <v>810</v>
      </c>
      <c r="AK647" s="2562"/>
      <c r="AL647" s="2563"/>
      <c r="AM647" s="2502">
        <v>1</v>
      </c>
      <c r="AN647" s="2503"/>
      <c r="AO647" s="2504"/>
      <c r="AP647" s="2499">
        <f t="shared" si="185"/>
        <v>810</v>
      </c>
      <c r="AQ647" s="2500"/>
      <c r="AR647" s="2501"/>
      <c r="AS647" s="2555">
        <f>SUMIF(基礎・屋根・外壁!B$86:AE$86,H647,基礎・屋根・外壁!B$91:AE$91)+SUMIF(基礎・屋根・外壁!B$87:AE$87,H647,基礎・屋根・外壁!B$91:AE$91)+
SUMIF(基礎・屋根・外壁!B$112:AE$112,H647,基礎・屋根・外壁!B$117:AE$117)+SUMIF(基礎・屋根・外壁!B$113:AE$113,H647,基礎・屋根・外壁!B$117:AE$117)+
SUMIF(見積拾!D$165:D$169,H647,見積拾!T$165:T$169)</f>
        <v>0</v>
      </c>
      <c r="AT647" s="2556"/>
      <c r="AU647" s="2556"/>
      <c r="AV647" s="2557"/>
      <c r="AW647" s="2561">
        <f t="shared" si="186"/>
        <v>0</v>
      </c>
      <c r="AX647" s="2562"/>
      <c r="AY647" s="2562"/>
      <c r="AZ647" s="2563"/>
      <c r="BA647" s="25" t="b">
        <f t="shared" si="187"/>
        <v>0</v>
      </c>
    </row>
    <row r="648" spans="2:54" s="1929" customFormat="1" ht="13.5" customHeight="1">
      <c r="B648" s="2681"/>
      <c r="C648" s="2673"/>
      <c r="D648" s="2683"/>
      <c r="E648" s="2734"/>
      <c r="F648" s="2791"/>
      <c r="G648" s="337" t="s">
        <v>893</v>
      </c>
      <c r="H648" s="2712" t="s">
        <v>1270</v>
      </c>
      <c r="I648" s="2712"/>
      <c r="J648" s="2712"/>
      <c r="K648" s="2712"/>
      <c r="L648" s="2712"/>
      <c r="M648" s="2712"/>
      <c r="N648" s="2712"/>
      <c r="O648" s="2712"/>
      <c r="P648" s="2713"/>
      <c r="Q648" s="2694">
        <v>1880</v>
      </c>
      <c r="R648" s="2689"/>
      <c r="S648" s="2689"/>
      <c r="T648" s="326" t="s">
        <v>64</v>
      </c>
      <c r="U648" s="2710" t="s">
        <v>1173</v>
      </c>
      <c r="V648" s="2710"/>
      <c r="W648" s="2710"/>
      <c r="X648" s="326" t="s">
        <v>64</v>
      </c>
      <c r="Y648" s="2710" t="s">
        <v>1174</v>
      </c>
      <c r="Z648" s="2710"/>
      <c r="AA648" s="2710"/>
      <c r="AB648" s="326" t="s">
        <v>64</v>
      </c>
      <c r="AC648" s="2689"/>
      <c r="AD648" s="2689"/>
      <c r="AE648" s="2689"/>
      <c r="AF648" s="326" t="s">
        <v>64</v>
      </c>
      <c r="AG648" s="2689"/>
      <c r="AH648" s="2689"/>
      <c r="AI648" s="2689"/>
      <c r="AJ648" s="2561">
        <f t="shared" si="188"/>
        <v>1880</v>
      </c>
      <c r="AK648" s="2562"/>
      <c r="AL648" s="2563"/>
      <c r="AM648" s="2502">
        <v>1</v>
      </c>
      <c r="AN648" s="2503"/>
      <c r="AO648" s="2504"/>
      <c r="AP648" s="2499">
        <f t="shared" si="185"/>
        <v>1880</v>
      </c>
      <c r="AQ648" s="2500"/>
      <c r="AR648" s="2501"/>
      <c r="AS648" s="2555">
        <f>SUMIF(基礎・屋根・外壁!B$86:AE$86,H648,基礎・屋根・外壁!B$91:AE$91)+SUMIF(基礎・屋根・外壁!B$87:AE$87,H648,基礎・屋根・外壁!B$91:AE$91)+
SUMIF(基礎・屋根・外壁!B$112:AE$112,H648,基礎・屋根・外壁!B$117:AE$117)+SUMIF(基礎・屋根・外壁!B$113:AE$113,H648,基礎・屋根・外壁!B$117:AE$117)+
SUMIF(見積拾!D$165:D$169,H648,見積拾!T$165:T$169)</f>
        <v>0</v>
      </c>
      <c r="AT648" s="2556"/>
      <c r="AU648" s="2556"/>
      <c r="AV648" s="2557"/>
      <c r="AW648" s="2561">
        <f t="shared" si="186"/>
        <v>0</v>
      </c>
      <c r="AX648" s="2562"/>
      <c r="AY648" s="2562"/>
      <c r="AZ648" s="2563"/>
      <c r="BA648" s="25" t="b">
        <f t="shared" si="187"/>
        <v>0</v>
      </c>
    </row>
    <row r="649" spans="2:54" s="1929" customFormat="1" ht="13.5" customHeight="1">
      <c r="B649" s="2681"/>
      <c r="C649" s="2673"/>
      <c r="D649" s="2683"/>
      <c r="E649" s="2734"/>
      <c r="F649" s="2791"/>
      <c r="G649" s="337" t="s">
        <v>893</v>
      </c>
      <c r="H649" s="2712" t="s">
        <v>1963</v>
      </c>
      <c r="I649" s="2712"/>
      <c r="J649" s="2712"/>
      <c r="K649" s="2712"/>
      <c r="L649" s="2712"/>
      <c r="M649" s="2712"/>
      <c r="N649" s="2712"/>
      <c r="O649" s="2712"/>
      <c r="P649" s="2713"/>
      <c r="Q649" s="2694">
        <v>730</v>
      </c>
      <c r="R649" s="2689"/>
      <c r="S649" s="2689"/>
      <c r="T649" s="326" t="s">
        <v>64</v>
      </c>
      <c r="U649" s="2710" t="s">
        <v>1173</v>
      </c>
      <c r="V649" s="2710"/>
      <c r="W649" s="2710"/>
      <c r="X649" s="326" t="s">
        <v>64</v>
      </c>
      <c r="Y649" s="2710" t="s">
        <v>1174</v>
      </c>
      <c r="Z649" s="2710"/>
      <c r="AA649" s="2710"/>
      <c r="AB649" s="326" t="s">
        <v>64</v>
      </c>
      <c r="AC649" s="2689"/>
      <c r="AD649" s="2689"/>
      <c r="AE649" s="2689"/>
      <c r="AF649" s="326" t="s">
        <v>64</v>
      </c>
      <c r="AG649" s="2689"/>
      <c r="AH649" s="2689"/>
      <c r="AI649" s="2689"/>
      <c r="AJ649" s="2561">
        <f t="shared" si="188"/>
        <v>730</v>
      </c>
      <c r="AK649" s="2562"/>
      <c r="AL649" s="2563"/>
      <c r="AM649" s="2502">
        <v>1</v>
      </c>
      <c r="AN649" s="2503"/>
      <c r="AO649" s="2504"/>
      <c r="AP649" s="2499">
        <f t="shared" si="185"/>
        <v>730</v>
      </c>
      <c r="AQ649" s="2500"/>
      <c r="AR649" s="2501"/>
      <c r="AS649" s="2555">
        <f>SUMIF(基礎・屋根・外壁!B$86:AE$86,H649,基礎・屋根・外壁!B$91:AE$91)+SUMIF(基礎・屋根・外壁!B$87:AE$87,H649,基礎・屋根・外壁!B$91:AE$91)+
SUMIF(基礎・屋根・外壁!B$112:AE$112,H649,基礎・屋根・外壁!B$117:AE$117)+SUMIF(基礎・屋根・外壁!B$113:AE$113,H649,基礎・屋根・外壁!B$117:AE$117)+
SUMIF(見積拾!D$165:D$169,H649,見積拾!T$165:T$169)</f>
        <v>0</v>
      </c>
      <c r="AT649" s="2556"/>
      <c r="AU649" s="2556"/>
      <c r="AV649" s="2557"/>
      <c r="AW649" s="2561">
        <f t="shared" si="186"/>
        <v>0</v>
      </c>
      <c r="AX649" s="2562"/>
      <c r="AY649" s="2562"/>
      <c r="AZ649" s="2563"/>
      <c r="BA649" s="25" t="b">
        <f t="shared" si="187"/>
        <v>0</v>
      </c>
    </row>
    <row r="650" spans="2:54" ht="13.5" customHeight="1">
      <c r="B650" s="2681"/>
      <c r="C650" s="2673"/>
      <c r="D650" s="2682"/>
      <c r="E650" s="2735"/>
      <c r="F650" s="2677"/>
      <c r="G650" s="342" t="s">
        <v>65</v>
      </c>
      <c r="H650" s="2738" t="s">
        <v>943</v>
      </c>
      <c r="I650" s="2738"/>
      <c r="J650" s="2738"/>
      <c r="K650" s="2738"/>
      <c r="L650" s="2738"/>
      <c r="M650" s="2738"/>
      <c r="N650" s="2738"/>
      <c r="O650" s="2738"/>
      <c r="P650" s="2739"/>
      <c r="Q650" s="2758"/>
      <c r="R650" s="2759"/>
      <c r="S650" s="2759"/>
      <c r="T650" s="343"/>
      <c r="U650" s="2759"/>
      <c r="V650" s="2759"/>
      <c r="W650" s="2759"/>
      <c r="X650" s="343"/>
      <c r="Y650" s="2759"/>
      <c r="Z650" s="2759"/>
      <c r="AA650" s="2759"/>
      <c r="AB650" s="343"/>
      <c r="AC650" s="2759"/>
      <c r="AD650" s="2759"/>
      <c r="AE650" s="2759"/>
      <c r="AF650" s="343"/>
      <c r="AG650" s="2759"/>
      <c r="AH650" s="2759"/>
      <c r="AI650" s="2759"/>
      <c r="AJ650" s="2866">
        <f t="shared" si="184"/>
        <v>0</v>
      </c>
      <c r="AK650" s="2760"/>
      <c r="AL650" s="2838"/>
      <c r="AM650" s="3145">
        <v>1</v>
      </c>
      <c r="AN650" s="3146"/>
      <c r="AO650" s="3147"/>
      <c r="AP650" s="2866">
        <f t="shared" si="185"/>
        <v>0</v>
      </c>
      <c r="AQ650" s="2760"/>
      <c r="AR650" s="2838"/>
      <c r="AS650" s="3148"/>
      <c r="AT650" s="3149"/>
      <c r="AU650" s="3149"/>
      <c r="AV650" s="3150"/>
      <c r="AW650" s="2904">
        <f t="shared" si="186"/>
        <v>0</v>
      </c>
      <c r="AX650" s="2905"/>
      <c r="AY650" s="2905"/>
      <c r="AZ650" s="2906"/>
      <c r="BA650" s="25" t="b">
        <f t="shared" si="187"/>
        <v>0</v>
      </c>
      <c r="BB650"/>
    </row>
    <row r="651" spans="2:54" ht="13.5" customHeight="1">
      <c r="B651" s="2681"/>
      <c r="C651" s="2673"/>
      <c r="D651" s="2682"/>
      <c r="E651" s="2734" t="s">
        <v>972</v>
      </c>
      <c r="F651" s="2674"/>
      <c r="G651" s="244" t="s">
        <v>973</v>
      </c>
      <c r="H651" s="244"/>
      <c r="I651" s="244"/>
      <c r="J651" s="244"/>
      <c r="K651" s="244"/>
      <c r="L651" s="244"/>
      <c r="M651" s="244"/>
      <c r="N651" s="244"/>
      <c r="O651" s="244"/>
      <c r="P651" s="244"/>
      <c r="Q651" s="245" t="s">
        <v>974</v>
      </c>
      <c r="R651" s="244"/>
      <c r="S651" s="244"/>
      <c r="T651" s="244"/>
      <c r="U651" s="244"/>
      <c r="V651" s="244"/>
      <c r="W651" s="244"/>
      <c r="X651" s="244"/>
      <c r="Y651" s="244"/>
      <c r="Z651" s="244"/>
      <c r="AA651" s="244"/>
      <c r="AB651" s="244"/>
      <c r="AC651" s="246"/>
      <c r="AD651" s="245" t="s">
        <v>975</v>
      </c>
      <c r="AE651" s="244"/>
      <c r="AF651" s="244"/>
      <c r="AG651" s="244"/>
      <c r="AH651" s="244"/>
      <c r="AI651" s="246"/>
      <c r="AJ651" s="245" t="s">
        <v>889</v>
      </c>
      <c r="AK651" s="244"/>
      <c r="AL651" s="246"/>
      <c r="AM651" s="245" t="s">
        <v>765</v>
      </c>
      <c r="AN651" s="244"/>
      <c r="AO651" s="246"/>
      <c r="AP651" s="245" t="s">
        <v>976</v>
      </c>
      <c r="AQ651" s="244"/>
      <c r="AR651" s="246"/>
      <c r="AS651" s="245" t="s">
        <v>977</v>
      </c>
      <c r="AT651" s="244"/>
      <c r="AU651" s="244"/>
      <c r="AV651" s="246"/>
      <c r="AW651" s="3153" t="s">
        <v>762</v>
      </c>
      <c r="AX651" s="3153"/>
      <c r="AY651" s="3153"/>
      <c r="AZ651" s="3153"/>
      <c r="BA651" s="25" t="b">
        <f>SUM(AW652:AZ658)&lt;&gt;0</f>
        <v>0</v>
      </c>
      <c r="BB651"/>
    </row>
    <row r="652" spans="2:54" ht="13.5" customHeight="1">
      <c r="B652" s="2681"/>
      <c r="C652" s="2673"/>
      <c r="D652" s="2682"/>
      <c r="E652" s="2734"/>
      <c r="F652" s="2674"/>
      <c r="G652" s="2697"/>
      <c r="H652" s="2697"/>
      <c r="I652" s="2697"/>
      <c r="J652" s="2697"/>
      <c r="K652" s="2697"/>
      <c r="L652" s="2697"/>
      <c r="M652" s="2697"/>
      <c r="N652" s="2697"/>
      <c r="O652" s="2697"/>
      <c r="P652" s="2698"/>
      <c r="Q652" s="3105"/>
      <c r="R652" s="2725"/>
      <c r="S652" s="323" t="s">
        <v>978</v>
      </c>
      <c r="T652" s="336" t="s">
        <v>979</v>
      </c>
      <c r="U652" s="2725"/>
      <c r="V652" s="2725"/>
      <c r="W652" s="323" t="s">
        <v>978</v>
      </c>
      <c r="X652" s="263" t="s">
        <v>980</v>
      </c>
      <c r="Y652" s="2726">
        <f t="shared" ref="Y652:Y657" si="189">INT(Q652*U652)</f>
        <v>0</v>
      </c>
      <c r="Z652" s="2726"/>
      <c r="AA652" s="2727"/>
      <c r="AB652" s="344">
        <f>ROUNDDOWN(IF(Y652&gt;Y$656,1+(AB$655-AB$656)/(Y$655-Y$656)*(Y652-Y$656),1-(AB$656-AB$657)/(Y$656-Y$657)*(Y$656-Y652)),2)</f>
        <v>0.6</v>
      </c>
      <c r="AC652" s="345"/>
      <c r="AD652" s="2696"/>
      <c r="AE652" s="2697"/>
      <c r="AF652" s="2729"/>
      <c r="AG652" s="296">
        <f>IF(AD652="",0,VLOOKUP(AD652,AD$655:AI$657,4,0))</f>
        <v>0</v>
      </c>
      <c r="AH652" s="346"/>
      <c r="AI652" s="297"/>
      <c r="AJ652" s="3113" t="e">
        <f>VLOOKUP(G652,G$655:P$656,8,0)</f>
        <v>#N/A</v>
      </c>
      <c r="AK652" s="2811"/>
      <c r="AL652" s="2812"/>
      <c r="AM652" s="2730">
        <f>ROUNDDOWN(AB652*AG652,2)</f>
        <v>0</v>
      </c>
      <c r="AN652" s="2731"/>
      <c r="AO652" s="2732"/>
      <c r="AP652" s="2651">
        <f>IF(G652="",0,INT(AJ652*AM652))</f>
        <v>0</v>
      </c>
      <c r="AQ652" s="2652"/>
      <c r="AR652" s="2653"/>
      <c r="AS652" s="2706"/>
      <c r="AT652" s="2707"/>
      <c r="AU652" s="2707"/>
      <c r="AV652" s="2708"/>
      <c r="AW652" s="2609">
        <f>AP652*AS652</f>
        <v>0</v>
      </c>
      <c r="AX652" s="2610"/>
      <c r="AY652" s="2610"/>
      <c r="AZ652" s="2611"/>
      <c r="BA652" s="25" t="b">
        <f>COUNTA(G652:R652,U652,AD652,AS652)&lt;&gt;0</f>
        <v>0</v>
      </c>
      <c r="BB652"/>
    </row>
    <row r="653" spans="2:54" ht="13.5" customHeight="1">
      <c r="B653" s="2681"/>
      <c r="C653" s="2673"/>
      <c r="D653" s="2682"/>
      <c r="E653" s="2734"/>
      <c r="F653" s="2674"/>
      <c r="G653" s="2740"/>
      <c r="H653" s="2740"/>
      <c r="I653" s="2740"/>
      <c r="J653" s="2740"/>
      <c r="K653" s="2740"/>
      <c r="L653" s="2740"/>
      <c r="M653" s="2740"/>
      <c r="N653" s="2740"/>
      <c r="O653" s="2740"/>
      <c r="P653" s="2741"/>
      <c r="Q653" s="2718"/>
      <c r="R653" s="2716"/>
      <c r="S653" s="325" t="s">
        <v>978</v>
      </c>
      <c r="T653" s="326" t="s">
        <v>979</v>
      </c>
      <c r="U653" s="2716"/>
      <c r="V653" s="2716"/>
      <c r="W653" s="325" t="s">
        <v>978</v>
      </c>
      <c r="X653" s="157" t="s">
        <v>980</v>
      </c>
      <c r="Y653" s="2565">
        <f t="shared" si="189"/>
        <v>0</v>
      </c>
      <c r="Z653" s="2565"/>
      <c r="AA653" s="3104"/>
      <c r="AB653" s="347">
        <f>ROUNDDOWN(IF(Y653&gt;Y$656,1+(AB$655-AB$656)/(Y$655-Y$656)*(Y653-Y$656),1-(AB$656-AB$657)/(Y$656-Y$657)*(Y$656-Y653)),2)</f>
        <v>0.6</v>
      </c>
      <c r="AC653" s="348"/>
      <c r="AD653" s="3151"/>
      <c r="AE653" s="2740"/>
      <c r="AF653" s="3152"/>
      <c r="AG653" s="303">
        <f>IF(AD653="",0,VLOOKUP(AD653,AD$655:AI$657,4,0))</f>
        <v>0</v>
      </c>
      <c r="AH653" s="349"/>
      <c r="AI653" s="304"/>
      <c r="AJ653" s="3106" t="e">
        <f>VLOOKUP(G653,G$655:P$656,8,0)</f>
        <v>#N/A</v>
      </c>
      <c r="AK653" s="3107"/>
      <c r="AL653" s="3108"/>
      <c r="AM653" s="2586">
        <f>ROUNDDOWN(AB653*AG653,2)</f>
        <v>0</v>
      </c>
      <c r="AN653" s="2587"/>
      <c r="AO653" s="2588"/>
      <c r="AP653" s="2499">
        <f>IF(G653="",0,INT(AJ653*AM653))</f>
        <v>0</v>
      </c>
      <c r="AQ653" s="2500"/>
      <c r="AR653" s="2501"/>
      <c r="AS653" s="3154"/>
      <c r="AT653" s="3155"/>
      <c r="AU653" s="3155"/>
      <c r="AV653" s="3156"/>
      <c r="AW653" s="2561">
        <f>AP653*AS653</f>
        <v>0</v>
      </c>
      <c r="AX653" s="2562"/>
      <c r="AY653" s="2562"/>
      <c r="AZ653" s="2563"/>
      <c r="BA653" s="25" t="b">
        <f>COUNTA(G653:R653,U653,AD653,AS653)&lt;&gt;0</f>
        <v>0</v>
      </c>
      <c r="BB653"/>
    </row>
    <row r="654" spans="2:54" s="1" customFormat="1" ht="13.5" customHeight="1">
      <c r="B654" s="2681"/>
      <c r="C654" s="2673"/>
      <c r="D654" s="2682"/>
      <c r="E654" s="2734"/>
      <c r="F654" s="2674"/>
      <c r="G654" s="2756"/>
      <c r="H654" s="2756"/>
      <c r="I654" s="2756"/>
      <c r="J654" s="2756"/>
      <c r="K654" s="2756"/>
      <c r="L654" s="2756"/>
      <c r="M654" s="2756"/>
      <c r="N654" s="2756"/>
      <c r="O654" s="2756"/>
      <c r="P654" s="2855"/>
      <c r="Q654" s="3103"/>
      <c r="R654" s="2751"/>
      <c r="S654" s="129" t="s">
        <v>978</v>
      </c>
      <c r="T654" s="343" t="s">
        <v>979</v>
      </c>
      <c r="U654" s="2751"/>
      <c r="V654" s="2751"/>
      <c r="W654" s="129" t="s">
        <v>978</v>
      </c>
      <c r="X654" s="161" t="s">
        <v>980</v>
      </c>
      <c r="Y654" s="2752">
        <f t="shared" si="189"/>
        <v>0</v>
      </c>
      <c r="Z654" s="2752"/>
      <c r="AA654" s="2753"/>
      <c r="AB654" s="350">
        <f>ROUNDDOWN(IF(Y654&gt;Y$656,1+(AB$655-AB$656)/(Y$655-Y$656)*(Y654-Y$656),1-(AB$656-AB$657)/(Y$656-Y$657)*(Y$656-Y654)),2)</f>
        <v>0.6</v>
      </c>
      <c r="AC654" s="351"/>
      <c r="AD654" s="2755"/>
      <c r="AE654" s="2756"/>
      <c r="AF654" s="2757"/>
      <c r="AG654" s="309">
        <f>IF(AD654="",0,VLOOKUP(AD654,AD$655:AI$657,4,0))</f>
        <v>0</v>
      </c>
      <c r="AH654" s="352"/>
      <c r="AI654" s="310"/>
      <c r="AJ654" s="2742" t="e">
        <f>VLOOKUP(G654,G$655:P$656,8,0)</f>
        <v>#N/A</v>
      </c>
      <c r="AK654" s="2743"/>
      <c r="AL654" s="2744"/>
      <c r="AM654" s="3055">
        <f>ROUNDDOWN(AB654*AG654,2)</f>
        <v>0</v>
      </c>
      <c r="AN654" s="3056"/>
      <c r="AO654" s="3057"/>
      <c r="AP654" s="2866">
        <f>IF(G654="",0,INT(AJ654*AM654))</f>
        <v>0</v>
      </c>
      <c r="AQ654" s="2760"/>
      <c r="AR654" s="2838"/>
      <c r="AS654" s="3142"/>
      <c r="AT654" s="3143"/>
      <c r="AU654" s="3143"/>
      <c r="AV654" s="3144"/>
      <c r="AW654" s="2904">
        <f>AP654*AS654</f>
        <v>0</v>
      </c>
      <c r="AX654" s="2905"/>
      <c r="AY654" s="2905"/>
      <c r="AZ654" s="2906"/>
      <c r="BA654" s="25" t="b">
        <f>COUNTA(G654:R654,U654,AD654,AS654)&lt;&gt;0</f>
        <v>0</v>
      </c>
    </row>
    <row r="655" spans="2:54" s="1" customFormat="1" ht="13.5" customHeight="1">
      <c r="B655" s="2681"/>
      <c r="C655" s="2673"/>
      <c r="D655" s="2682"/>
      <c r="E655" s="2734"/>
      <c r="F655" s="2674"/>
      <c r="G655" s="2745" t="s">
        <v>981</v>
      </c>
      <c r="H655" s="2745"/>
      <c r="I655" s="2745"/>
      <c r="J655" s="2745"/>
      <c r="K655" s="2745"/>
      <c r="L655" s="2745"/>
      <c r="M655" s="2745"/>
      <c r="N655" s="2746">
        <v>59460</v>
      </c>
      <c r="O655" s="2747"/>
      <c r="P655" s="2748"/>
      <c r="Q655" s="2749">
        <v>90</v>
      </c>
      <c r="R655" s="2750"/>
      <c r="S655" s="340" t="s">
        <v>978</v>
      </c>
      <c r="T655" s="353" t="s">
        <v>979</v>
      </c>
      <c r="U655" s="2750">
        <v>90</v>
      </c>
      <c r="V655" s="2750"/>
      <c r="W655" s="340" t="s">
        <v>978</v>
      </c>
      <c r="X655" s="354" t="s">
        <v>980</v>
      </c>
      <c r="Y655" s="2652">
        <f t="shared" si="189"/>
        <v>8100</v>
      </c>
      <c r="Z655" s="2652"/>
      <c r="AA655" s="2754"/>
      <c r="AB655" s="355">
        <v>1.4</v>
      </c>
      <c r="AC655" s="356"/>
      <c r="AD655" s="357" t="s">
        <v>855</v>
      </c>
      <c r="AE655" s="358"/>
      <c r="AF655" s="358"/>
      <c r="AG655" s="359">
        <v>1.5</v>
      </c>
      <c r="AH655" s="360"/>
      <c r="AI655" s="361"/>
      <c r="AJ655" s="6"/>
      <c r="AK655" s="6"/>
      <c r="AL655" s="6"/>
      <c r="AM655" s="6"/>
      <c r="AN655" s="6"/>
      <c r="AO655" s="6"/>
      <c r="AP655" s="6"/>
      <c r="AQ655" s="6"/>
      <c r="AR655" s="6"/>
      <c r="AS655" s="6"/>
      <c r="AT655" s="6"/>
      <c r="AU655" s="6"/>
      <c r="AV655" s="6"/>
      <c r="AW655" s="6"/>
      <c r="AX655" s="6"/>
      <c r="AY655" s="6"/>
      <c r="AZ655" s="6"/>
      <c r="BA655" s="25" t="b">
        <v>0</v>
      </c>
    </row>
    <row r="656" spans="2:54" s="1" customFormat="1" ht="13.5" customHeight="1">
      <c r="B656" s="2681"/>
      <c r="C656" s="2673"/>
      <c r="D656" s="2682"/>
      <c r="E656" s="2734"/>
      <c r="F656" s="2674"/>
      <c r="G656" s="2736" t="s">
        <v>982</v>
      </c>
      <c r="H656" s="2736"/>
      <c r="I656" s="2736"/>
      <c r="J656" s="2736"/>
      <c r="K656" s="2736"/>
      <c r="L656" s="2736"/>
      <c r="M656" s="2736"/>
      <c r="N656" s="2737">
        <v>102900</v>
      </c>
      <c r="O656" s="2738"/>
      <c r="P656" s="2739"/>
      <c r="Q656" s="2694">
        <v>60</v>
      </c>
      <c r="R656" s="2689"/>
      <c r="S656" s="325" t="s">
        <v>978</v>
      </c>
      <c r="T656" s="326" t="s">
        <v>979</v>
      </c>
      <c r="U656" s="2689">
        <v>60</v>
      </c>
      <c r="V656" s="2689"/>
      <c r="W656" s="325" t="s">
        <v>978</v>
      </c>
      <c r="X656" s="254" t="s">
        <v>980</v>
      </c>
      <c r="Y656" s="2500">
        <f t="shared" si="189"/>
        <v>3600</v>
      </c>
      <c r="Z656" s="2500"/>
      <c r="AA656" s="3141"/>
      <c r="AB656" s="347">
        <v>1</v>
      </c>
      <c r="AC656" s="348"/>
      <c r="AD656" s="357" t="s">
        <v>822</v>
      </c>
      <c r="AE656" s="358"/>
      <c r="AF656" s="358"/>
      <c r="AG656" s="359">
        <v>1</v>
      </c>
      <c r="AH656" s="360"/>
      <c r="AI656" s="361"/>
      <c r="AJ656" s="6"/>
      <c r="AK656" s="6"/>
      <c r="AL656" s="6"/>
      <c r="AM656" s="6"/>
      <c r="AN656" s="6"/>
      <c r="AO656" s="6"/>
      <c r="AP656" s="6"/>
      <c r="AQ656" s="6"/>
      <c r="AR656" s="6"/>
      <c r="AS656" s="6"/>
      <c r="AT656" s="6"/>
      <c r="AU656" s="6"/>
      <c r="AV656" s="6"/>
      <c r="AW656" s="6"/>
      <c r="AX656" s="6"/>
      <c r="AY656" s="6"/>
      <c r="AZ656" s="6"/>
      <c r="BA656" s="25" t="b">
        <v>0</v>
      </c>
    </row>
    <row r="657" spans="1:54" s="1" customFormat="1" ht="13.5" customHeight="1">
      <c r="B657" s="2681"/>
      <c r="C657" s="2673"/>
      <c r="D657" s="2682"/>
      <c r="E657" s="2734"/>
      <c r="F657" s="2674"/>
      <c r="G657" s="6"/>
      <c r="H657" s="6"/>
      <c r="I657" s="6"/>
      <c r="J657" s="6"/>
      <c r="K657" s="6"/>
      <c r="L657" s="6"/>
      <c r="M657" s="6"/>
      <c r="N657" s="2277"/>
      <c r="O657" s="2277"/>
      <c r="P657" s="2277"/>
      <c r="Q657" s="2758">
        <v>45</v>
      </c>
      <c r="R657" s="2759"/>
      <c r="S657" s="129" t="s">
        <v>978</v>
      </c>
      <c r="T657" s="343" t="s">
        <v>979</v>
      </c>
      <c r="U657" s="2759">
        <v>60</v>
      </c>
      <c r="V657" s="2759"/>
      <c r="W657" s="129" t="s">
        <v>978</v>
      </c>
      <c r="X657" s="256" t="s">
        <v>980</v>
      </c>
      <c r="Y657" s="2760">
        <f t="shared" si="189"/>
        <v>2700</v>
      </c>
      <c r="Z657" s="2760"/>
      <c r="AA657" s="2761"/>
      <c r="AB657" s="350">
        <v>0.9</v>
      </c>
      <c r="AC657" s="351"/>
      <c r="AD657" s="362" t="s">
        <v>857</v>
      </c>
      <c r="AE657" s="363"/>
      <c r="AF657" s="363"/>
      <c r="AG657" s="364">
        <v>0.8</v>
      </c>
      <c r="AH657" s="365"/>
      <c r="AI657" s="366"/>
      <c r="AJ657" s="6"/>
      <c r="AK657" s="6"/>
      <c r="AL657" s="6"/>
      <c r="AM657" s="6"/>
      <c r="AN657" s="6"/>
      <c r="AO657" s="6"/>
      <c r="AP657" s="6"/>
      <c r="AQ657" s="6"/>
      <c r="AR657" s="6"/>
      <c r="AS657" s="6"/>
      <c r="AT657" s="6"/>
      <c r="AU657" s="6"/>
      <c r="AV657" s="6"/>
      <c r="AW657" s="6"/>
      <c r="AX657" s="6"/>
      <c r="AY657" s="6"/>
      <c r="AZ657" s="6"/>
      <c r="BA657" s="25" t="b">
        <v>0</v>
      </c>
    </row>
    <row r="658" spans="1:54" s="1" customFormat="1" ht="13.5" customHeight="1" thickBot="1">
      <c r="A658"/>
      <c r="B658" s="2681"/>
      <c r="C658" s="2673"/>
      <c r="D658" s="2682"/>
      <c r="E658" s="2735"/>
      <c r="F658" s="2677"/>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25" t="b">
        <v>0</v>
      </c>
    </row>
    <row r="659" spans="1:54" s="1" customFormat="1" ht="13.5" customHeight="1" thickBot="1">
      <c r="B659" s="2684"/>
      <c r="C659" s="2685"/>
      <c r="D659" s="2686"/>
      <c r="E659" s="329"/>
      <c r="F659" s="330"/>
      <c r="G659" s="330"/>
      <c r="H659" s="330"/>
      <c r="I659" s="330"/>
      <c r="J659" s="330"/>
      <c r="K659" s="330"/>
      <c r="L659" s="330"/>
      <c r="M659" s="330"/>
      <c r="N659" s="330"/>
      <c r="O659" s="330"/>
      <c r="P659" s="330"/>
      <c r="Q659" s="330"/>
      <c r="R659" s="330"/>
      <c r="S659" s="330"/>
      <c r="T659" s="330"/>
      <c r="U659" s="330"/>
      <c r="V659" s="330"/>
      <c r="W659" s="330"/>
      <c r="X659" s="330"/>
      <c r="Y659" s="330"/>
      <c r="Z659" s="330"/>
      <c r="AA659" s="330"/>
      <c r="AB659" s="330"/>
      <c r="AC659" s="330"/>
      <c r="AD659" s="330"/>
      <c r="AE659" s="330"/>
      <c r="AF659" s="330"/>
      <c r="AG659" s="330"/>
      <c r="AH659" s="330"/>
      <c r="AI659" s="331"/>
      <c r="AJ659" s="3076" t="str">
        <f ca="1">IF(AS659=基礎・屋根・外壁!AF91+見積拾!T172,"面積合計及び部分別評点数","補助票と面積が違います！")</f>
        <v>面積合計及び部分別評点数</v>
      </c>
      <c r="AK659" s="3077"/>
      <c r="AL659" s="3077"/>
      <c r="AM659" s="3077"/>
      <c r="AN659" s="3077"/>
      <c r="AO659" s="3077"/>
      <c r="AP659" s="3077"/>
      <c r="AQ659" s="3077"/>
      <c r="AR659" s="3078"/>
      <c r="AS659" s="3065">
        <f ca="1">SUM(AS604:AV640)</f>
        <v>0</v>
      </c>
      <c r="AT659" s="3066"/>
      <c r="AU659" s="3066"/>
      <c r="AV659" s="3067"/>
      <c r="AW659" s="2668">
        <f ca="1">SUM(AW603:AZ658)</f>
        <v>0</v>
      </c>
      <c r="AX659" s="2668"/>
      <c r="AY659" s="2668"/>
      <c r="AZ659" s="2669"/>
      <c r="BA659" s="25" t="b">
        <v>1</v>
      </c>
    </row>
    <row r="660" spans="1:54" s="1" customFormat="1" ht="13.5" customHeight="1">
      <c r="B660" s="367"/>
      <c r="C660" s="367"/>
      <c r="D660" s="367"/>
      <c r="E660" s="368"/>
      <c r="F660" s="368"/>
      <c r="G660" s="368"/>
      <c r="H660" s="368"/>
      <c r="I660" s="368"/>
      <c r="J660" s="368"/>
      <c r="K660" s="368"/>
      <c r="L660" s="368"/>
      <c r="M660" s="368"/>
      <c r="N660" s="368"/>
      <c r="O660" s="368"/>
      <c r="P660" s="368"/>
      <c r="Q660" s="368"/>
      <c r="R660" s="368"/>
      <c r="S660" s="368"/>
      <c r="T660" s="368"/>
      <c r="U660" s="368"/>
      <c r="V660" s="368"/>
      <c r="W660" s="368"/>
      <c r="X660" s="368"/>
      <c r="Y660" s="368"/>
      <c r="Z660" s="368"/>
      <c r="AA660" s="368"/>
      <c r="AB660" s="368"/>
      <c r="AC660" s="368"/>
      <c r="AD660" s="368"/>
      <c r="AE660" s="368"/>
      <c r="AF660" s="368"/>
      <c r="AG660" s="368"/>
      <c r="AH660" s="368"/>
      <c r="AI660" s="368"/>
      <c r="AJ660" s="369"/>
      <c r="AK660" s="369"/>
      <c r="AL660" s="369"/>
      <c r="AM660" s="369"/>
      <c r="AN660" s="369"/>
      <c r="AO660" s="369"/>
      <c r="AP660" s="369"/>
      <c r="AQ660" s="369"/>
      <c r="AR660" s="369"/>
      <c r="AS660" s="20"/>
      <c r="AT660" s="20"/>
      <c r="AU660" s="20"/>
      <c r="AV660" s="20"/>
      <c r="AW660" s="370"/>
      <c r="AX660" s="370"/>
      <c r="AY660" s="370"/>
      <c r="AZ660" s="370"/>
      <c r="BA660" s="25" t="b">
        <v>0</v>
      </c>
    </row>
    <row r="661" spans="1:54" s="1" customFormat="1" ht="13.5" customHeight="1">
      <c r="B661" s="367"/>
      <c r="C661" s="367"/>
      <c r="D661" s="367"/>
      <c r="E661" s="368"/>
      <c r="F661" s="368"/>
      <c r="G661" s="368"/>
      <c r="H661" s="368"/>
      <c r="I661" s="368"/>
      <c r="J661" s="368"/>
      <c r="K661" s="368"/>
      <c r="L661" s="368"/>
      <c r="M661" s="368"/>
      <c r="N661" s="368"/>
      <c r="O661" s="368"/>
      <c r="P661" s="368"/>
      <c r="Q661" s="368"/>
      <c r="R661" s="368"/>
      <c r="S661" s="368"/>
      <c r="T661" s="368"/>
      <c r="U661" s="368"/>
      <c r="V661" s="368"/>
      <c r="W661" s="368"/>
      <c r="X661" s="368"/>
      <c r="Y661" s="368"/>
      <c r="Z661" s="368"/>
      <c r="AA661" s="368"/>
      <c r="AB661" s="368"/>
      <c r="AC661" s="368"/>
      <c r="AD661" s="368"/>
      <c r="AE661" s="368"/>
      <c r="AF661" s="368"/>
      <c r="AG661" s="368"/>
      <c r="AH661" s="368"/>
      <c r="AI661" s="368"/>
      <c r="AJ661" s="369"/>
      <c r="AK661" s="369"/>
      <c r="AL661" s="369"/>
      <c r="AM661" s="369"/>
      <c r="AY661" s="370"/>
      <c r="AZ661" s="370"/>
      <c r="BA661" s="25" t="b">
        <v>0</v>
      </c>
    </row>
    <row r="662" spans="1:54" s="1" customFormat="1" ht="13.5" customHeight="1">
      <c r="B662" s="367"/>
      <c r="C662" s="26" t="s">
        <v>983</v>
      </c>
      <c r="D662" s="27"/>
      <c r="E662" s="27"/>
      <c r="F662" s="27"/>
      <c r="G662" s="27"/>
      <c r="H662" s="27"/>
      <c r="I662" s="27"/>
      <c r="J662" s="27"/>
      <c r="K662" s="368"/>
      <c r="L662" s="368"/>
      <c r="M662" s="368"/>
      <c r="N662" s="368"/>
      <c r="O662" s="368"/>
      <c r="P662" s="368"/>
      <c r="Q662" s="368"/>
      <c r="R662" s="368"/>
      <c r="S662" s="368"/>
      <c r="T662" s="368"/>
      <c r="U662" s="368"/>
      <c r="V662" s="368"/>
      <c r="W662" s="368"/>
      <c r="X662" s="368"/>
      <c r="Y662" s="368"/>
      <c r="Z662" s="368"/>
      <c r="AA662" s="368"/>
      <c r="AB662" s="368"/>
      <c r="AC662" s="368"/>
      <c r="AD662" s="368"/>
      <c r="AE662" s="368"/>
      <c r="AF662" s="368"/>
      <c r="AG662" s="368"/>
      <c r="AH662" s="368"/>
      <c r="AI662" s="368"/>
      <c r="AJ662" s="369"/>
      <c r="AK662" s="369"/>
      <c r="AL662" s="369"/>
      <c r="AM662" s="369"/>
      <c r="AN662" s="369"/>
      <c r="AO662" s="369"/>
      <c r="AP662" s="369"/>
      <c r="AQ662" s="369"/>
      <c r="AR662" s="369"/>
      <c r="AS662" s="20"/>
      <c r="AT662" s="20"/>
      <c r="AU662" s="20"/>
      <c r="AV662" s="20"/>
      <c r="AW662" s="370"/>
      <c r="AX662" s="370"/>
      <c r="AY662" s="370"/>
      <c r="AZ662" s="370"/>
      <c r="BA662" s="25" t="b">
        <v>0</v>
      </c>
    </row>
    <row r="663" spans="1:54" s="1" customFormat="1" ht="13.5" customHeight="1" thickBot="1">
      <c r="B663" s="367"/>
      <c r="C663" s="367"/>
      <c r="D663" s="367"/>
      <c r="E663" s="368"/>
      <c r="F663" s="368"/>
      <c r="G663" s="368"/>
      <c r="H663" s="368"/>
      <c r="I663" s="368"/>
      <c r="J663" s="368"/>
      <c r="K663" s="368"/>
      <c r="L663" s="368"/>
      <c r="M663" s="368"/>
      <c r="N663" s="368"/>
      <c r="O663" s="368"/>
      <c r="P663" s="368"/>
      <c r="Q663" s="368"/>
      <c r="R663" s="368"/>
      <c r="S663" s="368"/>
      <c r="T663" s="368"/>
      <c r="U663" s="368"/>
      <c r="V663" s="368"/>
      <c r="W663" s="368"/>
      <c r="X663" s="368"/>
      <c r="Y663" s="368"/>
      <c r="Z663" s="368"/>
      <c r="AA663" s="368"/>
      <c r="AB663" s="368"/>
      <c r="AC663" s="368"/>
      <c r="AD663" s="368"/>
      <c r="AE663" s="368"/>
      <c r="AF663" s="368"/>
      <c r="AG663" s="368"/>
      <c r="AH663" s="368"/>
      <c r="AI663" s="368"/>
      <c r="AJ663" s="369"/>
      <c r="AK663" s="369"/>
      <c r="AL663" s="369"/>
      <c r="AM663" s="369"/>
      <c r="AN663" s="369"/>
      <c r="BA663" s="3" t="b">
        <f>COUNTA(AV664,AV666,AV668)&lt;&gt;0</f>
        <v>1</v>
      </c>
    </row>
    <row r="664" spans="1:54" ht="13.5" customHeight="1" thickBot="1">
      <c r="A664" s="1990">
        <f>ROW()</f>
        <v>664</v>
      </c>
      <c r="B664" s="371" t="s">
        <v>984</v>
      </c>
      <c r="C664" s="372"/>
      <c r="D664" s="372"/>
      <c r="E664" s="292"/>
      <c r="F664" s="292"/>
      <c r="G664" s="292"/>
      <c r="H664" s="292"/>
      <c r="I664" s="292"/>
      <c r="J664" s="292"/>
      <c r="K664" s="292"/>
      <c r="L664" s="293"/>
      <c r="M664" s="291" t="str">
        <f>+IF(AV664&lt;&gt;0,"別紙１のとおり","")</f>
        <v/>
      </c>
      <c r="N664" s="292"/>
      <c r="O664" s="292"/>
      <c r="P664" s="292"/>
      <c r="Q664" s="292"/>
      <c r="R664" s="292"/>
      <c r="S664" s="292"/>
      <c r="T664" s="292"/>
      <c r="U664" s="292"/>
      <c r="V664" s="292"/>
      <c r="W664" s="292"/>
      <c r="X664" s="292"/>
      <c r="Y664" s="292"/>
      <c r="Z664" s="292"/>
      <c r="AA664" s="292"/>
      <c r="AB664" s="292"/>
      <c r="AC664" s="292"/>
      <c r="AD664" s="292"/>
      <c r="AE664" s="292"/>
      <c r="AF664" s="292"/>
      <c r="AG664" s="292"/>
      <c r="AH664" s="292"/>
      <c r="AI664" s="292"/>
      <c r="AJ664" s="292"/>
      <c r="AK664" s="292"/>
      <c r="AL664" s="292"/>
      <c r="AM664" s="292"/>
      <c r="AN664" s="373"/>
      <c r="AO664" s="135" t="s">
        <v>782</v>
      </c>
      <c r="AP664" s="136"/>
      <c r="AQ664" s="136"/>
      <c r="AR664" s="136"/>
      <c r="AS664" s="136"/>
      <c r="AT664" s="136"/>
      <c r="AU664" s="136"/>
      <c r="AV664" s="2985">
        <f>建具!J136</f>
        <v>0</v>
      </c>
      <c r="AW664" s="2986"/>
      <c r="AX664" s="2986"/>
      <c r="AY664" s="2986"/>
      <c r="AZ664" s="2987"/>
      <c r="BA664" s="3" t="b">
        <v>1</v>
      </c>
    </row>
    <row r="665" spans="1:54" ht="13.5" customHeight="1" thickBot="1">
      <c r="A665">
        <f>ROW()</f>
        <v>665</v>
      </c>
      <c r="B665" s="367"/>
      <c r="C665" s="367"/>
      <c r="D665" s="367"/>
      <c r="E665" s="368"/>
      <c r="F665" s="368"/>
      <c r="G665" s="368"/>
      <c r="H665" s="368"/>
      <c r="I665" s="368"/>
      <c r="J665" s="368"/>
      <c r="K665" s="368"/>
      <c r="L665" s="368"/>
      <c r="M665" s="368"/>
      <c r="N665" s="368"/>
      <c r="O665" s="368"/>
      <c r="P665" s="368"/>
      <c r="Q665" s="368"/>
      <c r="R665" s="368"/>
      <c r="S665" s="368"/>
      <c r="T665" s="368"/>
      <c r="U665" s="368"/>
      <c r="V665" s="368"/>
      <c r="W665" s="368"/>
      <c r="X665" s="368"/>
      <c r="Y665" s="368"/>
      <c r="Z665" s="368"/>
      <c r="AA665" s="368"/>
      <c r="AB665" s="368"/>
      <c r="AC665" s="368"/>
      <c r="AD665" s="368"/>
      <c r="AE665" s="368"/>
      <c r="AF665" s="368"/>
      <c r="AG665" s="368"/>
      <c r="AH665" s="368"/>
      <c r="AI665" s="368"/>
      <c r="AJ665" s="369"/>
      <c r="AK665" s="369"/>
      <c r="AL665" s="369"/>
      <c r="AM665" s="369"/>
      <c r="AN665" s="369"/>
      <c r="AO665" s="369"/>
      <c r="AP665" s="369"/>
      <c r="AQ665" s="369"/>
      <c r="AR665" s="20"/>
      <c r="AS665" s="20"/>
      <c r="AT665" s="20"/>
      <c r="AU665" s="20"/>
      <c r="AV665" s="370"/>
      <c r="AW665" s="370"/>
      <c r="AX665" s="370"/>
      <c r="AY665" s="370"/>
      <c r="AZ665" s="370"/>
      <c r="BA665" s="25" t="b">
        <v>0</v>
      </c>
    </row>
    <row r="666" spans="1:54" ht="13.5" customHeight="1" thickBot="1">
      <c r="A666" s="1990">
        <f>ROW()</f>
        <v>666</v>
      </c>
      <c r="B666" s="371" t="s">
        <v>985</v>
      </c>
      <c r="C666" s="372"/>
      <c r="D666" s="372"/>
      <c r="E666" s="292"/>
      <c r="F666" s="292"/>
      <c r="G666" s="292"/>
      <c r="H666" s="292"/>
      <c r="I666" s="292"/>
      <c r="J666" s="292"/>
      <c r="K666" s="292"/>
      <c r="L666" s="293"/>
      <c r="M666" s="291" t="str">
        <f>+IF(AV666&lt;&gt;0,"別紙１のとおり","")</f>
        <v/>
      </c>
      <c r="N666" s="292"/>
      <c r="O666" s="292"/>
      <c r="P666" s="292"/>
      <c r="Q666" s="292"/>
      <c r="R666" s="292"/>
      <c r="S666" s="292"/>
      <c r="T666" s="292"/>
      <c r="U666" s="292"/>
      <c r="V666" s="292"/>
      <c r="W666" s="292"/>
      <c r="X666" s="292"/>
      <c r="Y666" s="292"/>
      <c r="Z666" s="292"/>
      <c r="AA666" s="292"/>
      <c r="AB666" s="292"/>
      <c r="AC666" s="292"/>
      <c r="AD666" s="292"/>
      <c r="AE666" s="292"/>
      <c r="AF666" s="292"/>
      <c r="AG666" s="292"/>
      <c r="AH666" s="292"/>
      <c r="AI666" s="292"/>
      <c r="AJ666" s="292"/>
      <c r="AK666" s="292"/>
      <c r="AL666" s="292"/>
      <c r="AM666" s="292"/>
      <c r="AN666" s="373"/>
      <c r="AO666" s="135" t="s">
        <v>782</v>
      </c>
      <c r="AP666" s="136"/>
      <c r="AQ666" s="136"/>
      <c r="AR666" s="136"/>
      <c r="AS666" s="136"/>
      <c r="AT666" s="136"/>
      <c r="AU666" s="136"/>
      <c r="AV666" s="2985">
        <f>建具!J173</f>
        <v>0</v>
      </c>
      <c r="AW666" s="2986"/>
      <c r="AX666" s="2986"/>
      <c r="AY666" s="2986"/>
      <c r="AZ666" s="2987"/>
      <c r="BA666" s="3" t="b">
        <v>1</v>
      </c>
      <c r="BB666"/>
    </row>
    <row r="667" spans="1:54" ht="13.5" customHeight="1" thickBot="1">
      <c r="A667">
        <f>ROW()</f>
        <v>667</v>
      </c>
      <c r="B667" s="367"/>
      <c r="C667" s="367"/>
      <c r="D667" s="367"/>
      <c r="E667" s="368"/>
      <c r="F667" s="368"/>
      <c r="G667" s="368"/>
      <c r="H667" s="368"/>
      <c r="I667" s="368"/>
      <c r="J667" s="368"/>
      <c r="K667" s="368"/>
      <c r="L667" s="368"/>
      <c r="M667" s="368"/>
      <c r="N667" s="368"/>
      <c r="O667" s="368"/>
      <c r="P667" s="368"/>
      <c r="Q667" s="368"/>
      <c r="R667" s="368"/>
      <c r="S667" s="368"/>
      <c r="T667" s="368"/>
      <c r="U667" s="368"/>
      <c r="V667" s="368"/>
      <c r="W667" s="368"/>
      <c r="X667" s="368"/>
      <c r="Y667" s="368"/>
      <c r="Z667" s="368"/>
      <c r="AA667" s="368"/>
      <c r="AB667" s="368"/>
      <c r="AC667" s="368"/>
      <c r="AD667" s="368"/>
      <c r="AE667" s="368"/>
      <c r="AF667" s="368"/>
      <c r="AG667" s="368"/>
      <c r="AH667" s="368"/>
      <c r="AI667" s="368"/>
      <c r="AJ667" s="369"/>
      <c r="AK667" s="369"/>
      <c r="AL667" s="369"/>
      <c r="AM667" s="369"/>
      <c r="AN667" s="369"/>
      <c r="AO667" s="369"/>
      <c r="AP667" s="369"/>
      <c r="AQ667" s="369"/>
      <c r="AR667" s="20"/>
      <c r="AS667" s="20"/>
      <c r="AT667" s="20"/>
      <c r="AU667" s="20"/>
      <c r="AV667" s="370"/>
      <c r="AW667" s="370"/>
      <c r="AX667" s="370"/>
      <c r="AY667" s="370"/>
      <c r="AZ667" s="370"/>
      <c r="BA667" s="25" t="b">
        <v>0</v>
      </c>
      <c r="BB667"/>
    </row>
    <row r="668" spans="1:54" ht="13.5" customHeight="1" thickBot="1">
      <c r="A668" s="1990">
        <f>ROW()</f>
        <v>668</v>
      </c>
      <c r="B668" s="371" t="s">
        <v>517</v>
      </c>
      <c r="C668" s="372"/>
      <c r="D668" s="372"/>
      <c r="E668" s="292"/>
      <c r="F668" s="292"/>
      <c r="G668" s="292"/>
      <c r="H668" s="292"/>
      <c r="I668" s="292"/>
      <c r="J668" s="292"/>
      <c r="K668" s="292"/>
      <c r="L668" s="293"/>
      <c r="M668" s="291" t="str">
        <f>+IF(AV668&lt;&gt;0,"別紙２のとおり","")</f>
        <v/>
      </c>
      <c r="N668" s="292"/>
      <c r="O668" s="292"/>
      <c r="P668" s="292"/>
      <c r="Q668" s="292"/>
      <c r="R668" s="292"/>
      <c r="S668" s="292"/>
      <c r="T668" s="292"/>
      <c r="U668" s="292"/>
      <c r="V668" s="292"/>
      <c r="W668" s="292"/>
      <c r="X668" s="292"/>
      <c r="Y668" s="292"/>
      <c r="Z668" s="292"/>
      <c r="AA668" s="292"/>
      <c r="AB668" s="292"/>
      <c r="AC668" s="292"/>
      <c r="AD668" s="292"/>
      <c r="AE668" s="292"/>
      <c r="AF668" s="292"/>
      <c r="AG668" s="292"/>
      <c r="AH668" s="292"/>
      <c r="AI668" s="292"/>
      <c r="AJ668" s="292"/>
      <c r="AK668" s="292"/>
      <c r="AL668" s="292"/>
      <c r="AM668" s="292"/>
      <c r="AN668" s="373"/>
      <c r="AO668" s="135" t="s">
        <v>782</v>
      </c>
      <c r="AP668" s="136"/>
      <c r="AQ668" s="136"/>
      <c r="AR668" s="136"/>
      <c r="AS668" s="136"/>
      <c r="AT668" s="136"/>
      <c r="AU668" s="136"/>
      <c r="AV668" s="2985">
        <f>設備!Q555+'設備(個別)'!W130</f>
        <v>0</v>
      </c>
      <c r="AW668" s="2986"/>
      <c r="AX668" s="2986"/>
      <c r="AY668" s="2986"/>
      <c r="AZ668" s="2987"/>
      <c r="BA668" s="3" t="b">
        <v>1</v>
      </c>
      <c r="BB668"/>
    </row>
    <row r="669" spans="1:54" ht="13.5" customHeight="1">
      <c r="B669" s="367"/>
      <c r="C669" s="367"/>
      <c r="D669" s="367"/>
      <c r="E669" s="368"/>
      <c r="F669" s="368"/>
      <c r="G669" s="368"/>
      <c r="H669" s="368"/>
      <c r="I669" s="368"/>
      <c r="J669" s="368"/>
      <c r="K669" s="368"/>
      <c r="L669" s="368"/>
      <c r="M669" s="368"/>
      <c r="N669" s="368"/>
      <c r="O669" s="368"/>
      <c r="P669" s="368"/>
      <c r="Q669" s="368"/>
      <c r="R669" s="368"/>
      <c r="S669" s="368"/>
      <c r="T669" s="368"/>
      <c r="U669" s="368"/>
      <c r="V669" s="368"/>
      <c r="W669" s="368"/>
      <c r="X669" s="368"/>
      <c r="Y669" s="368"/>
      <c r="Z669" s="368"/>
      <c r="AA669" s="368"/>
      <c r="AB669" s="368"/>
      <c r="AC669" s="368"/>
      <c r="AD669" s="368"/>
      <c r="AE669" s="368"/>
      <c r="AF669" s="368"/>
      <c r="AG669" s="368"/>
      <c r="AH669" s="368"/>
      <c r="AI669" s="368"/>
      <c r="AJ669" s="369"/>
      <c r="AK669" s="369"/>
      <c r="AL669" s="369"/>
      <c r="AM669" s="369"/>
      <c r="AN669" s="369"/>
      <c r="AO669" s="369"/>
      <c r="AP669" s="369"/>
      <c r="AQ669" s="369"/>
      <c r="AR669" s="20"/>
      <c r="AS669" s="20"/>
      <c r="AT669" s="20"/>
      <c r="AU669" s="20"/>
      <c r="AV669" s="370"/>
      <c r="AW669" s="370"/>
      <c r="AX669" s="370"/>
      <c r="AY669" s="370"/>
      <c r="AZ669" s="370"/>
      <c r="BA669" s="25" t="b">
        <v>0</v>
      </c>
      <c r="BB669"/>
    </row>
    <row r="670" spans="1:54" ht="13.5" customHeight="1">
      <c r="BA670" s="25" t="b">
        <v>0</v>
      </c>
      <c r="BB670"/>
    </row>
    <row r="671" spans="1:54" ht="13.5" customHeight="1">
      <c r="C671" s="26" t="s">
        <v>518</v>
      </c>
      <c r="D671" s="27"/>
      <c r="E671" s="27"/>
      <c r="F671" s="27"/>
      <c r="G671" s="27"/>
      <c r="H671" s="27"/>
      <c r="I671" s="27"/>
      <c r="J671" s="27"/>
      <c r="AV671" s="1"/>
      <c r="AW671" s="1"/>
      <c r="AX671" s="1"/>
      <c r="AY671" s="1"/>
      <c r="AZ671" s="1"/>
      <c r="BA671" s="25" t="b">
        <v>0</v>
      </c>
      <c r="BB671"/>
    </row>
    <row r="672" spans="1:54" ht="13.5" customHeight="1" thickBot="1">
      <c r="AZ672" s="25"/>
      <c r="BA672" s="25" t="b">
        <v>1</v>
      </c>
      <c r="BB672"/>
    </row>
    <row r="673" spans="1:54" ht="13.5" customHeight="1">
      <c r="A673">
        <f>ROW()</f>
        <v>673</v>
      </c>
      <c r="B673" s="374" t="s">
        <v>519</v>
      </c>
      <c r="C673" s="375"/>
      <c r="D673" s="375"/>
      <c r="E673" s="375"/>
      <c r="F673" s="375"/>
      <c r="G673" s="376"/>
      <c r="H673" s="291" t="s">
        <v>520</v>
      </c>
      <c r="I673" s="292"/>
      <c r="J673" s="292"/>
      <c r="K673" s="293"/>
      <c r="L673" s="34" t="s">
        <v>521</v>
      </c>
      <c r="M673" s="32"/>
      <c r="N673" s="32"/>
      <c r="O673" s="32"/>
      <c r="P673" s="32"/>
      <c r="Q673" s="32"/>
      <c r="R673" s="34" t="s">
        <v>522</v>
      </c>
      <c r="S673" s="32"/>
      <c r="T673" s="32"/>
      <c r="U673" s="32"/>
      <c r="V673" s="32"/>
      <c r="W673" s="33"/>
      <c r="X673" s="32" t="s">
        <v>523</v>
      </c>
      <c r="Y673" s="32"/>
      <c r="Z673" s="32"/>
      <c r="AA673" s="32"/>
      <c r="AB673" s="33"/>
      <c r="AC673" s="34"/>
      <c r="AD673" s="34" t="s">
        <v>1145</v>
      </c>
      <c r="AE673" s="32"/>
      <c r="AF673" s="32"/>
      <c r="AG673" s="32"/>
      <c r="AH673" s="32"/>
      <c r="AI673" s="33"/>
      <c r="AJ673" s="292" t="s">
        <v>524</v>
      </c>
      <c r="AK673" s="292"/>
      <c r="AL673" s="292"/>
      <c r="AM673" s="293"/>
      <c r="AN673" s="291" t="s">
        <v>525</v>
      </c>
      <c r="AO673" s="292"/>
      <c r="AP673" s="292"/>
      <c r="AQ673" s="293"/>
      <c r="AR673" s="294" t="s">
        <v>526</v>
      </c>
      <c r="AS673" s="291"/>
      <c r="AT673" s="291"/>
      <c r="AU673" s="291"/>
      <c r="AV673" s="377" t="s">
        <v>527</v>
      </c>
      <c r="AW673" s="378"/>
      <c r="AX673" s="378"/>
      <c r="AY673" s="378"/>
      <c r="AZ673" s="379"/>
      <c r="BA673" s="25" t="b">
        <v>1</v>
      </c>
      <c r="BB673" s="2277"/>
    </row>
    <row r="674" spans="1:54" ht="13.5" customHeight="1">
      <c r="A674">
        <f>ROW()</f>
        <v>674</v>
      </c>
      <c r="B674" s="380"/>
      <c r="C674" s="381" t="s">
        <v>528</v>
      </c>
      <c r="D674" s="382"/>
      <c r="E674" s="382"/>
      <c r="F674" s="382"/>
      <c r="G674" s="383"/>
      <c r="H674" s="300">
        <f>IF($AD$8="",0,VLOOKUP($AD$8,主体明確補正,32,0))</f>
        <v>0</v>
      </c>
      <c r="I674" s="300"/>
      <c r="J674" s="300"/>
      <c r="K674" s="300"/>
      <c r="L674" s="2696"/>
      <c r="M674" s="2697"/>
      <c r="N674" s="2729"/>
      <c r="O674" s="346">
        <f>IF(L674="",0,VLOOKUP(L674,L676:Q679,4,0))</f>
        <v>0</v>
      </c>
      <c r="P674" s="300"/>
      <c r="Q674" s="300"/>
      <c r="R674" s="3119"/>
      <c r="S674" s="3120"/>
      <c r="T674" s="3121"/>
      <c r="U674" s="296">
        <f>IF(R674="",0,VLOOKUP(R674,R676:W679,4,0))</f>
        <v>0</v>
      </c>
      <c r="V674" s="300"/>
      <c r="W674" s="301"/>
      <c r="X674" s="167" t="s">
        <v>529</v>
      </c>
      <c r="Y674" s="384"/>
      <c r="Z674" s="384"/>
      <c r="AA674" s="385" t="s">
        <v>529</v>
      </c>
      <c r="AB674" s="384"/>
      <c r="AC674" s="238"/>
      <c r="AD674" s="167" t="s">
        <v>529</v>
      </c>
      <c r="AE674" s="384"/>
      <c r="AF674" s="168"/>
      <c r="AG674" s="384" t="s">
        <v>529</v>
      </c>
      <c r="AH674" s="384"/>
      <c r="AI674" s="238"/>
      <c r="AJ674" s="3133">
        <f>ROUNDDOWN(O674*U674,2)</f>
        <v>0</v>
      </c>
      <c r="AK674" s="3133"/>
      <c r="AL674" s="3133"/>
      <c r="AM674" s="3134"/>
      <c r="AN674" s="3113">
        <f>INT(H674*AJ674)</f>
        <v>0</v>
      </c>
      <c r="AO674" s="2811"/>
      <c r="AP674" s="2811"/>
      <c r="AQ674" s="2812"/>
      <c r="AR674" s="3084">
        <f>$E$11</f>
        <v>0</v>
      </c>
      <c r="AS674" s="3085"/>
      <c r="AT674" s="3085"/>
      <c r="AU674" s="3085"/>
      <c r="AV674" s="3122">
        <f>INT(AN674*AR674)</f>
        <v>0</v>
      </c>
      <c r="AW674" s="2610"/>
      <c r="AX674" s="2610"/>
      <c r="AY674" s="2610"/>
      <c r="AZ674" s="3123"/>
      <c r="BA674" s="25" t="b">
        <v>1</v>
      </c>
      <c r="BB674" s="2358" t="s">
        <v>2342</v>
      </c>
    </row>
    <row r="675" spans="1:54" ht="13.5" customHeight="1" thickBot="1">
      <c r="B675" s="386"/>
      <c r="C675" s="387" t="s">
        <v>530</v>
      </c>
      <c r="D675" s="388"/>
      <c r="E675" s="388"/>
      <c r="F675" s="388"/>
      <c r="G675" s="389"/>
      <c r="H675" s="313">
        <f>IF($AD$8="",0,IF($AD$8=DB!C576,AG675,VLOOKUP($AD$8,主体明確補正,34,0)))</f>
        <v>0</v>
      </c>
      <c r="I675" s="313"/>
      <c r="J675" s="313"/>
      <c r="K675" s="313"/>
      <c r="L675" s="188" t="s">
        <v>163</v>
      </c>
      <c r="M675" s="162"/>
      <c r="N675" s="162"/>
      <c r="O675" s="390" t="s">
        <v>163</v>
      </c>
      <c r="P675" s="162"/>
      <c r="Q675" s="163"/>
      <c r="R675" s="188" t="s">
        <v>163</v>
      </c>
      <c r="S675" s="162"/>
      <c r="T675" s="189"/>
      <c r="U675" s="162" t="s">
        <v>163</v>
      </c>
      <c r="V675" s="162"/>
      <c r="W675" s="163"/>
      <c r="X675" s="2755"/>
      <c r="Y675" s="2756"/>
      <c r="Z675" s="2756"/>
      <c r="AA675" s="309">
        <f>IF(X675="",0,VLOOKUP(X675,X676:AC678,4,0))</f>
        <v>0</v>
      </c>
      <c r="AB675" s="313"/>
      <c r="AC675" s="391"/>
      <c r="AD675" s="3135"/>
      <c r="AE675" s="3136"/>
      <c r="AF675" s="3137"/>
      <c r="AG675" s="391" t="str">
        <f>IF(AD8=DB!C576,VLOOKUP(AD675,AD676:AI679,4,0),"－")</f>
        <v>－</v>
      </c>
      <c r="AH675" s="391"/>
      <c r="AI675" s="392"/>
      <c r="AJ675" s="3138">
        <f>AA675</f>
        <v>0</v>
      </c>
      <c r="AK675" s="3139"/>
      <c r="AL675" s="3139"/>
      <c r="AM675" s="3140"/>
      <c r="AN675" s="2742">
        <f>INT(H675*AJ675)</f>
        <v>0</v>
      </c>
      <c r="AO675" s="2743"/>
      <c r="AP675" s="2743"/>
      <c r="AQ675" s="2744"/>
      <c r="AR675" s="3117">
        <f>$E$11</f>
        <v>0</v>
      </c>
      <c r="AS675" s="3118"/>
      <c r="AT675" s="3118"/>
      <c r="AU675" s="3118"/>
      <c r="AV675" s="3130">
        <f>INT(AN675*AR675)</f>
        <v>0</v>
      </c>
      <c r="AW675" s="3131"/>
      <c r="AX675" s="3131"/>
      <c r="AY675" s="3131"/>
      <c r="AZ675" s="3132"/>
      <c r="BA675" s="25" t="b">
        <v>1</v>
      </c>
      <c r="BB675" s="2277" t="s">
        <v>2340</v>
      </c>
    </row>
    <row r="676" spans="1:54" ht="13.5" customHeight="1">
      <c r="B676" s="128"/>
      <c r="C676" s="6"/>
      <c r="D676" s="6"/>
      <c r="E676" s="6"/>
      <c r="F676" s="6"/>
      <c r="G676" s="6"/>
      <c r="H676" s="6"/>
      <c r="I676" s="6"/>
      <c r="J676" s="6"/>
      <c r="K676" s="6"/>
      <c r="L676" s="393" t="s">
        <v>531</v>
      </c>
      <c r="M676" s="394"/>
      <c r="N676" s="394"/>
      <c r="O676" s="395">
        <v>1.5</v>
      </c>
      <c r="P676" s="394"/>
      <c r="Q676" s="394"/>
      <c r="R676" s="396" t="s">
        <v>532</v>
      </c>
      <c r="S676" s="397"/>
      <c r="T676" s="397"/>
      <c r="U676" s="395">
        <v>1.2</v>
      </c>
      <c r="V676" s="394"/>
      <c r="W676" s="398"/>
      <c r="X676" s="399" t="s">
        <v>533</v>
      </c>
      <c r="Y676" s="400"/>
      <c r="Z676" s="400"/>
      <c r="AA676" s="401">
        <v>1.5</v>
      </c>
      <c r="AB676" s="400"/>
      <c r="AC676" s="400"/>
      <c r="AD676" s="402" t="s">
        <v>534</v>
      </c>
      <c r="AE676" s="403"/>
      <c r="AF676" s="403"/>
      <c r="AG676" s="2359">
        <v>14820</v>
      </c>
      <c r="AH676" s="2359"/>
      <c r="AI676" s="2360"/>
      <c r="AJ676" s="6"/>
      <c r="AK676" s="6"/>
      <c r="AL676" s="6"/>
      <c r="AM676" s="6"/>
      <c r="AN676" s="6"/>
      <c r="AO676" s="6"/>
      <c r="AP676" s="6"/>
      <c r="AQ676" s="6"/>
      <c r="AR676" s="6"/>
      <c r="AS676" s="6"/>
      <c r="AT676" s="6"/>
      <c r="AU676" s="6"/>
      <c r="AV676" s="6"/>
      <c r="AW676" s="6"/>
      <c r="AX676" s="6"/>
      <c r="AY676" s="404"/>
      <c r="AZ676" s="405"/>
      <c r="BA676" s="25" t="b">
        <v>1</v>
      </c>
      <c r="BB676" s="2277" t="s">
        <v>2341</v>
      </c>
    </row>
    <row r="677" spans="1:54" ht="13.5" customHeight="1">
      <c r="B677" s="128"/>
      <c r="C677" s="6"/>
      <c r="D677" s="6"/>
      <c r="E677" s="6"/>
      <c r="F677" s="6"/>
      <c r="G677" s="6"/>
      <c r="H677" s="6"/>
      <c r="I677" s="6"/>
      <c r="J677" s="6"/>
      <c r="K677" s="6"/>
      <c r="L677" s="406" t="s">
        <v>866</v>
      </c>
      <c r="M677" s="407"/>
      <c r="N677" s="407"/>
      <c r="O677" s="408">
        <v>1</v>
      </c>
      <c r="P677" s="407"/>
      <c r="Q677" s="407"/>
      <c r="R677" s="409" t="s">
        <v>535</v>
      </c>
      <c r="S677" s="410"/>
      <c r="T677" s="410"/>
      <c r="U677" s="408">
        <v>1</v>
      </c>
      <c r="V677" s="407"/>
      <c r="W677" s="411"/>
      <c r="X677" s="412" t="s">
        <v>866</v>
      </c>
      <c r="Y677" s="413"/>
      <c r="Z677" s="413"/>
      <c r="AA677" s="414">
        <v>1</v>
      </c>
      <c r="AB677" s="413"/>
      <c r="AC677" s="413"/>
      <c r="AD677" s="415" t="s">
        <v>536</v>
      </c>
      <c r="AE677" s="416"/>
      <c r="AF677" s="416"/>
      <c r="AG677" s="2361">
        <v>9130</v>
      </c>
      <c r="AH677" s="2361"/>
      <c r="AI677" s="2362"/>
      <c r="AJ677" s="6"/>
      <c r="AK677" s="6"/>
      <c r="AL677" s="6"/>
      <c r="AM677" s="6"/>
      <c r="AN677" s="6"/>
      <c r="AO677" s="6"/>
      <c r="AP677" s="6"/>
      <c r="AQ677" s="6"/>
      <c r="AR677" s="6"/>
      <c r="AS677" s="6"/>
      <c r="AT677" s="6"/>
      <c r="AU677" s="6"/>
      <c r="AV677" s="6"/>
      <c r="AW677" s="6"/>
      <c r="AX677" s="6"/>
      <c r="AY677" s="6"/>
      <c r="AZ677" s="130"/>
      <c r="BA677" s="25" t="b">
        <v>1</v>
      </c>
      <c r="BB677" s="2278" t="s">
        <v>2343</v>
      </c>
    </row>
    <row r="678" spans="1:54" ht="13.5" customHeight="1">
      <c r="B678" s="128"/>
      <c r="C678" s="6"/>
      <c r="D678" s="6"/>
      <c r="E678" s="6"/>
      <c r="F678" s="6"/>
      <c r="G678" s="6"/>
      <c r="H678" s="6"/>
      <c r="I678" s="6"/>
      <c r="J678" s="6"/>
      <c r="K678" s="6"/>
      <c r="L678" s="406" t="str">
        <f>+IF(AND(AD8=DB!C578,調書!AM7=DB!B598),"簡単ＬＧＳ","簡単")</f>
        <v>簡単</v>
      </c>
      <c r="M678" s="407"/>
      <c r="N678" s="407"/>
      <c r="O678" s="408">
        <f>+IF(L678="簡単ＬＧＳ",0.5,0.7)</f>
        <v>0.7</v>
      </c>
      <c r="P678" s="407"/>
      <c r="Q678" s="407"/>
      <c r="R678" s="409" t="s">
        <v>537</v>
      </c>
      <c r="S678" s="410"/>
      <c r="T678" s="410"/>
      <c r="U678" s="408">
        <v>0.9</v>
      </c>
      <c r="V678" s="407"/>
      <c r="W678" s="411"/>
      <c r="X678" s="417" t="s">
        <v>538</v>
      </c>
      <c r="Y678" s="418"/>
      <c r="Z678" s="418"/>
      <c r="AA678" s="419">
        <v>0.5</v>
      </c>
      <c r="AB678" s="418"/>
      <c r="AC678" s="418"/>
      <c r="AD678" s="415" t="s">
        <v>539</v>
      </c>
      <c r="AE678" s="416"/>
      <c r="AF678" s="416"/>
      <c r="AG678" s="2361">
        <v>4940</v>
      </c>
      <c r="AH678" s="2361"/>
      <c r="AI678" s="2362"/>
      <c r="AJ678" s="6"/>
      <c r="AK678" s="6"/>
      <c r="AL678" s="6"/>
      <c r="AM678" s="6"/>
      <c r="AN678" s="6"/>
      <c r="AO678" s="6"/>
      <c r="AP678" s="6"/>
      <c r="AQ678" s="6"/>
      <c r="AR678" s="6"/>
      <c r="AS678" s="6"/>
      <c r="AT678" s="6"/>
      <c r="AU678" s="6"/>
      <c r="AV678" s="6"/>
      <c r="AW678" s="6"/>
      <c r="AX678" s="6"/>
      <c r="AY678" s="6"/>
      <c r="AZ678" s="130"/>
      <c r="BA678" s="25" t="b">
        <v>1</v>
      </c>
      <c r="BB678" s="2277" t="s">
        <v>2021</v>
      </c>
    </row>
    <row r="679" spans="1:54" ht="13.5" customHeight="1">
      <c r="B679" s="128"/>
      <c r="C679" s="6"/>
      <c r="D679" s="6"/>
      <c r="E679" s="6"/>
      <c r="F679" s="6"/>
      <c r="G679" s="6"/>
      <c r="H679" s="6"/>
      <c r="I679" s="6"/>
      <c r="J679" s="6"/>
      <c r="K679" s="6"/>
      <c r="L679" s="420"/>
      <c r="M679" s="421"/>
      <c r="N679" s="421"/>
      <c r="O679" s="422"/>
      <c r="P679" s="421"/>
      <c r="Q679" s="421"/>
      <c r="R679" s="423" t="s">
        <v>540</v>
      </c>
      <c r="S679" s="424"/>
      <c r="T679" s="424"/>
      <c r="U679" s="425">
        <v>0.8</v>
      </c>
      <c r="V679" s="426"/>
      <c r="W679" s="427"/>
      <c r="AA679" s="6"/>
      <c r="AD679" s="1340" t="s">
        <v>1146</v>
      </c>
      <c r="AE679" s="428"/>
      <c r="AF679" s="428"/>
      <c r="AG679" s="2363">
        <v>2550</v>
      </c>
      <c r="AH679" s="2363"/>
      <c r="AI679" s="2364"/>
      <c r="AJ679" s="6"/>
      <c r="AK679" s="6"/>
      <c r="AL679" s="6"/>
      <c r="AM679" s="6"/>
      <c r="AN679" s="6"/>
      <c r="AO679" s="6"/>
      <c r="AP679" s="6"/>
      <c r="AQ679" s="6"/>
      <c r="AR679" s="6"/>
      <c r="AS679" s="6"/>
      <c r="AT679" s="6"/>
      <c r="AU679" s="6"/>
      <c r="AV679" s="6"/>
      <c r="AW679" s="6"/>
      <c r="AX679" s="6"/>
      <c r="AY679" s="6"/>
      <c r="AZ679" s="130"/>
      <c r="BA679" s="25" t="b">
        <v>1</v>
      </c>
      <c r="BB679" s="2277" t="s">
        <v>2023</v>
      </c>
    </row>
    <row r="680" spans="1:54" ht="13.5" customHeight="1">
      <c r="A680">
        <f>ROW()</f>
        <v>680</v>
      </c>
      <c r="B680" s="429"/>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430"/>
      <c r="BA680" s="25" t="b">
        <v>1</v>
      </c>
      <c r="BB680" s="2277"/>
    </row>
    <row r="681" spans="1:54" ht="13.5" customHeight="1">
      <c r="BA681" s="25" t="b">
        <v>0</v>
      </c>
    </row>
    <row r="682" spans="1:54" ht="13.5" customHeight="1" thickBot="1">
      <c r="BA682" s="25" t="b">
        <v>1</v>
      </c>
    </row>
    <row r="683" spans="1:54" ht="13.5" customHeight="1">
      <c r="AL683" s="431" t="s">
        <v>541</v>
      </c>
      <c r="AM683" s="432"/>
      <c r="AN683" s="433"/>
      <c r="AO683" s="433"/>
      <c r="AP683" s="433"/>
      <c r="AQ683" s="433"/>
      <c r="AR683" s="434"/>
      <c r="AS683" s="3111">
        <f ca="1">SUM(AV79,AV85,AV118,AV154,AV179,AW215,AW244,AW273,AW304,AW370,AW460,AW537,AW597,AW659,AV664,AV666,AV668,AV674,AV675)</f>
        <v>0</v>
      </c>
      <c r="AT683" s="3112"/>
      <c r="AU683" s="3112"/>
      <c r="AV683" s="3112"/>
      <c r="AW683" s="3112"/>
      <c r="AX683" s="435" t="s">
        <v>542</v>
      </c>
      <c r="AY683" s="436"/>
      <c r="AZ683" s="437"/>
      <c r="BA683" s="25" t="b">
        <v>1</v>
      </c>
    </row>
    <row r="684" spans="1:54" ht="13.5" customHeight="1">
      <c r="AL684" s="438" t="s">
        <v>543</v>
      </c>
      <c r="AM684" s="439"/>
      <c r="AN684" s="440"/>
      <c r="AO684" s="440"/>
      <c r="AP684" s="440"/>
      <c r="AQ684" s="3126"/>
      <c r="AR684" s="3127"/>
      <c r="AS684" s="3124">
        <f>IF(AQ684&lt;&gt;0,INT(AS683/AQ684),0)</f>
        <v>0</v>
      </c>
      <c r="AT684" s="3125"/>
      <c r="AU684" s="3125"/>
      <c r="AV684" s="3125"/>
      <c r="AW684" s="3125"/>
      <c r="AX684" s="441" t="s">
        <v>542</v>
      </c>
      <c r="AY684" s="442"/>
      <c r="AZ684" s="443"/>
      <c r="BA684" s="25" t="b">
        <f>AQ684&lt;&gt;0</f>
        <v>0</v>
      </c>
    </row>
    <row r="685" spans="1:54" ht="13.5" customHeight="1">
      <c r="AL685" s="444" t="s">
        <v>545</v>
      </c>
      <c r="AM685" s="445"/>
      <c r="AN685" s="7"/>
      <c r="AO685" s="7"/>
      <c r="AP685" s="7"/>
      <c r="AQ685" s="3128">
        <f>IF($E$11&gt;10,1.1,1)</f>
        <v>1</v>
      </c>
      <c r="AR685" s="3129"/>
      <c r="AS685" s="3115">
        <f ca="1">IF(AQ684&lt;&gt;0,INT(AS684*AQ685),INT(AS683*AQ685))</f>
        <v>0</v>
      </c>
      <c r="AT685" s="3116"/>
      <c r="AU685" s="3116"/>
      <c r="AV685" s="3116"/>
      <c r="AW685" s="3116"/>
      <c r="AX685" s="446" t="s">
        <v>544</v>
      </c>
      <c r="AY685" s="447"/>
      <c r="AZ685" s="448"/>
      <c r="BA685" s="25" t="b">
        <v>1</v>
      </c>
    </row>
    <row r="686" spans="1:54" ht="13.5" customHeight="1" thickBot="1">
      <c r="A686">
        <f>ROW()</f>
        <v>686</v>
      </c>
      <c r="AL686" s="449" t="s">
        <v>546</v>
      </c>
      <c r="AM686" s="450"/>
      <c r="AN686" s="451"/>
      <c r="AO686" s="451"/>
      <c r="AP686" s="451"/>
      <c r="AQ686" s="451"/>
      <c r="AR686" s="452"/>
      <c r="AS686" s="3109">
        <f>IF($E$11=0,0,INT(AS685/$E$11))</f>
        <v>0</v>
      </c>
      <c r="AT686" s="3110"/>
      <c r="AU686" s="3110"/>
      <c r="AV686" s="3110"/>
      <c r="AW686" s="3110"/>
      <c r="AX686" s="453" t="s">
        <v>990</v>
      </c>
      <c r="AY686" s="454"/>
      <c r="AZ686" s="455"/>
      <c r="BA686" s="25" t="b">
        <v>1</v>
      </c>
    </row>
    <row r="687" spans="1:54" ht="13.5" customHeight="1">
      <c r="BA687" s="25" t="b">
        <v>0</v>
      </c>
    </row>
    <row r="689" spans="34:52" ht="13.5" customHeight="1">
      <c r="AH689" s="1722" t="s">
        <v>1454</v>
      </c>
      <c r="AL689" s="1722"/>
    </row>
    <row r="690" spans="34:52" ht="13.5" customHeight="1">
      <c r="AH690" s="2709" t="s">
        <v>1459</v>
      </c>
      <c r="AI690" s="2709"/>
      <c r="AJ690" s="2709"/>
      <c r="AK690" s="2709"/>
      <c r="AL690" s="2709" t="s">
        <v>1456</v>
      </c>
      <c r="AM690" s="2709"/>
      <c r="AN690" s="2709"/>
      <c r="AO690" s="2709"/>
      <c r="AP690" s="2709"/>
      <c r="AQ690" s="2709" t="s">
        <v>1457</v>
      </c>
      <c r="AR690" s="2709"/>
      <c r="AS690" s="2709"/>
      <c r="AT690" s="2709"/>
      <c r="AU690" s="2709"/>
      <c r="AV690" s="2709" t="s">
        <v>1458</v>
      </c>
      <c r="AW690" s="2709"/>
      <c r="AX690" s="2709"/>
      <c r="AY690" s="2709"/>
      <c r="AZ690" s="2709"/>
    </row>
    <row r="691" spans="34:52" ht="13.5" customHeight="1">
      <c r="AH691" s="2709"/>
      <c r="AI691" s="2709"/>
      <c r="AJ691" s="2709"/>
      <c r="AK691" s="2709"/>
      <c r="AL691" s="2709" t="e">
        <f ca="1">+ROUNDUP(AS685*I13/E11,0)</f>
        <v>#DIV/0!</v>
      </c>
      <c r="AM691" s="2709"/>
      <c r="AN691" s="2709"/>
      <c r="AO691" s="2709"/>
      <c r="AP691" s="2709"/>
      <c r="AQ691" s="2709" t="e">
        <f ca="1">+AV691-AL691</f>
        <v>#DIV/0!</v>
      </c>
      <c r="AR691" s="2709"/>
      <c r="AS691" s="2709"/>
      <c r="AT691" s="2709"/>
      <c r="AU691" s="2709"/>
      <c r="AV691" s="2709">
        <f ca="1">+AS685</f>
        <v>0</v>
      </c>
      <c r="AW691" s="2709"/>
      <c r="AX691" s="2709"/>
      <c r="AY691" s="2709"/>
      <c r="AZ691" s="2709"/>
    </row>
    <row r="692" spans="34:52" ht="13.5" customHeight="1">
      <c r="AH692" s="2709" t="s">
        <v>1455</v>
      </c>
      <c r="AI692" s="2709"/>
      <c r="AJ692" s="2709"/>
      <c r="AK692" s="2709"/>
      <c r="AL692" s="2709" t="s">
        <v>1456</v>
      </c>
      <c r="AM692" s="2709"/>
      <c r="AN692" s="2709"/>
      <c r="AO692" s="2709"/>
      <c r="AP692" s="2709"/>
      <c r="AQ692" s="2709" t="s">
        <v>1457</v>
      </c>
      <c r="AR692" s="2709"/>
      <c r="AS692" s="2709"/>
      <c r="AT692" s="2709"/>
      <c r="AU692" s="2709"/>
      <c r="AV692" s="2709" t="s">
        <v>1458</v>
      </c>
      <c r="AW692" s="2709"/>
      <c r="AX692" s="2709"/>
      <c r="AY692" s="2709"/>
      <c r="AZ692" s="2709"/>
    </row>
    <row r="693" spans="34:52" ht="13.5" customHeight="1">
      <c r="AH693" s="2709"/>
      <c r="AI693" s="2709"/>
      <c r="AJ693" s="2709"/>
      <c r="AK693" s="2709"/>
      <c r="AL693" s="2709" t="e">
        <f ca="1">+ROUNDDOWN(AL691,-3)</f>
        <v>#DIV/0!</v>
      </c>
      <c r="AM693" s="2709"/>
      <c r="AN693" s="2709"/>
      <c r="AO693" s="2709"/>
      <c r="AP693" s="2709"/>
      <c r="AQ693" s="2709" t="e">
        <f ca="1">+ROUNDDOWN(AQ691,-3)</f>
        <v>#DIV/0!</v>
      </c>
      <c r="AR693" s="2709"/>
      <c r="AS693" s="2709"/>
      <c r="AT693" s="2709"/>
      <c r="AU693" s="2709"/>
      <c r="AV693" s="2709" t="e">
        <f ca="1">+AL693+AQ693</f>
        <v>#DIV/0!</v>
      </c>
      <c r="AW693" s="2709"/>
      <c r="AX693" s="2709"/>
      <c r="AY693" s="2709"/>
      <c r="AZ693" s="2709"/>
    </row>
    <row r="694" spans="34:52" ht="13.5" customHeight="1">
      <c r="AH694" s="2709" t="s">
        <v>1460</v>
      </c>
      <c r="AI694" s="2709"/>
      <c r="AJ694" s="2709"/>
      <c r="AK694" s="2709"/>
      <c r="AL694" s="2709" t="s">
        <v>1456</v>
      </c>
      <c r="AM694" s="2709"/>
      <c r="AN694" s="2709"/>
      <c r="AO694" s="2709"/>
      <c r="AP694" s="2709"/>
      <c r="AQ694" s="2709" t="s">
        <v>1457</v>
      </c>
      <c r="AR694" s="2709"/>
      <c r="AS694" s="2709"/>
      <c r="AT694" s="2709"/>
      <c r="AU694" s="2709"/>
      <c r="AV694" s="2709" t="s">
        <v>1458</v>
      </c>
      <c r="AW694" s="2709"/>
      <c r="AX694" s="2709"/>
      <c r="AY694" s="2709"/>
      <c r="AZ694" s="2709"/>
    </row>
    <row r="695" spans="34:52" ht="13.5" customHeight="1">
      <c r="AH695" s="2709"/>
      <c r="AI695" s="2709"/>
      <c r="AJ695" s="2709"/>
      <c r="AK695" s="2709"/>
      <c r="AL695" s="2709" t="e">
        <f ca="1">+ROUNDDOWN(AL693*3%,-2)</f>
        <v>#DIV/0!</v>
      </c>
      <c r="AM695" s="2709"/>
      <c r="AN695" s="2709"/>
      <c r="AO695" s="2709"/>
      <c r="AP695" s="2709"/>
      <c r="AQ695" s="2709" t="e">
        <f ca="1">+ROUNDDOWN(AQ693*4%,-2)</f>
        <v>#DIV/0!</v>
      </c>
      <c r="AR695" s="2709"/>
      <c r="AS695" s="2709"/>
      <c r="AT695" s="2709"/>
      <c r="AU695" s="2709"/>
      <c r="AV695" s="2709" t="e">
        <f ca="1">+AL695+AQ695</f>
        <v>#DIV/0!</v>
      </c>
      <c r="AW695" s="2709"/>
      <c r="AX695" s="2709"/>
      <c r="AY695" s="2709"/>
      <c r="AZ695" s="2709"/>
    </row>
  </sheetData>
  <autoFilter ref="BA1:BA687"/>
  <mergeCells count="5289">
    <mergeCell ref="AN49:AQ49"/>
    <mergeCell ref="AB92:AE92"/>
    <mergeCell ref="AC209:AE209"/>
    <mergeCell ref="AG209:AI209"/>
    <mergeCell ref="AS206:AV206"/>
    <mergeCell ref="AW206:AZ206"/>
    <mergeCell ref="AS174:AU174"/>
    <mergeCell ref="AO174:AR174"/>
    <mergeCell ref="AG191:AI191"/>
    <mergeCell ref="C184:AY184"/>
    <mergeCell ref="F213:P213"/>
    <mergeCell ref="Q213:S213"/>
    <mergeCell ref="D145:E146"/>
    <mergeCell ref="Y213:AA213"/>
    <mergeCell ref="AP207:AR207"/>
    <mergeCell ref="AS207:AV207"/>
    <mergeCell ref="AS204:AV204"/>
    <mergeCell ref="AS202:AV202"/>
    <mergeCell ref="Y202:AA202"/>
    <mergeCell ref="AP201:AR201"/>
    <mergeCell ref="AW207:AZ207"/>
    <mergeCell ref="AW202:AZ202"/>
    <mergeCell ref="AM197:AO197"/>
    <mergeCell ref="AC200:AE200"/>
    <mergeCell ref="AG200:AI200"/>
    <mergeCell ref="AP199:AR199"/>
    <mergeCell ref="AW205:AZ205"/>
    <mergeCell ref="AW208:AZ208"/>
    <mergeCell ref="Y208:AA208"/>
    <mergeCell ref="AC208:AE208"/>
    <mergeCell ref="V173:W173"/>
    <mergeCell ref="AJ206:AL206"/>
    <mergeCell ref="AF49:AI49"/>
    <mergeCell ref="AS545:AV545"/>
    <mergeCell ref="AS544:AV544"/>
    <mergeCell ref="R42:U42"/>
    <mergeCell ref="V42:Y42"/>
    <mergeCell ref="Z42:AA42"/>
    <mergeCell ref="AB42:AE42"/>
    <mergeCell ref="AF42:AI42"/>
    <mergeCell ref="AN42:AQ42"/>
    <mergeCell ref="AR42:AU42"/>
    <mergeCell ref="AS603:AV603"/>
    <mergeCell ref="AS555:AV555"/>
    <mergeCell ref="AW555:AZ555"/>
    <mergeCell ref="AW553:AZ553"/>
    <mergeCell ref="AS536:AV536"/>
    <mergeCell ref="AJ45:AM45"/>
    <mergeCell ref="AJ46:AM46"/>
    <mergeCell ref="AJ47:AM47"/>
    <mergeCell ref="AJ48:AM48"/>
    <mergeCell ref="AJ49:AM49"/>
    <mergeCell ref="AG487:AI487"/>
    <mergeCell ref="AJ487:AL487"/>
    <mergeCell ref="AG500:AI500"/>
    <mergeCell ref="AM490:AO490"/>
    <mergeCell ref="AM487:AO487"/>
    <mergeCell ref="AW594:AZ594"/>
    <mergeCell ref="AW587:AZ587"/>
    <mergeCell ref="R46:U46"/>
    <mergeCell ref="V46:Y46"/>
    <mergeCell ref="AS428:AV428"/>
    <mergeCell ref="AS490:AV490"/>
    <mergeCell ref="Z44:AA44"/>
    <mergeCell ref="AW536:AZ536"/>
    <mergeCell ref="AN48:AQ48"/>
    <mergeCell ref="AR48:AU48"/>
    <mergeCell ref="AM402:AO402"/>
    <mergeCell ref="AP402:AR402"/>
    <mergeCell ref="AS402:AV402"/>
    <mergeCell ref="AP493:AR493"/>
    <mergeCell ref="AP497:AR497"/>
    <mergeCell ref="U503:W503"/>
    <mergeCell ref="AR49:AU49"/>
    <mergeCell ref="U500:W500"/>
    <mergeCell ref="AP487:AR487"/>
    <mergeCell ref="AC495:AE495"/>
    <mergeCell ref="AG495:AI495"/>
    <mergeCell ref="AS499:AV499"/>
    <mergeCell ref="AP499:AR499"/>
    <mergeCell ref="AS498:AV498"/>
    <mergeCell ref="AJ488:AL488"/>
    <mergeCell ref="U498:W498"/>
    <mergeCell ref="AJ475:AL475"/>
    <mergeCell ref="AS484:AV484"/>
    <mergeCell ref="AM476:AO476"/>
    <mergeCell ref="AM480:AO480"/>
    <mergeCell ref="AP482:AR482"/>
    <mergeCell ref="U368:W368"/>
    <mergeCell ref="U376:W376"/>
    <mergeCell ref="Y380:AA380"/>
    <mergeCell ref="AV38:AZ49"/>
    <mergeCell ref="AR45:AU45"/>
    <mergeCell ref="V49:Y49"/>
    <mergeCell ref="Z49:AA49"/>
    <mergeCell ref="AB49:AE49"/>
    <mergeCell ref="Q647:S647"/>
    <mergeCell ref="U647:W647"/>
    <mergeCell ref="Y647:AA647"/>
    <mergeCell ref="AC647:AE647"/>
    <mergeCell ref="AG647:AI647"/>
    <mergeCell ref="AJ647:AL647"/>
    <mergeCell ref="AM647:AO647"/>
    <mergeCell ref="AP647:AR647"/>
    <mergeCell ref="AS647:AV647"/>
    <mergeCell ref="AW647:AZ647"/>
    <mergeCell ref="H648:P648"/>
    <mergeCell ref="Q648:S648"/>
    <mergeCell ref="U648:W648"/>
    <mergeCell ref="Y648:AA648"/>
    <mergeCell ref="AC648:AE648"/>
    <mergeCell ref="AG648:AI648"/>
    <mergeCell ref="AS613:AV613"/>
    <mergeCell ref="U638:W638"/>
    <mergeCell ref="AS635:AV635"/>
    <mergeCell ref="Q642:S642"/>
    <mergeCell ref="AP635:AR635"/>
    <mergeCell ref="AJ633:AL633"/>
    <mergeCell ref="AC632:AE632"/>
    <mergeCell ref="AG632:AI632"/>
    <mergeCell ref="AM628:AO628"/>
    <mergeCell ref="AP628:AR628"/>
    <mergeCell ref="AG628:AI628"/>
    <mergeCell ref="AM631:AO631"/>
    <mergeCell ref="AJ626:AL626"/>
    <mergeCell ref="AW622:AZ622"/>
    <mergeCell ref="AW615:AZ615"/>
    <mergeCell ref="AP614:AR614"/>
    <mergeCell ref="AW542:AZ542"/>
    <mergeCell ref="AW554:AZ554"/>
    <mergeCell ref="AS553:AV553"/>
    <mergeCell ref="AW548:AZ548"/>
    <mergeCell ref="AW545:AZ545"/>
    <mergeCell ref="AW562:AZ562"/>
    <mergeCell ref="Q532:S532"/>
    <mergeCell ref="U532:W532"/>
    <mergeCell ref="Y532:AA532"/>
    <mergeCell ref="AC532:AE532"/>
    <mergeCell ref="AG532:AI532"/>
    <mergeCell ref="AJ532:AL532"/>
    <mergeCell ref="AM532:AO532"/>
    <mergeCell ref="AP532:AR532"/>
    <mergeCell ref="AG554:AI554"/>
    <mergeCell ref="AJ554:AL554"/>
    <mergeCell ref="Q551:S551"/>
    <mergeCell ref="AS537:AV537"/>
    <mergeCell ref="AM543:AO543"/>
    <mergeCell ref="AP550:AR550"/>
    <mergeCell ref="AG548:AI548"/>
    <mergeCell ref="U548:W548"/>
    <mergeCell ref="Y548:AA548"/>
    <mergeCell ref="Q535:S535"/>
    <mergeCell ref="Q547:S547"/>
    <mergeCell ref="AS533:AV533"/>
    <mergeCell ref="AW533:AZ533"/>
    <mergeCell ref="AJ535:AL535"/>
    <mergeCell ref="U544:W544"/>
    <mergeCell ref="Y544:AA544"/>
    <mergeCell ref="AG536:AI536"/>
    <mergeCell ref="AG534:AI534"/>
    <mergeCell ref="AS554:AV554"/>
    <mergeCell ref="AW559:AZ559"/>
    <mergeCell ref="Q545:S545"/>
    <mergeCell ref="U545:W545"/>
    <mergeCell ref="AC558:AE558"/>
    <mergeCell ref="AW551:AZ551"/>
    <mergeCell ref="AS552:AV552"/>
    <mergeCell ref="AM563:AO563"/>
    <mergeCell ref="AP563:AR563"/>
    <mergeCell ref="AS548:AV548"/>
    <mergeCell ref="AW563:AZ563"/>
    <mergeCell ref="AW552:AZ552"/>
    <mergeCell ref="AS558:AV558"/>
    <mergeCell ref="AP562:AR562"/>
    <mergeCell ref="AG560:AI560"/>
    <mergeCell ref="AW546:AZ546"/>
    <mergeCell ref="U547:W547"/>
    <mergeCell ref="AC546:AE546"/>
    <mergeCell ref="AM547:AO547"/>
    <mergeCell ref="AJ546:AL546"/>
    <mergeCell ref="AS559:AV559"/>
    <mergeCell ref="AS549:AV549"/>
    <mergeCell ref="Q549:S549"/>
    <mergeCell ref="AJ558:AL558"/>
    <mergeCell ref="U552:W552"/>
    <mergeCell ref="Y552:AA552"/>
    <mergeCell ref="AG551:AI551"/>
    <mergeCell ref="AM551:AO551"/>
    <mergeCell ref="AC554:AE554"/>
    <mergeCell ref="AJ563:AL563"/>
    <mergeCell ref="AC555:AE555"/>
    <mergeCell ref="AG545:AI545"/>
    <mergeCell ref="AP564:AR564"/>
    <mergeCell ref="AM569:AO569"/>
    <mergeCell ref="Y569:AA569"/>
    <mergeCell ref="Q559:S559"/>
    <mergeCell ref="U559:W559"/>
    <mergeCell ref="Y559:AA559"/>
    <mergeCell ref="AC559:AE559"/>
    <mergeCell ref="AG559:AI559"/>
    <mergeCell ref="AJ559:AL559"/>
    <mergeCell ref="AM559:AO559"/>
    <mergeCell ref="Y554:AA554"/>
    <mergeCell ref="AM560:AO560"/>
    <mergeCell ref="Y558:AA558"/>
    <mergeCell ref="AG561:AI561"/>
    <mergeCell ref="AJ561:AL561"/>
    <mergeCell ref="Y563:AA563"/>
    <mergeCell ref="AC563:AE563"/>
    <mergeCell ref="AG563:AI563"/>
    <mergeCell ref="AM565:AO565"/>
    <mergeCell ref="Q566:S566"/>
    <mergeCell ref="AC565:AE565"/>
    <mergeCell ref="AM555:AO555"/>
    <mergeCell ref="U558:W558"/>
    <mergeCell ref="Q560:S560"/>
    <mergeCell ref="U560:W560"/>
    <mergeCell ref="Q564:S564"/>
    <mergeCell ref="AP559:AR559"/>
    <mergeCell ref="AW549:AZ549"/>
    <mergeCell ref="AW558:AZ558"/>
    <mergeCell ref="AS550:AV550"/>
    <mergeCell ref="AW550:AZ550"/>
    <mergeCell ref="AP549:AR549"/>
    <mergeCell ref="AP548:AR548"/>
    <mergeCell ref="Q548:S548"/>
    <mergeCell ref="AJ548:AL548"/>
    <mergeCell ref="AM544:AO544"/>
    <mergeCell ref="AP560:AR560"/>
    <mergeCell ref="AW557:AZ557"/>
    <mergeCell ref="AS570:AV570"/>
    <mergeCell ref="AJ550:AL550"/>
    <mergeCell ref="AS567:AV567"/>
    <mergeCell ref="AS566:AV566"/>
    <mergeCell ref="AW566:AZ566"/>
    <mergeCell ref="AJ553:AL553"/>
    <mergeCell ref="AG552:AI552"/>
    <mergeCell ref="AJ552:AL552"/>
    <mergeCell ref="Q561:S561"/>
    <mergeCell ref="AG558:AI558"/>
    <mergeCell ref="Q554:S554"/>
    <mergeCell ref="AM558:AO558"/>
    <mergeCell ref="AM570:AO570"/>
    <mergeCell ref="AM552:AO552"/>
    <mergeCell ref="AM553:AO553"/>
    <mergeCell ref="AG553:AI553"/>
    <mergeCell ref="AW569:AZ569"/>
    <mergeCell ref="AS563:AV563"/>
    <mergeCell ref="AS562:AV562"/>
    <mergeCell ref="AP558:AR558"/>
    <mergeCell ref="AS556:AV556"/>
    <mergeCell ref="H532:P532"/>
    <mergeCell ref="AP501:AR501"/>
    <mergeCell ref="AM503:AO503"/>
    <mergeCell ref="AJ501:AL501"/>
    <mergeCell ref="AM501:AO501"/>
    <mergeCell ref="F501:P501"/>
    <mergeCell ref="F512:P512"/>
    <mergeCell ref="U530:W530"/>
    <mergeCell ref="Y530:AA530"/>
    <mergeCell ref="Q521:S521"/>
    <mergeCell ref="H529:P529"/>
    <mergeCell ref="Q520:S520"/>
    <mergeCell ref="AC520:AE520"/>
    <mergeCell ref="F513:P513"/>
    <mergeCell ref="F509:P509"/>
    <mergeCell ref="Y521:AA521"/>
    <mergeCell ref="AC521:AE521"/>
    <mergeCell ref="AM515:AO515"/>
    <mergeCell ref="AJ521:AL521"/>
    <mergeCell ref="Q527:S527"/>
    <mergeCell ref="Y525:AA525"/>
    <mergeCell ref="Q505:S505"/>
    <mergeCell ref="F507:P507"/>
    <mergeCell ref="F504:P504"/>
    <mergeCell ref="F503:P503"/>
    <mergeCell ref="F502:P502"/>
    <mergeCell ref="Y528:AA528"/>
    <mergeCell ref="U525:W525"/>
    <mergeCell ref="Y519:AA519"/>
    <mergeCell ref="AC519:AE519"/>
    <mergeCell ref="F521:P521"/>
    <mergeCell ref="AJ522:AL522"/>
    <mergeCell ref="AP503:AR503"/>
    <mergeCell ref="F506:P506"/>
    <mergeCell ref="F508:P508"/>
    <mergeCell ref="H456:P456"/>
    <mergeCell ref="Q456:S456"/>
    <mergeCell ref="U456:W456"/>
    <mergeCell ref="Y456:AA456"/>
    <mergeCell ref="AC456:AE456"/>
    <mergeCell ref="AG456:AI456"/>
    <mergeCell ref="AJ456:AL456"/>
    <mergeCell ref="AM456:AO456"/>
    <mergeCell ref="AP456:AR456"/>
    <mergeCell ref="AS456:AV456"/>
    <mergeCell ref="AS489:AV489"/>
    <mergeCell ref="AS486:AV486"/>
    <mergeCell ref="AS420:AV420"/>
    <mergeCell ref="Y418:AA418"/>
    <mergeCell ref="Y421:AA421"/>
    <mergeCell ref="AJ419:AL419"/>
    <mergeCell ref="AS433:AV433"/>
    <mergeCell ref="AS445:AV445"/>
    <mergeCell ref="AW443:AZ443"/>
    <mergeCell ref="Y441:AA441"/>
    <mergeCell ref="Y438:AA438"/>
    <mergeCell ref="AC454:AE454"/>
    <mergeCell ref="Q413:S413"/>
    <mergeCell ref="AC501:AE501"/>
    <mergeCell ref="AP511:AR511"/>
    <mergeCell ref="F515:P515"/>
    <mergeCell ref="Y454:AA454"/>
    <mergeCell ref="AC475:AE475"/>
    <mergeCell ref="AG475:AI475"/>
    <mergeCell ref="AC415:AE415"/>
    <mergeCell ref="AG415:AI415"/>
    <mergeCell ref="Y415:AA415"/>
    <mergeCell ref="AG413:AI413"/>
    <mergeCell ref="AW478:AZ478"/>
    <mergeCell ref="AW474:AZ474"/>
    <mergeCell ref="Y481:AA481"/>
    <mergeCell ref="AJ460:AR460"/>
    <mergeCell ref="AG468:AI468"/>
    <mergeCell ref="AJ468:AL468"/>
    <mergeCell ref="AG469:AI469"/>
    <mergeCell ref="AP480:AR480"/>
    <mergeCell ref="AP475:AR475"/>
    <mergeCell ref="AM429:AO429"/>
    <mergeCell ref="AG416:AI416"/>
    <mergeCell ref="Y420:AA420"/>
    <mergeCell ref="AG414:AI414"/>
    <mergeCell ref="AS434:AV434"/>
    <mergeCell ref="AS437:AV437"/>
    <mergeCell ref="U414:W414"/>
    <mergeCell ref="F380:P380"/>
    <mergeCell ref="Q409:S409"/>
    <mergeCell ref="F392:P392"/>
    <mergeCell ref="Y412:AA412"/>
    <mergeCell ref="U421:W421"/>
    <mergeCell ref="AW466:AZ466"/>
    <mergeCell ref="Y426:AA426"/>
    <mergeCell ref="Q415:S415"/>
    <mergeCell ref="AJ444:AL444"/>
    <mergeCell ref="AW425:AZ425"/>
    <mergeCell ref="Y425:AA425"/>
    <mergeCell ref="AM424:AO424"/>
    <mergeCell ref="AS425:AV425"/>
    <mergeCell ref="U427:W427"/>
    <mergeCell ref="AS450:AV450"/>
    <mergeCell ref="AP451:AR451"/>
    <mergeCell ref="AG452:AI452"/>
    <mergeCell ref="Y453:AA453"/>
    <mergeCell ref="AC453:AE453"/>
    <mergeCell ref="Q390:S390"/>
    <mergeCell ref="Q381:S381"/>
    <mergeCell ref="Q388:S388"/>
    <mergeCell ref="AW433:AZ433"/>
    <mergeCell ref="AS421:AV421"/>
    <mergeCell ref="AW465:AZ465"/>
    <mergeCell ref="AM381:AO381"/>
    <mergeCell ref="AW453:AZ453"/>
    <mergeCell ref="Q459:S459"/>
    <mergeCell ref="Q419:S419"/>
    <mergeCell ref="AW450:AZ450"/>
    <mergeCell ref="AM452:AO452"/>
    <mergeCell ref="AW449:AZ449"/>
    <mergeCell ref="AS367:AV367"/>
    <mergeCell ref="AW368:AZ368"/>
    <mergeCell ref="AS409:AV409"/>
    <mergeCell ref="AS380:AV380"/>
    <mergeCell ref="U386:W386"/>
    <mergeCell ref="Y405:AA405"/>
    <mergeCell ref="F402:P402"/>
    <mergeCell ref="Y390:AA390"/>
    <mergeCell ref="Q407:S407"/>
    <mergeCell ref="AG406:AI406"/>
    <mergeCell ref="AJ390:AL390"/>
    <mergeCell ref="Y381:AA381"/>
    <mergeCell ref="AW386:AZ386"/>
    <mergeCell ref="AW389:AZ389"/>
    <mergeCell ref="AC376:AE376"/>
    <mergeCell ref="AJ381:AL381"/>
    <mergeCell ref="Y369:AA369"/>
    <mergeCell ref="Y382:AA382"/>
    <mergeCell ref="F397:P397"/>
    <mergeCell ref="F401:P401"/>
    <mergeCell ref="U385:W385"/>
    <mergeCell ref="U380:W380"/>
    <mergeCell ref="U389:W389"/>
    <mergeCell ref="F378:P378"/>
    <mergeCell ref="AW390:AZ390"/>
    <mergeCell ref="AM392:AO392"/>
    <mergeCell ref="Y391:AA391"/>
    <mergeCell ref="U398:W398"/>
    <mergeCell ref="Q404:S404"/>
    <mergeCell ref="Y378:AA378"/>
    <mergeCell ref="Y400:AA400"/>
    <mergeCell ref="AW402:AZ402"/>
    <mergeCell ref="AM361:AO361"/>
    <mergeCell ref="AM400:AO400"/>
    <mergeCell ref="AM404:AO404"/>
    <mergeCell ref="AM398:AO398"/>
    <mergeCell ref="AM403:AO403"/>
    <mergeCell ref="AM390:AO390"/>
    <mergeCell ref="U402:W402"/>
    <mergeCell ref="Y402:AA402"/>
    <mergeCell ref="U396:W396"/>
    <mergeCell ref="U409:W409"/>
    <mergeCell ref="AM363:AO363"/>
    <mergeCell ref="AM399:AO399"/>
    <mergeCell ref="AJ405:AL405"/>
    <mergeCell ref="AC364:AE364"/>
    <mergeCell ref="AJ393:AL393"/>
    <mergeCell ref="Y392:AA392"/>
    <mergeCell ref="AC392:AE392"/>
    <mergeCell ref="AG388:AI388"/>
    <mergeCell ref="AM365:AO365"/>
    <mergeCell ref="AG368:AI368"/>
    <mergeCell ref="Y376:AA376"/>
    <mergeCell ref="AJ388:AL388"/>
    <mergeCell ref="AJ397:AL397"/>
    <mergeCell ref="AG382:AI382"/>
    <mergeCell ref="AC388:AE388"/>
    <mergeCell ref="AM397:AO397"/>
    <mergeCell ref="AM388:AO388"/>
    <mergeCell ref="AG409:AI409"/>
    <mergeCell ref="AG364:AI364"/>
    <mergeCell ref="AC362:AE362"/>
    <mergeCell ref="Y368:AA368"/>
    <mergeCell ref="U366:W366"/>
    <mergeCell ref="AS363:AV363"/>
    <mergeCell ref="AM369:AO369"/>
    <mergeCell ref="AG403:AI403"/>
    <mergeCell ref="AJ383:AL383"/>
    <mergeCell ref="AM395:AO395"/>
    <mergeCell ref="U361:W361"/>
    <mergeCell ref="Y361:AA361"/>
    <mergeCell ref="U379:W379"/>
    <mergeCell ref="AJ365:AL365"/>
    <mergeCell ref="Y394:AA394"/>
    <mergeCell ref="AG336:AI336"/>
    <mergeCell ref="AS424:AV424"/>
    <mergeCell ref="U357:W357"/>
    <mergeCell ref="Y357:AA357"/>
    <mergeCell ref="AS392:AV392"/>
    <mergeCell ref="AS418:AV418"/>
    <mergeCell ref="AM419:AO419"/>
    <mergeCell ref="AC393:AE393"/>
    <mergeCell ref="AM394:AO394"/>
    <mergeCell ref="AM396:AO396"/>
    <mergeCell ref="AG399:AI399"/>
    <mergeCell ref="AM417:AO417"/>
    <mergeCell ref="AC416:AE416"/>
    <mergeCell ref="AS406:AV406"/>
    <mergeCell ref="AS408:AV408"/>
    <mergeCell ref="AS404:AV404"/>
    <mergeCell ref="AP420:AR420"/>
    <mergeCell ref="AG389:AI389"/>
    <mergeCell ref="AG362:AI362"/>
    <mergeCell ref="U387:W387"/>
    <mergeCell ref="AP362:AR362"/>
    <mergeCell ref="AP365:AR365"/>
    <mergeCell ref="AP366:AR366"/>
    <mergeCell ref="H369:P369"/>
    <mergeCell ref="AC369:AE369"/>
    <mergeCell ref="AG366:AI366"/>
    <mergeCell ref="AJ366:AL366"/>
    <mergeCell ref="AG387:AI387"/>
    <mergeCell ref="F407:P407"/>
    <mergeCell ref="AP392:AR392"/>
    <mergeCell ref="F386:P386"/>
    <mergeCell ref="AC390:AE390"/>
    <mergeCell ref="AJ392:AL392"/>
    <mergeCell ref="AG398:AI398"/>
    <mergeCell ref="AC389:AE389"/>
    <mergeCell ref="Y395:AA395"/>
    <mergeCell ref="Y397:AA397"/>
    <mergeCell ref="Y366:AA366"/>
    <mergeCell ref="AC366:AE366"/>
    <mergeCell ref="AM376:AO376"/>
    <mergeCell ref="AP398:AR398"/>
    <mergeCell ref="AP406:AR406"/>
    <mergeCell ref="AC402:AE402"/>
    <mergeCell ref="U381:W381"/>
    <mergeCell ref="AG380:AI380"/>
    <mergeCell ref="AJ379:AL379"/>
    <mergeCell ref="U407:W407"/>
    <mergeCell ref="AC406:AE406"/>
    <mergeCell ref="U369:W369"/>
    <mergeCell ref="AM367:AO367"/>
    <mergeCell ref="AP367:AR367"/>
    <mergeCell ref="Y407:AA407"/>
    <mergeCell ref="H366:P366"/>
    <mergeCell ref="Y367:AA367"/>
    <mergeCell ref="AS478:AV478"/>
    <mergeCell ref="BB74:BB78"/>
    <mergeCell ref="U236:W236"/>
    <mergeCell ref="Y236:AA236"/>
    <mergeCell ref="AC236:AE236"/>
    <mergeCell ref="AJ89:AM89"/>
    <mergeCell ref="AJ90:AM90"/>
    <mergeCell ref="AJ91:AM91"/>
    <mergeCell ref="F205:P205"/>
    <mergeCell ref="F204:P204"/>
    <mergeCell ref="AW213:AZ213"/>
    <mergeCell ref="AW215:AZ215"/>
    <mergeCell ref="F203:P203"/>
    <mergeCell ref="Q203:S203"/>
    <mergeCell ref="L137:O138"/>
    <mergeCell ref="AW220:AZ220"/>
    <mergeCell ref="AS221:AV221"/>
    <mergeCell ref="F385:P385"/>
    <mergeCell ref="AC365:AE365"/>
    <mergeCell ref="AP376:AR376"/>
    <mergeCell ref="AC225:AE225"/>
    <mergeCell ref="AM378:AO378"/>
    <mergeCell ref="AS312:AV312"/>
    <mergeCell ref="AM380:AO380"/>
    <mergeCell ref="Y300:AA300"/>
    <mergeCell ref="AC300:AE300"/>
    <mergeCell ref="AP364:AR364"/>
    <mergeCell ref="F383:P383"/>
    <mergeCell ref="U363:W363"/>
    <mergeCell ref="Y363:AA363"/>
    <mergeCell ref="AM406:AO406"/>
    <mergeCell ref="AC398:AE398"/>
    <mergeCell ref="AG476:AI476"/>
    <mergeCell ref="AW480:AZ480"/>
    <mergeCell ref="AP474:AR474"/>
    <mergeCell ref="Y432:AA432"/>
    <mergeCell ref="AG443:AI443"/>
    <mergeCell ref="AC439:AE439"/>
    <mergeCell ref="AG439:AI439"/>
    <mergeCell ref="AJ470:AL470"/>
    <mergeCell ref="AS475:AV475"/>
    <mergeCell ref="AS474:AV474"/>
    <mergeCell ref="AW434:AZ434"/>
    <mergeCell ref="AW445:AZ445"/>
    <mergeCell ref="AW437:AZ437"/>
    <mergeCell ref="AW446:AZ446"/>
    <mergeCell ref="AG446:AI446"/>
    <mergeCell ref="AW467:AZ467"/>
    <mergeCell ref="AW460:AZ460"/>
    <mergeCell ref="Y468:AA468"/>
    <mergeCell ref="AM467:AO467"/>
    <mergeCell ref="AP467:AR467"/>
    <mergeCell ref="AW475:AZ475"/>
    <mergeCell ref="AP472:AR472"/>
    <mergeCell ref="AS469:AV469"/>
    <mergeCell ref="AW469:AZ469"/>
    <mergeCell ref="AG477:AI477"/>
    <mergeCell ref="AW472:AZ472"/>
    <mergeCell ref="AC474:AE474"/>
    <mergeCell ref="AG474:AI474"/>
    <mergeCell ref="Y475:AA475"/>
    <mergeCell ref="AW471:AZ471"/>
    <mergeCell ref="AW473:AZ473"/>
    <mergeCell ref="Y433:AA433"/>
    <mergeCell ref="Q491:S491"/>
    <mergeCell ref="AG492:AI492"/>
    <mergeCell ref="AJ485:AL485"/>
    <mergeCell ref="AC484:AE484"/>
    <mergeCell ref="AJ424:AL424"/>
    <mergeCell ref="AM434:AO434"/>
    <mergeCell ref="AG437:AI437"/>
    <mergeCell ref="AJ439:AL439"/>
    <mergeCell ref="AM441:AO441"/>
    <mergeCell ref="AJ483:AL483"/>
    <mergeCell ref="U493:W493"/>
    <mergeCell ref="U487:W487"/>
    <mergeCell ref="AM438:AO438"/>
    <mergeCell ref="AS477:AV477"/>
    <mergeCell ref="AP457:AR457"/>
    <mergeCell ref="AM457:AO457"/>
    <mergeCell ref="AP477:AR477"/>
    <mergeCell ref="AP443:AR443"/>
    <mergeCell ref="AP441:AR441"/>
    <mergeCell ref="AM439:AO439"/>
    <mergeCell ref="AS467:AV467"/>
    <mergeCell ref="AM468:AO468"/>
    <mergeCell ref="AM472:AO472"/>
    <mergeCell ref="AP473:AR473"/>
    <mergeCell ref="AC466:AE466"/>
    <mergeCell ref="U424:W424"/>
    <mergeCell ref="Y439:AA439"/>
    <mergeCell ref="AJ474:AL474"/>
    <mergeCell ref="U468:W468"/>
    <mergeCell ref="AC482:AE482"/>
    <mergeCell ref="AS460:AV460"/>
    <mergeCell ref="AS426:AV426"/>
    <mergeCell ref="AC478:AE478"/>
    <mergeCell ref="AC459:AE459"/>
    <mergeCell ref="AJ433:AL433"/>
    <mergeCell ref="AC443:AE443"/>
    <mergeCell ref="AC442:AE442"/>
    <mergeCell ref="Y470:AA470"/>
    <mergeCell ref="F427:P427"/>
    <mergeCell ref="AJ446:AL446"/>
    <mergeCell ref="Y437:AA437"/>
    <mergeCell ref="U435:W435"/>
    <mergeCell ref="F472:P472"/>
    <mergeCell ref="H451:P451"/>
    <mergeCell ref="U467:W467"/>
    <mergeCell ref="U478:W478"/>
    <mergeCell ref="U459:W459"/>
    <mergeCell ref="H459:P459"/>
    <mergeCell ref="AC438:AE438"/>
    <mergeCell ref="Q428:S428"/>
    <mergeCell ref="U447:W447"/>
    <mergeCell ref="AJ452:AL452"/>
    <mergeCell ref="Y477:AA477"/>
    <mergeCell ref="AJ477:AL477"/>
    <mergeCell ref="Y452:AA452"/>
    <mergeCell ref="AJ449:AL449"/>
    <mergeCell ref="AJ473:AL473"/>
    <mergeCell ref="AC469:AE469"/>
    <mergeCell ref="AG467:AI467"/>
    <mergeCell ref="F476:P476"/>
    <mergeCell ref="U432:W432"/>
    <mergeCell ref="Q432:S432"/>
    <mergeCell ref="F444:P444"/>
    <mergeCell ref="F428:P428"/>
    <mergeCell ref="F479:P479"/>
    <mergeCell ref="Q454:S454"/>
    <mergeCell ref="U454:W454"/>
    <mergeCell ref="F497:P497"/>
    <mergeCell ref="Y493:AA493"/>
    <mergeCell ref="Q424:S424"/>
    <mergeCell ref="F437:P437"/>
    <mergeCell ref="F496:P496"/>
    <mergeCell ref="Y495:AA495"/>
    <mergeCell ref="F495:P495"/>
    <mergeCell ref="Q494:S494"/>
    <mergeCell ref="U472:W472"/>
    <mergeCell ref="Q485:S485"/>
    <mergeCell ref="F489:P489"/>
    <mergeCell ref="U475:W475"/>
    <mergeCell ref="U482:W482"/>
    <mergeCell ref="F482:P482"/>
    <mergeCell ref="U492:W492"/>
    <mergeCell ref="U490:W490"/>
    <mergeCell ref="Q484:S484"/>
    <mergeCell ref="H452:P452"/>
    <mergeCell ref="F483:P483"/>
    <mergeCell ref="F494:P494"/>
    <mergeCell ref="F493:P493"/>
    <mergeCell ref="Q493:S493"/>
    <mergeCell ref="F491:P491"/>
    <mergeCell ref="Q486:S486"/>
    <mergeCell ref="F492:P492"/>
    <mergeCell ref="F475:P475"/>
    <mergeCell ref="F468:P468"/>
    <mergeCell ref="F466:P466"/>
    <mergeCell ref="F490:P490"/>
    <mergeCell ref="F486:P486"/>
    <mergeCell ref="Q481:S481"/>
    <mergeCell ref="U469:W469"/>
    <mergeCell ref="U486:W486"/>
    <mergeCell ref="Q478:S478"/>
    <mergeCell ref="F487:P487"/>
    <mergeCell ref="Q487:S487"/>
    <mergeCell ref="H455:P455"/>
    <mergeCell ref="Q450:S450"/>
    <mergeCell ref="F470:P470"/>
    <mergeCell ref="H457:P457"/>
    <mergeCell ref="U442:W442"/>
    <mergeCell ref="U438:W438"/>
    <mergeCell ref="U449:W449"/>
    <mergeCell ref="Q468:S468"/>
    <mergeCell ref="Y459:AA459"/>
    <mergeCell ref="H458:P458"/>
    <mergeCell ref="Q458:S458"/>
    <mergeCell ref="Q467:S467"/>
    <mergeCell ref="F449:P449"/>
    <mergeCell ref="H454:P454"/>
    <mergeCell ref="U444:W444"/>
    <mergeCell ref="Q442:S442"/>
    <mergeCell ref="F445:P445"/>
    <mergeCell ref="F446:P446"/>
    <mergeCell ref="F447:P447"/>
    <mergeCell ref="Y442:AA442"/>
    <mergeCell ref="Q443:S443"/>
    <mergeCell ref="Q453:S453"/>
    <mergeCell ref="Y480:AA480"/>
    <mergeCell ref="Y487:AA487"/>
    <mergeCell ref="U457:W457"/>
    <mergeCell ref="Q490:S490"/>
    <mergeCell ref="F481:P481"/>
    <mergeCell ref="F480:P480"/>
    <mergeCell ref="U484:W484"/>
    <mergeCell ref="Y484:AA484"/>
    <mergeCell ref="F478:P478"/>
    <mergeCell ref="F469:P469"/>
    <mergeCell ref="Q469:S469"/>
    <mergeCell ref="F473:P473"/>
    <mergeCell ref="F474:P474"/>
    <mergeCell ref="F477:P477"/>
    <mergeCell ref="Q482:S482"/>
    <mergeCell ref="Q445:S445"/>
    <mergeCell ref="F484:P484"/>
    <mergeCell ref="Q425:S425"/>
    <mergeCell ref="U436:W436"/>
    <mergeCell ref="F415:P415"/>
    <mergeCell ref="U422:W422"/>
    <mergeCell ref="U455:W455"/>
    <mergeCell ref="F430:P430"/>
    <mergeCell ref="F438:P438"/>
    <mergeCell ref="Y424:AA424"/>
    <mergeCell ref="F439:P439"/>
    <mergeCell ref="F448:P448"/>
    <mergeCell ref="F432:P432"/>
    <mergeCell ref="F434:P434"/>
    <mergeCell ref="Q429:S429"/>
    <mergeCell ref="F440:P440"/>
    <mergeCell ref="F441:P441"/>
    <mergeCell ref="F429:P429"/>
    <mergeCell ref="Y436:AA436"/>
    <mergeCell ref="Y443:AA443"/>
    <mergeCell ref="H453:P453"/>
    <mergeCell ref="F424:P424"/>
    <mergeCell ref="Q437:S437"/>
    <mergeCell ref="Q440:S440"/>
    <mergeCell ref="F417:P417"/>
    <mergeCell ref="Q452:S452"/>
    <mergeCell ref="Q420:S420"/>
    <mergeCell ref="F433:P433"/>
    <mergeCell ref="F419:P419"/>
    <mergeCell ref="U420:W420"/>
    <mergeCell ref="U439:W439"/>
    <mergeCell ref="F436:P436"/>
    <mergeCell ref="Q434:S434"/>
    <mergeCell ref="F425:P425"/>
    <mergeCell ref="U429:W429"/>
    <mergeCell ref="F442:P442"/>
    <mergeCell ref="Q418:S418"/>
    <mergeCell ref="Q421:S421"/>
    <mergeCell ref="U441:W441"/>
    <mergeCell ref="Q426:S426"/>
    <mergeCell ref="U426:W426"/>
    <mergeCell ref="U433:W433"/>
    <mergeCell ref="Q444:S444"/>
    <mergeCell ref="Q441:S441"/>
    <mergeCell ref="U440:W440"/>
    <mergeCell ref="Q433:S433"/>
    <mergeCell ref="F426:P426"/>
    <mergeCell ref="F420:P420"/>
    <mergeCell ref="Q427:S427"/>
    <mergeCell ref="Q436:S436"/>
    <mergeCell ref="Q439:S439"/>
    <mergeCell ref="F418:P418"/>
    <mergeCell ref="Q402:S402"/>
    <mergeCell ref="F405:P405"/>
    <mergeCell ref="Q414:S414"/>
    <mergeCell ref="F404:P404"/>
    <mergeCell ref="Q411:S411"/>
    <mergeCell ref="F384:P384"/>
    <mergeCell ref="F399:P399"/>
    <mergeCell ref="Q382:S382"/>
    <mergeCell ref="F408:P408"/>
    <mergeCell ref="Y383:AA383"/>
    <mergeCell ref="AC413:AE413"/>
    <mergeCell ref="F388:P388"/>
    <mergeCell ref="F403:P403"/>
    <mergeCell ref="Q403:S403"/>
    <mergeCell ref="Q397:S397"/>
    <mergeCell ref="H450:P450"/>
    <mergeCell ref="Y414:AA414"/>
    <mergeCell ref="F406:P406"/>
    <mergeCell ref="Y416:AA416"/>
    <mergeCell ref="U412:W412"/>
    <mergeCell ref="U411:W411"/>
    <mergeCell ref="Q410:S410"/>
    <mergeCell ref="Q386:S386"/>
    <mergeCell ref="F414:P414"/>
    <mergeCell ref="F416:P416"/>
    <mergeCell ref="Y387:AA387"/>
    <mergeCell ref="Q389:S389"/>
    <mergeCell ref="Q399:S399"/>
    <mergeCell ref="Y399:AA399"/>
    <mergeCell ref="Q400:S400"/>
    <mergeCell ref="U382:W382"/>
    <mergeCell ref="Q392:S392"/>
    <mergeCell ref="Q383:S383"/>
    <mergeCell ref="Q412:S412"/>
    <mergeCell ref="U413:W413"/>
    <mergeCell ref="U399:W399"/>
    <mergeCell ref="AC384:AE384"/>
    <mergeCell ref="Q401:S401"/>
    <mergeCell ref="U416:W416"/>
    <mergeCell ref="AJ410:AL410"/>
    <mergeCell ref="AJ409:AL409"/>
    <mergeCell ref="AJ389:AL389"/>
    <mergeCell ref="AC387:AE387"/>
    <mergeCell ref="AJ402:AL402"/>
    <mergeCell ref="Y385:AA385"/>
    <mergeCell ref="AJ376:AL376"/>
    <mergeCell ref="AC367:AE367"/>
    <mergeCell ref="AJ370:AR370"/>
    <mergeCell ref="Y389:AA389"/>
    <mergeCell ref="AJ412:AL412"/>
    <mergeCell ref="AG365:AI365"/>
    <mergeCell ref="F382:P382"/>
    <mergeCell ref="F379:P379"/>
    <mergeCell ref="Q385:S385"/>
    <mergeCell ref="U384:W384"/>
    <mergeCell ref="AC395:AE395"/>
    <mergeCell ref="AC405:AE405"/>
    <mergeCell ref="U392:W392"/>
    <mergeCell ref="U394:W394"/>
    <mergeCell ref="U405:W405"/>
    <mergeCell ref="Q396:S396"/>
    <mergeCell ref="Q398:S398"/>
    <mergeCell ref="F389:P389"/>
    <mergeCell ref="F390:P390"/>
    <mergeCell ref="Q387:S387"/>
    <mergeCell ref="AC404:AE404"/>
    <mergeCell ref="F381:P381"/>
    <mergeCell ref="Y379:AA379"/>
    <mergeCell ref="AC383:AE383"/>
    <mergeCell ref="Q405:S405"/>
    <mergeCell ref="F387:P387"/>
    <mergeCell ref="AJ440:AL440"/>
    <mergeCell ref="AG436:AI436"/>
    <mergeCell ref="AC468:AE468"/>
    <mergeCell ref="AJ467:AL467"/>
    <mergeCell ref="AJ435:AL435"/>
    <mergeCell ref="AC458:AE458"/>
    <mergeCell ref="AG448:AI448"/>
    <mergeCell ref="Q422:S422"/>
    <mergeCell ref="F443:P443"/>
    <mergeCell ref="AJ457:AL457"/>
    <mergeCell ref="AC449:AE449"/>
    <mergeCell ref="Q449:S449"/>
    <mergeCell ref="AJ403:AL403"/>
    <mergeCell ref="AC414:AE414"/>
    <mergeCell ref="AG400:AI400"/>
    <mergeCell ref="AG402:AI402"/>
    <mergeCell ref="H362:P362"/>
    <mergeCell ref="AC368:AE368"/>
    <mergeCell ref="F393:P393"/>
    <mergeCell ref="F411:P411"/>
    <mergeCell ref="F412:P412"/>
    <mergeCell ref="AC394:AE394"/>
    <mergeCell ref="Y396:AA396"/>
    <mergeCell ref="AC391:AE391"/>
    <mergeCell ref="Y362:AA362"/>
    <mergeCell ref="H363:P363"/>
    <mergeCell ref="Q363:S363"/>
    <mergeCell ref="F391:P391"/>
    <mergeCell ref="AC407:AE407"/>
    <mergeCell ref="AC378:AE378"/>
    <mergeCell ref="Q369:S369"/>
    <mergeCell ref="AJ414:AL414"/>
    <mergeCell ref="Q406:S406"/>
    <mergeCell ref="AG407:AI407"/>
    <mergeCell ref="F422:P422"/>
    <mergeCell ref="Q416:S416"/>
    <mergeCell ref="AG405:AI405"/>
    <mergeCell ref="AC410:AE410"/>
    <mergeCell ref="AC411:AE411"/>
    <mergeCell ref="F413:P413"/>
    <mergeCell ref="F421:P421"/>
    <mergeCell ref="E450:F459"/>
    <mergeCell ref="Q438:S438"/>
    <mergeCell ref="F410:P410"/>
    <mergeCell ref="Y388:AA388"/>
    <mergeCell ref="AC399:AE399"/>
    <mergeCell ref="U397:W397"/>
    <mergeCell ref="Y410:AA410"/>
    <mergeCell ref="Y411:AA411"/>
    <mergeCell ref="Y398:AA398"/>
    <mergeCell ref="AC397:AE397"/>
    <mergeCell ref="Q391:S391"/>
    <mergeCell ref="F394:P394"/>
    <mergeCell ref="Q394:S394"/>
    <mergeCell ref="F398:P398"/>
    <mergeCell ref="U450:W450"/>
    <mergeCell ref="U451:W451"/>
    <mergeCell ref="AG450:AI450"/>
    <mergeCell ref="F409:P409"/>
    <mergeCell ref="Y435:AA435"/>
    <mergeCell ref="U437:W437"/>
    <mergeCell ref="U434:W434"/>
    <mergeCell ref="AC436:AE436"/>
    <mergeCell ref="AG441:AI441"/>
    <mergeCell ref="AW618:AZ618"/>
    <mergeCell ref="AW588:AZ588"/>
    <mergeCell ref="AW617:AZ617"/>
    <mergeCell ref="AS574:AV574"/>
    <mergeCell ref="AW612:AZ612"/>
    <mergeCell ref="AW609:AZ609"/>
    <mergeCell ref="AS608:AV608"/>
    <mergeCell ref="AS594:AV594"/>
    <mergeCell ref="AS565:AV565"/>
    <mergeCell ref="AS569:AV569"/>
    <mergeCell ref="AS576:AV576"/>
    <mergeCell ref="AS607:AV607"/>
    <mergeCell ref="AS615:AV615"/>
    <mergeCell ref="AP579:AR579"/>
    <mergeCell ref="AP615:AR615"/>
    <mergeCell ref="AS611:AV611"/>
    <mergeCell ref="AW568:AZ568"/>
    <mergeCell ref="AW611:AZ611"/>
    <mergeCell ref="AS606:AV606"/>
    <mergeCell ref="AW608:AZ608"/>
    <mergeCell ref="AW614:AZ614"/>
    <mergeCell ref="AP591:AR591"/>
    <mergeCell ref="AS591:AV591"/>
    <mergeCell ref="AW591:AZ591"/>
    <mergeCell ref="AS589:AV589"/>
    <mergeCell ref="AW593:AZ593"/>
    <mergeCell ref="AS610:AV610"/>
    <mergeCell ref="AW584:AZ584"/>
    <mergeCell ref="AW597:AZ597"/>
    <mergeCell ref="AS595:AV595"/>
    <mergeCell ref="AW595:AZ595"/>
    <mergeCell ref="AW596:AZ596"/>
    <mergeCell ref="F498:P498"/>
    <mergeCell ref="AW570:AZ570"/>
    <mergeCell ref="AS572:AV572"/>
    <mergeCell ref="AP594:AR594"/>
    <mergeCell ref="AS596:AV596"/>
    <mergeCell ref="AS588:AV588"/>
    <mergeCell ref="AW581:AZ581"/>
    <mergeCell ref="AW607:AZ607"/>
    <mergeCell ref="AW573:AZ573"/>
    <mergeCell ref="AW575:AZ575"/>
    <mergeCell ref="AS571:AV571"/>
    <mergeCell ref="AP569:AR569"/>
    <mergeCell ref="AP568:AR568"/>
    <mergeCell ref="AS568:AV568"/>
    <mergeCell ref="AW565:AZ565"/>
    <mergeCell ref="AS579:AV579"/>
    <mergeCell ref="AW567:AZ567"/>
    <mergeCell ref="AS573:AV573"/>
    <mergeCell ref="AS592:AV592"/>
    <mergeCell ref="AS587:AV587"/>
    <mergeCell ref="AW605:AZ605"/>
    <mergeCell ref="AW574:AZ574"/>
    <mergeCell ref="AP586:AR586"/>
    <mergeCell ref="AP578:AR578"/>
    <mergeCell ref="AP603:AR603"/>
    <mergeCell ref="AW556:AZ556"/>
    <mergeCell ref="AS560:AV560"/>
    <mergeCell ref="AW560:AZ560"/>
    <mergeCell ref="AW564:AZ564"/>
    <mergeCell ref="AW561:AZ561"/>
    <mergeCell ref="AS561:AV561"/>
    <mergeCell ref="AS577:AV577"/>
    <mergeCell ref="AP495:AR495"/>
    <mergeCell ref="AS578:AV578"/>
    <mergeCell ref="AM533:AO533"/>
    <mergeCell ref="AP533:AR533"/>
    <mergeCell ref="AP512:AR512"/>
    <mergeCell ref="AP546:AR546"/>
    <mergeCell ref="AM505:AO505"/>
    <mergeCell ref="AM566:AO566"/>
    <mergeCell ref="AW511:AZ511"/>
    <mergeCell ref="AW508:AZ508"/>
    <mergeCell ref="AW515:AZ515"/>
    <mergeCell ref="AW504:AZ504"/>
    <mergeCell ref="AW495:AZ495"/>
    <mergeCell ref="AW517:AZ517"/>
    <mergeCell ref="AW535:AZ535"/>
    <mergeCell ref="AW532:AZ532"/>
    <mergeCell ref="AS547:AV547"/>
    <mergeCell ref="AM554:AO554"/>
    <mergeCell ref="AM548:AO548"/>
    <mergeCell ref="AM567:AO567"/>
    <mergeCell ref="AW578:AZ578"/>
    <mergeCell ref="AP573:AR573"/>
    <mergeCell ref="AM534:AO534"/>
    <mergeCell ref="AP576:AR576"/>
    <mergeCell ref="AP570:AR570"/>
    <mergeCell ref="AM568:AO568"/>
    <mergeCell ref="AP572:AR572"/>
    <mergeCell ref="AP566:AR566"/>
    <mergeCell ref="AW509:AZ509"/>
    <mergeCell ref="AW512:AZ512"/>
    <mergeCell ref="AP500:AR500"/>
    <mergeCell ref="AS500:AV500"/>
    <mergeCell ref="AM485:AO485"/>
    <mergeCell ref="AP613:AR613"/>
    <mergeCell ref="AP608:AR608"/>
    <mergeCell ref="AW603:AZ603"/>
    <mergeCell ref="AW586:AZ586"/>
    <mergeCell ref="AS581:AV581"/>
    <mergeCell ref="AW585:AZ585"/>
    <mergeCell ref="AS585:AV585"/>
    <mergeCell ref="AS593:AV593"/>
    <mergeCell ref="AW582:AZ582"/>
    <mergeCell ref="AW589:AZ589"/>
    <mergeCell ref="AW604:AZ604"/>
    <mergeCell ref="AS604:AV604"/>
    <mergeCell ref="AP492:AR492"/>
    <mergeCell ref="AW580:AZ580"/>
    <mergeCell ref="AW571:AZ571"/>
    <mergeCell ref="AW577:AZ577"/>
    <mergeCell ref="AW576:AZ576"/>
    <mergeCell ref="AW572:AZ572"/>
    <mergeCell ref="AS575:AV575"/>
    <mergeCell ref="AM550:AO550"/>
    <mergeCell ref="AM557:AO557"/>
    <mergeCell ref="AM561:AO561"/>
    <mergeCell ref="AP611:AR611"/>
    <mergeCell ref="AP612:AR612"/>
    <mergeCell ref="AP595:AR595"/>
    <mergeCell ref="AS582:AV582"/>
    <mergeCell ref="AP581:AR581"/>
    <mergeCell ref="AW592:AZ592"/>
    <mergeCell ref="AW579:AZ579"/>
    <mergeCell ref="AS590:AV590"/>
    <mergeCell ref="AW583:AZ583"/>
    <mergeCell ref="AW610:AZ610"/>
    <mergeCell ref="AP606:AR606"/>
    <mergeCell ref="AS586:AV586"/>
    <mergeCell ref="AS580:AV580"/>
    <mergeCell ref="AS584:AV584"/>
    <mergeCell ref="AJ597:AR597"/>
    <mergeCell ref="AM595:AO595"/>
    <mergeCell ref="AP589:AR589"/>
    <mergeCell ref="AJ594:AL594"/>
    <mergeCell ref="AW606:AZ606"/>
    <mergeCell ref="AW602:AZ602"/>
    <mergeCell ref="AW590:AZ590"/>
    <mergeCell ref="AJ612:AL612"/>
    <mergeCell ref="AP592:AR592"/>
    <mergeCell ref="AP590:AR590"/>
    <mergeCell ref="AP585:AR585"/>
    <mergeCell ref="AM608:AO608"/>
    <mergeCell ref="AP588:AR588"/>
    <mergeCell ref="AP583:AR583"/>
    <mergeCell ref="AJ587:AL587"/>
    <mergeCell ref="AM607:AO607"/>
    <mergeCell ref="AM592:AO592"/>
    <mergeCell ref="AJ596:AL596"/>
    <mergeCell ref="AM594:AO594"/>
    <mergeCell ref="AW613:AZ613"/>
    <mergeCell ref="AS597:AV597"/>
    <mergeCell ref="AG478:AI478"/>
    <mergeCell ref="AM483:AO483"/>
    <mergeCell ref="AG479:AI479"/>
    <mergeCell ref="U485:W485"/>
    <mergeCell ref="Y413:AA413"/>
    <mergeCell ref="AM477:AO477"/>
    <mergeCell ref="AM478:AO478"/>
    <mergeCell ref="U415:W415"/>
    <mergeCell ref="AG473:AI473"/>
    <mergeCell ref="AM482:AO482"/>
    <mergeCell ref="AG485:AI485"/>
    <mergeCell ref="AM484:AO484"/>
    <mergeCell ref="AJ482:AL482"/>
    <mergeCell ref="AG480:AI480"/>
    <mergeCell ref="AM423:AO423"/>
    <mergeCell ref="U445:W445"/>
    <mergeCell ref="U481:W481"/>
    <mergeCell ref="AM459:AO459"/>
    <mergeCell ref="AM458:AO458"/>
    <mergeCell ref="AJ484:AL484"/>
    <mergeCell ref="AJ472:AL472"/>
    <mergeCell ref="AJ426:AL426"/>
    <mergeCell ref="U480:W480"/>
    <mergeCell ref="AC479:AE479"/>
    <mergeCell ref="Y482:AA482"/>
    <mergeCell ref="Y469:AA469"/>
    <mergeCell ref="AG458:AI458"/>
    <mergeCell ref="AJ422:AL422"/>
    <mergeCell ref="Y485:AA485"/>
    <mergeCell ref="AJ481:AL481"/>
    <mergeCell ref="AM360:AO360"/>
    <mergeCell ref="H365:P365"/>
    <mergeCell ref="AJ384:AL384"/>
    <mergeCell ref="AG385:AI385"/>
    <mergeCell ref="H360:P360"/>
    <mergeCell ref="AS435:AV435"/>
    <mergeCell ref="AM549:AO549"/>
    <mergeCell ref="AM443:AO443"/>
    <mergeCell ref="AP519:AR519"/>
    <mergeCell ref="AM469:AO469"/>
    <mergeCell ref="AP476:AR476"/>
    <mergeCell ref="AP486:AR486"/>
    <mergeCell ref="AP494:AR494"/>
    <mergeCell ref="AG527:AI527"/>
    <mergeCell ref="AP526:AR526"/>
    <mergeCell ref="AP528:AR528"/>
    <mergeCell ref="AG522:AI522"/>
    <mergeCell ref="AG518:AI518"/>
    <mergeCell ref="AJ517:AL517"/>
    <mergeCell ref="AS527:AV527"/>
    <mergeCell ref="AG361:AI361"/>
    <mergeCell ref="F485:P485"/>
    <mergeCell ref="AM407:AO407"/>
    <mergeCell ref="AJ411:AL411"/>
    <mergeCell ref="AG392:AI392"/>
    <mergeCell ref="AC408:AE408"/>
    <mergeCell ref="AS546:AV546"/>
    <mergeCell ref="AM511:AO511"/>
    <mergeCell ref="F423:P423"/>
    <mergeCell ref="AM448:AO448"/>
    <mergeCell ref="AG397:AI397"/>
    <mergeCell ref="F400:P400"/>
    <mergeCell ref="AS583:AV583"/>
    <mergeCell ref="AJ516:AL516"/>
    <mergeCell ref="AS543:AV543"/>
    <mergeCell ref="AS523:AV523"/>
    <mergeCell ref="AP543:AR543"/>
    <mergeCell ref="AS535:AV535"/>
    <mergeCell ref="AS557:AV557"/>
    <mergeCell ref="AS522:AV522"/>
    <mergeCell ref="AS551:AV551"/>
    <mergeCell ref="AM546:AO546"/>
    <mergeCell ref="AM545:AO545"/>
    <mergeCell ref="AS531:AV531"/>
    <mergeCell ref="AM576:AO576"/>
    <mergeCell ref="AP577:AR577"/>
    <mergeCell ref="AP587:AR587"/>
    <mergeCell ref="AP575:AR575"/>
    <mergeCell ref="AP531:AR531"/>
    <mergeCell ref="AM571:AO571"/>
    <mergeCell ref="AJ568:AL568"/>
    <mergeCell ref="AJ567:AL567"/>
    <mergeCell ref="AS534:AV534"/>
    <mergeCell ref="AP580:AR580"/>
    <mergeCell ref="AM586:AO586"/>
    <mergeCell ref="AM587:AO587"/>
    <mergeCell ref="AM575:AO575"/>
    <mergeCell ref="AJ570:AL570"/>
    <mergeCell ref="AM516:AO516"/>
    <mergeCell ref="AP516:AR516"/>
    <mergeCell ref="AS518:AV518"/>
    <mergeCell ref="AP547:AR547"/>
    <mergeCell ref="AS564:AV564"/>
    <mergeCell ref="AM536:AO536"/>
    <mergeCell ref="AJ575:AL575"/>
    <mergeCell ref="AJ364:AL364"/>
    <mergeCell ref="AG444:AI444"/>
    <mergeCell ref="AS379:AV379"/>
    <mergeCell ref="AP421:AR421"/>
    <mergeCell ref="AW516:AZ516"/>
    <mergeCell ref="AP518:AR518"/>
    <mergeCell ref="AP510:AR510"/>
    <mergeCell ref="AM507:AO507"/>
    <mergeCell ref="AM508:AO508"/>
    <mergeCell ref="AS503:AV503"/>
    <mergeCell ref="AS524:AV524"/>
    <mergeCell ref="AS526:AV526"/>
    <mergeCell ref="AP496:AR496"/>
    <mergeCell ref="AM489:AO489"/>
    <mergeCell ref="AP483:AR483"/>
    <mergeCell ref="AP508:AR508"/>
    <mergeCell ref="AM498:AO498"/>
    <mergeCell ref="AM479:AO479"/>
    <mergeCell ref="AP521:AR521"/>
    <mergeCell ref="AS487:AV487"/>
    <mergeCell ref="AM491:AO491"/>
    <mergeCell ref="AM514:AO514"/>
    <mergeCell ref="AP491:AR491"/>
    <mergeCell ref="AS492:AV492"/>
    <mergeCell ref="AM497:AO497"/>
    <mergeCell ref="AM494:AO494"/>
    <mergeCell ref="AM500:AO500"/>
    <mergeCell ref="AM481:AO481"/>
    <mergeCell ref="AM512:AO512"/>
    <mergeCell ref="AJ523:AL523"/>
    <mergeCell ref="AJ513:AL513"/>
    <mergeCell ref="AP479:AR479"/>
    <mergeCell ref="AP484:AR484"/>
    <mergeCell ref="AS511:AV511"/>
    <mergeCell ref="AS482:AV482"/>
    <mergeCell ref="AM428:AO428"/>
    <mergeCell ref="AM401:AO401"/>
    <mergeCell ref="AM412:AO412"/>
    <mergeCell ref="AP396:AR396"/>
    <mergeCell ref="AP390:AR390"/>
    <mergeCell ref="AM387:AO387"/>
    <mergeCell ref="AP395:AR395"/>
    <mergeCell ref="AS427:AV427"/>
    <mergeCell ref="AJ396:AL396"/>
    <mergeCell ref="AP412:AR412"/>
    <mergeCell ref="AM408:AO408"/>
    <mergeCell ref="AP409:AR409"/>
    <mergeCell ref="AP389:AR389"/>
    <mergeCell ref="AS483:AV483"/>
    <mergeCell ref="AM420:AO420"/>
    <mergeCell ref="AS403:AV403"/>
    <mergeCell ref="AS412:AV412"/>
    <mergeCell ref="AP413:AR413"/>
    <mergeCell ref="AS400:AV400"/>
    <mergeCell ref="AP401:AR401"/>
    <mergeCell ref="AS414:AV414"/>
    <mergeCell ref="AP414:AR414"/>
    <mergeCell ref="AS401:AV401"/>
    <mergeCell ref="AP415:AR415"/>
    <mergeCell ref="AP489:AR489"/>
    <mergeCell ref="AP488:AR488"/>
    <mergeCell ref="AS419:AV419"/>
    <mergeCell ref="AJ395:AL395"/>
    <mergeCell ref="AP382:AR382"/>
    <mergeCell ref="AP388:AR388"/>
    <mergeCell ref="AM421:AO421"/>
    <mergeCell ref="AM502:AO502"/>
    <mergeCell ref="AP471:AR471"/>
    <mergeCell ref="AP447:AR447"/>
    <mergeCell ref="AJ459:AL459"/>
    <mergeCell ref="AS480:AV480"/>
    <mergeCell ref="AS479:AV479"/>
    <mergeCell ref="AS510:AV510"/>
    <mergeCell ref="AJ498:AL498"/>
    <mergeCell ref="AM493:AO493"/>
    <mergeCell ref="AJ427:AL427"/>
    <mergeCell ref="AM405:AO405"/>
    <mergeCell ref="AJ497:AL497"/>
    <mergeCell ref="AS448:AV448"/>
    <mergeCell ref="AM416:AO416"/>
    <mergeCell ref="AP416:AR416"/>
    <mergeCell ref="AP385:AR385"/>
    <mergeCell ref="AJ420:AL420"/>
    <mergeCell ref="AJ450:AL450"/>
    <mergeCell ref="AP459:AR459"/>
    <mergeCell ref="AJ458:AL458"/>
    <mergeCell ref="AP433:AR433"/>
    <mergeCell ref="AM510:AO510"/>
    <mergeCell ref="AS449:AV449"/>
    <mergeCell ref="AP446:AR446"/>
    <mergeCell ref="AJ445:AL445"/>
    <mergeCell ref="AS451:AV451"/>
    <mergeCell ref="AJ453:AL453"/>
    <mergeCell ref="AS446:AV446"/>
    <mergeCell ref="AS470:AV470"/>
    <mergeCell ref="AS326:AV326"/>
    <mergeCell ref="AM317:AO317"/>
    <mergeCell ref="F8:Q8"/>
    <mergeCell ref="R8:U8"/>
    <mergeCell ref="V8:Z8"/>
    <mergeCell ref="AA8:AC8"/>
    <mergeCell ref="P160:S166"/>
    <mergeCell ref="F197:P197"/>
    <mergeCell ref="AG226:AI226"/>
    <mergeCell ref="Q322:S322"/>
    <mergeCell ref="AC325:AE325"/>
    <mergeCell ref="Q318:S318"/>
    <mergeCell ref="Q295:S295"/>
    <mergeCell ref="Y320:AA320"/>
    <mergeCell ref="Q317:S317"/>
    <mergeCell ref="AG324:AI324"/>
    <mergeCell ref="AG322:AI322"/>
    <mergeCell ref="AP322:AR322"/>
    <mergeCell ref="AJ324:AL324"/>
    <mergeCell ref="U318:W318"/>
    <mergeCell ref="P137:S137"/>
    <mergeCell ref="AR40:AU40"/>
    <mergeCell ref="AG203:AI203"/>
    <mergeCell ref="AJ222:AL222"/>
    <mergeCell ref="AM222:AO222"/>
    <mergeCell ref="AJ224:AL224"/>
    <mergeCell ref="AJ221:AL221"/>
    <mergeCell ref="AC299:AE299"/>
    <mergeCell ref="AC301:AE301"/>
    <mergeCell ref="AN46:AQ46"/>
    <mergeCell ref="AR46:AU46"/>
    <mergeCell ref="AU7:AW8"/>
    <mergeCell ref="AG319:AI319"/>
    <mergeCell ref="U229:W229"/>
    <mergeCell ref="Y229:AA229"/>
    <mergeCell ref="AG367:AI367"/>
    <mergeCell ref="AJ367:AL367"/>
    <mergeCell ref="AG300:AI300"/>
    <mergeCell ref="AJ300:AL300"/>
    <mergeCell ref="AR3:AT3"/>
    <mergeCell ref="AP332:AR332"/>
    <mergeCell ref="AP330:AR330"/>
    <mergeCell ref="AP7:AP8"/>
    <mergeCell ref="AM7:AO8"/>
    <mergeCell ref="AV145:AZ146"/>
    <mergeCell ref="AQ7:AS8"/>
    <mergeCell ref="AT7:AT8"/>
    <mergeCell ref="AJ20:AM20"/>
    <mergeCell ref="AJ24:AM24"/>
    <mergeCell ref="AM321:AO321"/>
    <mergeCell ref="AO3:AQ3"/>
    <mergeCell ref="AL3:AN3"/>
    <mergeCell ref="AD7:AJ7"/>
    <mergeCell ref="AX3:AZ3"/>
    <mergeCell ref="AU3:AW3"/>
    <mergeCell ref="AW326:AZ326"/>
    <mergeCell ref="AW329:AZ329"/>
    <mergeCell ref="AW330:AZ330"/>
    <mergeCell ref="AJ316:AL316"/>
    <mergeCell ref="AG316:AI316"/>
    <mergeCell ref="AG318:AI318"/>
    <mergeCell ref="AN40:AQ40"/>
    <mergeCell ref="AS232:AV232"/>
    <mergeCell ref="AJ328:AL328"/>
    <mergeCell ref="F212:P212"/>
    <mergeCell ref="Q193:S193"/>
    <mergeCell ref="AJ294:AL294"/>
    <mergeCell ref="AJ298:AL298"/>
    <mergeCell ref="AC295:AE295"/>
    <mergeCell ref="F253:P253"/>
    <mergeCell ref="Y250:AA250"/>
    <mergeCell ref="F243:P243"/>
    <mergeCell ref="U286:W286"/>
    <mergeCell ref="Q293:S293"/>
    <mergeCell ref="Q287:S287"/>
    <mergeCell ref="F269:P269"/>
    <mergeCell ref="AJ299:AL299"/>
    <mergeCell ref="AG291:AI291"/>
    <mergeCell ref="AG292:AI292"/>
    <mergeCell ref="AG289:AI289"/>
    <mergeCell ref="AC257:AE257"/>
    <mergeCell ref="AG295:AI295"/>
    <mergeCell ref="AC289:AE289"/>
    <mergeCell ref="U287:W287"/>
    <mergeCell ref="AJ293:AL293"/>
    <mergeCell ref="AC293:AE293"/>
    <mergeCell ref="AG293:AI293"/>
    <mergeCell ref="AJ292:AL292"/>
    <mergeCell ref="AG285:AI285"/>
    <mergeCell ref="Q267:S267"/>
    <mergeCell ref="Y269:AA269"/>
    <mergeCell ref="Y271:AA271"/>
    <mergeCell ref="U267:W267"/>
    <mergeCell ref="F289:P289"/>
    <mergeCell ref="U285:W285"/>
    <mergeCell ref="U290:W290"/>
    <mergeCell ref="AX7:AZ8"/>
    <mergeCell ref="AS229:AV229"/>
    <mergeCell ref="AB140:AC140"/>
    <mergeCell ref="AW229:AZ229"/>
    <mergeCell ref="K134:M134"/>
    <mergeCell ref="F321:P321"/>
    <mergeCell ref="U321:W321"/>
    <mergeCell ref="AN25:AO29"/>
    <mergeCell ref="AP25:AQ29"/>
    <mergeCell ref="AR25:AU29"/>
    <mergeCell ref="F312:P312"/>
    <mergeCell ref="F313:P313"/>
    <mergeCell ref="F310:P310"/>
    <mergeCell ref="F145:K146"/>
    <mergeCell ref="F202:P202"/>
    <mergeCell ref="F316:P316"/>
    <mergeCell ref="AW310:AZ310"/>
    <mergeCell ref="AG294:AI294"/>
    <mergeCell ref="AM299:AO299"/>
    <mergeCell ref="AG297:AI297"/>
    <mergeCell ref="AW304:AZ304"/>
    <mergeCell ref="Q228:S228"/>
    <mergeCell ref="AJ205:AL205"/>
    <mergeCell ref="U313:W313"/>
    <mergeCell ref="Q319:S319"/>
    <mergeCell ref="AC197:AE197"/>
    <mergeCell ref="AJ207:AL207"/>
    <mergeCell ref="AM207:AO207"/>
    <mergeCell ref="U319:W319"/>
    <mergeCell ref="V164:X164"/>
    <mergeCell ref="Y203:AA203"/>
    <mergeCell ref="AC203:AE203"/>
    <mergeCell ref="Q310:S310"/>
    <mergeCell ref="Q300:S300"/>
    <mergeCell ref="U300:W300"/>
    <mergeCell ref="AJ211:AL211"/>
    <mergeCell ref="Q313:S313"/>
    <mergeCell ref="Q301:S301"/>
    <mergeCell ref="Q302:S302"/>
    <mergeCell ref="Q298:S298"/>
    <mergeCell ref="Q311:S311"/>
    <mergeCell ref="Q316:S316"/>
    <mergeCell ref="AG310:AI310"/>
    <mergeCell ref="AW309:AZ309"/>
    <mergeCell ref="AM300:AO300"/>
    <mergeCell ref="AP300:AR300"/>
    <mergeCell ref="Q226:S226"/>
    <mergeCell ref="AG311:AI311"/>
    <mergeCell ref="AJ314:AL314"/>
    <mergeCell ref="Y316:AA316"/>
    <mergeCell ref="AM316:AO316"/>
    <mergeCell ref="AW221:AZ221"/>
    <mergeCell ref="AP214:AR214"/>
    <mergeCell ref="AJ310:AL310"/>
    <mergeCell ref="AP314:AR314"/>
    <mergeCell ref="AP315:AR315"/>
    <mergeCell ref="AM315:AO315"/>
    <mergeCell ref="AJ312:AL312"/>
    <mergeCell ref="AJ313:AL313"/>
    <mergeCell ref="Y299:AA299"/>
    <mergeCell ref="AK174:AN174"/>
    <mergeCell ref="AS214:AV214"/>
    <mergeCell ref="AS215:AV215"/>
    <mergeCell ref="Q312:S312"/>
    <mergeCell ref="U312:W312"/>
    <mergeCell ref="Y195:AA195"/>
    <mergeCell ref="P172:S174"/>
    <mergeCell ref="AJ235:AL235"/>
    <mergeCell ref="AW301:AZ301"/>
    <mergeCell ref="AW303:AZ303"/>
    <mergeCell ref="AW302:AZ302"/>
    <mergeCell ref="AS302:AV302"/>
    <mergeCell ref="AG299:AI299"/>
    <mergeCell ref="AW299:AZ299"/>
    <mergeCell ref="AW297:AZ297"/>
    <mergeCell ref="AS294:AV294"/>
    <mergeCell ref="AS304:AV304"/>
    <mergeCell ref="AP310:AR310"/>
    <mergeCell ref="AP297:AR297"/>
    <mergeCell ref="AP294:AR294"/>
    <mergeCell ref="AS310:AV310"/>
    <mergeCell ref="AW197:AZ197"/>
    <mergeCell ref="AW294:AZ294"/>
    <mergeCell ref="AW296:AZ296"/>
    <mergeCell ref="AW300:AZ300"/>
    <mergeCell ref="AW295:AZ295"/>
    <mergeCell ref="AW298:AZ298"/>
    <mergeCell ref="Q229:S229"/>
    <mergeCell ref="Q192:S192"/>
    <mergeCell ref="Y201:AA201"/>
    <mergeCell ref="Y310:AA310"/>
    <mergeCell ref="AM311:AO311"/>
    <mergeCell ref="AC333:AE333"/>
    <mergeCell ref="AC328:AE328"/>
    <mergeCell ref="U330:W330"/>
    <mergeCell ref="Y313:AA313"/>
    <mergeCell ref="Q296:S296"/>
    <mergeCell ref="AC292:AE292"/>
    <mergeCell ref="F238:P238"/>
    <mergeCell ref="F260:P260"/>
    <mergeCell ref="AC291:AE291"/>
    <mergeCell ref="F335:P335"/>
    <mergeCell ref="Q321:S321"/>
    <mergeCell ref="F329:P329"/>
    <mergeCell ref="Y321:AA321"/>
    <mergeCell ref="Q315:S315"/>
    <mergeCell ref="Q303:S303"/>
    <mergeCell ref="AJ145:AM146"/>
    <mergeCell ref="AN145:AQ146"/>
    <mergeCell ref="AM196:AO196"/>
    <mergeCell ref="Q209:S209"/>
    <mergeCell ref="Q202:S202"/>
    <mergeCell ref="Q204:S204"/>
    <mergeCell ref="Y318:AA318"/>
    <mergeCell ref="AC319:AE319"/>
    <mergeCell ref="AC312:AE312"/>
    <mergeCell ref="AC315:AE315"/>
    <mergeCell ref="AC311:AE311"/>
    <mergeCell ref="AP295:AR295"/>
    <mergeCell ref="AG296:AI296"/>
    <mergeCell ref="AP303:AR303"/>
    <mergeCell ref="AP302:AR302"/>
    <mergeCell ref="AJ304:AR304"/>
    <mergeCell ref="AM310:AO310"/>
    <mergeCell ref="AC318:AE318"/>
    <mergeCell ref="Y314:AA314"/>
    <mergeCell ref="AC321:AE321"/>
    <mergeCell ref="AC322:AE322"/>
    <mergeCell ref="AC326:AE326"/>
    <mergeCell ref="AC327:AE327"/>
    <mergeCell ref="U326:W326"/>
    <mergeCell ref="Q290:S290"/>
    <mergeCell ref="Q294:S294"/>
    <mergeCell ref="U294:W294"/>
    <mergeCell ref="F319:P319"/>
    <mergeCell ref="F236:P236"/>
    <mergeCell ref="U327:W327"/>
    <mergeCell ref="Y298:AA298"/>
    <mergeCell ref="U303:W303"/>
    <mergeCell ref="Q329:S329"/>
    <mergeCell ref="F331:P331"/>
    <mergeCell ref="AC330:AE330"/>
    <mergeCell ref="AC317:AE317"/>
    <mergeCell ref="Y317:AA317"/>
    <mergeCell ref="U317:W317"/>
    <mergeCell ref="AC290:AE290"/>
    <mergeCell ref="U293:W293"/>
    <mergeCell ref="Y294:AA294"/>
    <mergeCell ref="U316:W316"/>
    <mergeCell ref="AC320:AE320"/>
    <mergeCell ref="Q299:S299"/>
    <mergeCell ref="U298:W298"/>
    <mergeCell ref="Y291:AA291"/>
    <mergeCell ref="U295:W295"/>
    <mergeCell ref="F298:P298"/>
    <mergeCell ref="F299:P299"/>
    <mergeCell ref="AC332:AE332"/>
    <mergeCell ref="U335:W335"/>
    <mergeCell ref="Q323:S323"/>
    <mergeCell ref="AC324:AE324"/>
    <mergeCell ref="F302:P302"/>
    <mergeCell ref="L145:O146"/>
    <mergeCell ref="AM324:AO324"/>
    <mergeCell ref="AM320:AO320"/>
    <mergeCell ref="AJ326:AL326"/>
    <mergeCell ref="AC329:AE329"/>
    <mergeCell ref="F325:P325"/>
    <mergeCell ref="Q335:S335"/>
    <mergeCell ref="U311:W311"/>
    <mergeCell ref="Q328:S328"/>
    <mergeCell ref="Q331:S331"/>
    <mergeCell ref="U332:W332"/>
    <mergeCell ref="Y335:AA335"/>
    <mergeCell ref="Q208:S208"/>
    <mergeCell ref="F265:P265"/>
    <mergeCell ref="F196:P196"/>
    <mergeCell ref="F198:P198"/>
    <mergeCell ref="Q198:S198"/>
    <mergeCell ref="AC204:AE204"/>
    <mergeCell ref="F296:P296"/>
    <mergeCell ref="F322:P322"/>
    <mergeCell ref="U324:W324"/>
    <mergeCell ref="F323:P323"/>
    <mergeCell ref="U322:W322"/>
    <mergeCell ref="F320:P320"/>
    <mergeCell ref="F314:P314"/>
    <mergeCell ref="F315:P315"/>
    <mergeCell ref="Y290:AA290"/>
    <mergeCell ref="U320:W320"/>
    <mergeCell ref="F303:P303"/>
    <mergeCell ref="Y319:AA319"/>
    <mergeCell ref="F311:P311"/>
    <mergeCell ref="U314:W314"/>
    <mergeCell ref="Q320:S320"/>
    <mergeCell ref="F301:P301"/>
    <mergeCell ref="F300:P300"/>
    <mergeCell ref="F297:P297"/>
    <mergeCell ref="F317:P317"/>
    <mergeCell ref="F318:P318"/>
    <mergeCell ref="Q325:S325"/>
    <mergeCell ref="U325:W325"/>
    <mergeCell ref="U338:W338"/>
    <mergeCell ref="U328:W328"/>
    <mergeCell ref="Y337:AA337"/>
    <mergeCell ref="Q338:S338"/>
    <mergeCell ref="U333:W333"/>
    <mergeCell ref="Q336:S336"/>
    <mergeCell ref="U336:W336"/>
    <mergeCell ref="F330:P330"/>
    <mergeCell ref="F326:P326"/>
    <mergeCell ref="F336:P336"/>
    <mergeCell ref="F333:P333"/>
    <mergeCell ref="Q327:S327"/>
    <mergeCell ref="U331:W331"/>
    <mergeCell ref="U323:W323"/>
    <mergeCell ref="F324:P324"/>
    <mergeCell ref="Y325:AA325"/>
    <mergeCell ref="U329:W329"/>
    <mergeCell ref="Q333:S333"/>
    <mergeCell ref="Q332:S332"/>
    <mergeCell ref="U364:W364"/>
    <mergeCell ref="Y364:AA364"/>
    <mergeCell ref="AJ360:AL360"/>
    <mergeCell ref="AG378:AI378"/>
    <mergeCell ref="Y360:AA360"/>
    <mergeCell ref="AJ363:AL363"/>
    <mergeCell ref="AG348:AI348"/>
    <mergeCell ref="AC357:AE357"/>
    <mergeCell ref="AG360:AI360"/>
    <mergeCell ref="AC360:AE360"/>
    <mergeCell ref="Y326:AA326"/>
    <mergeCell ref="Q340:S340"/>
    <mergeCell ref="Q339:S339"/>
    <mergeCell ref="Q326:S326"/>
    <mergeCell ref="AC336:AE336"/>
    <mergeCell ref="AC381:AE381"/>
    <mergeCell ref="Q364:S364"/>
    <mergeCell ref="AC363:AE363"/>
    <mergeCell ref="U362:W362"/>
    <mergeCell ref="AJ336:AL336"/>
    <mergeCell ref="Q366:S366"/>
    <mergeCell ref="Q367:S367"/>
    <mergeCell ref="AJ354:AL354"/>
    <mergeCell ref="AC356:AE356"/>
    <mergeCell ref="AJ355:AL355"/>
    <mergeCell ref="AG376:AI376"/>
    <mergeCell ref="AC361:AE361"/>
    <mergeCell ref="Y338:AA338"/>
    <mergeCell ref="Q334:S334"/>
    <mergeCell ref="Y330:AA330"/>
    <mergeCell ref="Y332:AA332"/>
    <mergeCell ref="AC335:AE335"/>
    <mergeCell ref="AP424:AR424"/>
    <mergeCell ref="AJ442:AL442"/>
    <mergeCell ref="AJ437:AL437"/>
    <mergeCell ref="AJ451:AL451"/>
    <mergeCell ref="AG449:AI449"/>
    <mergeCell ref="AM442:AO442"/>
    <mergeCell ref="AM437:AO437"/>
    <mergeCell ref="AM436:AO436"/>
    <mergeCell ref="AC341:AE341"/>
    <mergeCell ref="Q346:S346"/>
    <mergeCell ref="Y344:AA344"/>
    <mergeCell ref="Q341:S341"/>
    <mergeCell ref="AC386:AE386"/>
    <mergeCell ref="U349:W349"/>
    <mergeCell ref="AC342:AE342"/>
    <mergeCell ref="Q384:S384"/>
    <mergeCell ref="Q345:S345"/>
    <mergeCell ref="U367:W367"/>
    <mergeCell ref="Q376:S376"/>
    <mergeCell ref="AJ362:AL362"/>
    <mergeCell ref="Q365:S365"/>
    <mergeCell ref="U365:W365"/>
    <mergeCell ref="Y365:AA365"/>
    <mergeCell ref="U378:W378"/>
    <mergeCell ref="AG363:AI363"/>
    <mergeCell ref="AC444:AE444"/>
    <mergeCell ref="AM433:AO433"/>
    <mergeCell ref="AG384:AI384"/>
    <mergeCell ref="AJ369:AL369"/>
    <mergeCell ref="AJ368:AL368"/>
    <mergeCell ref="AJ378:AL378"/>
    <mergeCell ref="AG383:AI383"/>
    <mergeCell ref="AC480:AE480"/>
    <mergeCell ref="AP490:AR490"/>
    <mergeCell ref="AP435:AR435"/>
    <mergeCell ref="AJ438:AL438"/>
    <mergeCell ref="AP438:AR438"/>
    <mergeCell ref="AP437:AR437"/>
    <mergeCell ref="AM446:AO446"/>
    <mergeCell ref="AM445:AO445"/>
    <mergeCell ref="AJ436:AL436"/>
    <mergeCell ref="AJ441:AL441"/>
    <mergeCell ref="AG466:AI466"/>
    <mergeCell ref="AJ476:AL476"/>
    <mergeCell ref="AM454:AO454"/>
    <mergeCell ref="AP454:AR454"/>
    <mergeCell ref="AJ478:AL478"/>
    <mergeCell ref="AP453:AR453"/>
    <mergeCell ref="AC476:AE476"/>
    <mergeCell ref="AJ480:AL480"/>
    <mergeCell ref="AJ486:AL486"/>
    <mergeCell ref="AM488:AO488"/>
    <mergeCell ref="AG440:AI440"/>
    <mergeCell ref="AM475:AO475"/>
    <mergeCell ref="AM455:AO455"/>
    <mergeCell ref="AP455:AR455"/>
    <mergeCell ref="AP468:AR468"/>
    <mergeCell ref="AP481:AR481"/>
    <mergeCell ref="AM474:AO474"/>
    <mergeCell ref="AP478:AR478"/>
    <mergeCell ref="AC488:AE488"/>
    <mergeCell ref="AC487:AE487"/>
    <mergeCell ref="AG455:AI455"/>
    <mergeCell ref="AJ455:AL455"/>
    <mergeCell ref="AJ638:AL638"/>
    <mergeCell ref="AG637:AI637"/>
    <mergeCell ref="AJ637:AL637"/>
    <mergeCell ref="AG636:AI636"/>
    <mergeCell ref="Q495:S495"/>
    <mergeCell ref="U495:W495"/>
    <mergeCell ref="AC499:AE499"/>
    <mergeCell ref="AM496:AO496"/>
    <mergeCell ref="AJ407:AL407"/>
    <mergeCell ref="AM414:AO414"/>
    <mergeCell ref="AP536:AR536"/>
    <mergeCell ref="AP567:AR567"/>
    <mergeCell ref="AP551:AR551"/>
    <mergeCell ref="AM556:AO556"/>
    <mergeCell ref="AP556:AR556"/>
    <mergeCell ref="AP552:AR552"/>
    <mergeCell ref="U551:W551"/>
    <mergeCell ref="Y486:AA486"/>
    <mergeCell ref="Y551:AA551"/>
    <mergeCell ref="Q550:S550"/>
    <mergeCell ref="U550:W550"/>
    <mergeCell ref="AM562:AO562"/>
    <mergeCell ref="Q555:S555"/>
    <mergeCell ref="U555:W555"/>
    <mergeCell ref="AC491:AE491"/>
    <mergeCell ref="Q558:S558"/>
    <mergeCell ref="Y550:AA550"/>
    <mergeCell ref="AG490:AI490"/>
    <mergeCell ref="AC452:AE452"/>
    <mergeCell ref="AM499:AO499"/>
    <mergeCell ref="AM506:AO506"/>
    <mergeCell ref="AM504:AO504"/>
    <mergeCell ref="AG547:AI547"/>
    <mergeCell ref="AJ544:AL544"/>
    <mergeCell ref="Y547:AA547"/>
    <mergeCell ref="U546:W546"/>
    <mergeCell ref="U536:W536"/>
    <mergeCell ref="Y513:AA513"/>
    <mergeCell ref="AC513:AE513"/>
    <mergeCell ref="AP527:AR527"/>
    <mergeCell ref="AP514:AR514"/>
    <mergeCell ref="AP545:AR545"/>
    <mergeCell ref="AP574:AR574"/>
    <mergeCell ref="AP571:AR571"/>
    <mergeCell ref="AG535:AI535"/>
    <mergeCell ref="AM535:AO535"/>
    <mergeCell ref="AC550:AE550"/>
    <mergeCell ref="AG550:AI550"/>
    <mergeCell ref="Y555:AA555"/>
    <mergeCell ref="AJ533:AL533"/>
    <mergeCell ref="AJ564:AL564"/>
    <mergeCell ref="AM564:AO564"/>
    <mergeCell ref="AP544:AR544"/>
    <mergeCell ref="AJ527:AL527"/>
    <mergeCell ref="AJ525:AL525"/>
    <mergeCell ref="AJ574:AL574"/>
    <mergeCell ref="AP565:AR565"/>
    <mergeCell ref="AC528:AE528"/>
    <mergeCell ref="AG567:AI567"/>
    <mergeCell ref="AG546:AI546"/>
    <mergeCell ref="AJ543:AL543"/>
    <mergeCell ref="AJ560:AL560"/>
    <mergeCell ref="AG524:AI524"/>
    <mergeCell ref="AM573:AO573"/>
    <mergeCell ref="AC595:AE595"/>
    <mergeCell ref="AG595:AI595"/>
    <mergeCell ref="AS659:AV659"/>
    <mergeCell ref="AW651:AZ651"/>
    <mergeCell ref="AS653:AV653"/>
    <mergeCell ref="AM640:AO640"/>
    <mergeCell ref="AM635:AO635"/>
    <mergeCell ref="AS639:AV639"/>
    <mergeCell ref="AS638:AV638"/>
    <mergeCell ref="AW638:AZ638"/>
    <mergeCell ref="AW635:AZ635"/>
    <mergeCell ref="AM636:AO636"/>
    <mergeCell ref="AP582:AR582"/>
    <mergeCell ref="AJ581:AL581"/>
    <mergeCell ref="AM581:AO581"/>
    <mergeCell ref="AW650:AZ650"/>
    <mergeCell ref="AM649:AO649"/>
    <mergeCell ref="AJ642:AL642"/>
    <mergeCell ref="AS644:AV644"/>
    <mergeCell ref="AW644:AZ644"/>
    <mergeCell ref="AJ632:AL632"/>
    <mergeCell ref="AP631:AR631"/>
    <mergeCell ref="AM632:AO632"/>
    <mergeCell ref="AW630:AZ630"/>
    <mergeCell ref="AS623:AV623"/>
    <mergeCell ref="AS630:AV630"/>
    <mergeCell ref="AW620:AZ620"/>
    <mergeCell ref="AP620:AR620"/>
    <mergeCell ref="AP632:AR632"/>
    <mergeCell ref="AP633:AR633"/>
    <mergeCell ref="AP634:AR634"/>
    <mergeCell ref="AJ652:AL652"/>
    <mergeCell ref="AW642:AZ642"/>
    <mergeCell ref="AM648:AO648"/>
    <mergeCell ref="AP648:AR648"/>
    <mergeCell ref="AS648:AV648"/>
    <mergeCell ref="AW653:AZ653"/>
    <mergeCell ref="AS654:AV654"/>
    <mergeCell ref="U561:W561"/>
    <mergeCell ref="Y561:AA561"/>
    <mergeCell ref="AC561:AE561"/>
    <mergeCell ref="AJ537:AR537"/>
    <mergeCell ref="AC551:AE551"/>
    <mergeCell ref="AC536:AE536"/>
    <mergeCell ref="AP557:AR557"/>
    <mergeCell ref="AS637:AV637"/>
    <mergeCell ref="AS641:AV641"/>
    <mergeCell ref="AS642:AV642"/>
    <mergeCell ref="AW641:AZ641"/>
    <mergeCell ref="AJ639:AL639"/>
    <mergeCell ref="Y639:AA639"/>
    <mergeCell ref="AC639:AE639"/>
    <mergeCell ref="AP646:AR646"/>
    <mergeCell ref="AS646:AV646"/>
    <mergeCell ref="AW646:AZ646"/>
    <mergeCell ref="AJ641:AL641"/>
    <mergeCell ref="AC643:AE643"/>
    <mergeCell ref="AG643:AI643"/>
    <mergeCell ref="AM643:AO643"/>
    <mergeCell ref="AP642:AR642"/>
    <mergeCell ref="AM650:AO650"/>
    <mergeCell ref="AS650:AV650"/>
    <mergeCell ref="AP553:AR553"/>
    <mergeCell ref="AD653:AF653"/>
    <mergeCell ref="L674:N674"/>
    <mergeCell ref="R674:T674"/>
    <mergeCell ref="AV674:AZ674"/>
    <mergeCell ref="AS684:AW684"/>
    <mergeCell ref="AQ684:AR684"/>
    <mergeCell ref="AQ685:AR685"/>
    <mergeCell ref="AV675:AZ675"/>
    <mergeCell ref="AJ674:AM674"/>
    <mergeCell ref="AG642:AI642"/>
    <mergeCell ref="AC640:AE640"/>
    <mergeCell ref="AM641:AO641"/>
    <mergeCell ref="AP641:AR641"/>
    <mergeCell ref="AC645:AE645"/>
    <mergeCell ref="AG645:AI645"/>
    <mergeCell ref="AJ645:AL645"/>
    <mergeCell ref="AM645:AO645"/>
    <mergeCell ref="AP645:AR645"/>
    <mergeCell ref="AS645:AV645"/>
    <mergeCell ref="AW645:AZ645"/>
    <mergeCell ref="H646:P646"/>
    <mergeCell ref="Q646:S646"/>
    <mergeCell ref="X675:Z675"/>
    <mergeCell ref="H647:P647"/>
    <mergeCell ref="AD675:AF675"/>
    <mergeCell ref="AJ675:AM675"/>
    <mergeCell ref="AJ659:AR659"/>
    <mergeCell ref="AP650:AR650"/>
    <mergeCell ref="AC650:AE650"/>
    <mergeCell ref="AS643:AV643"/>
    <mergeCell ref="AJ640:AL640"/>
    <mergeCell ref="Y656:AA656"/>
    <mergeCell ref="AW640:AZ640"/>
    <mergeCell ref="AS686:AW686"/>
    <mergeCell ref="AS683:AW683"/>
    <mergeCell ref="AM637:AO637"/>
    <mergeCell ref="AG650:AI650"/>
    <mergeCell ref="AG641:AI641"/>
    <mergeCell ref="AN674:AQ674"/>
    <mergeCell ref="AP643:AR643"/>
    <mergeCell ref="AJ643:AL643"/>
    <mergeCell ref="AM639:AO639"/>
    <mergeCell ref="AM642:AO642"/>
    <mergeCell ref="AG640:AI640"/>
    <mergeCell ref="AP639:AR639"/>
    <mergeCell ref="AJ648:AL648"/>
    <mergeCell ref="AC638:AE638"/>
    <mergeCell ref="AC649:AE649"/>
    <mergeCell ref="AG649:AI649"/>
    <mergeCell ref="AJ649:AL649"/>
    <mergeCell ref="AS685:AW685"/>
    <mergeCell ref="AV668:AZ668"/>
    <mergeCell ref="AN675:AQ675"/>
    <mergeCell ref="AR675:AU675"/>
    <mergeCell ref="AR674:AU674"/>
    <mergeCell ref="AW648:AZ648"/>
    <mergeCell ref="AV666:AZ666"/>
    <mergeCell ref="AV664:AZ664"/>
    <mergeCell ref="AW654:AZ654"/>
    <mergeCell ref="AJ650:AL650"/>
    <mergeCell ref="AP637:AR637"/>
    <mergeCell ref="AP649:AR649"/>
    <mergeCell ref="AW643:AZ643"/>
    <mergeCell ref="AS649:AV649"/>
    <mergeCell ref="AW649:AZ649"/>
    <mergeCell ref="AJ653:AL653"/>
    <mergeCell ref="AM653:AO653"/>
    <mergeCell ref="AP653:AR653"/>
    <mergeCell ref="AM654:AO654"/>
    <mergeCell ref="AP654:AR654"/>
    <mergeCell ref="AG639:AI639"/>
    <mergeCell ref="AJ636:AL636"/>
    <mergeCell ref="AJ631:AL631"/>
    <mergeCell ref="AS640:AV640"/>
    <mergeCell ref="AG633:AI633"/>
    <mergeCell ref="AM633:AO633"/>
    <mergeCell ref="AG634:AI634"/>
    <mergeCell ref="AJ634:AL634"/>
    <mergeCell ref="AM634:AO634"/>
    <mergeCell ref="AG635:AI635"/>
    <mergeCell ref="AW636:AZ636"/>
    <mergeCell ref="AW637:AZ637"/>
    <mergeCell ref="AW633:AZ633"/>
    <mergeCell ref="AS633:AV633"/>
    <mergeCell ref="AG646:AI646"/>
    <mergeCell ref="AJ646:AL646"/>
    <mergeCell ref="AM646:AO646"/>
    <mergeCell ref="AG638:AI638"/>
    <mergeCell ref="AM638:AO638"/>
    <mergeCell ref="AW639:AZ639"/>
    <mergeCell ref="AP638:AR638"/>
    <mergeCell ref="AP640:AR640"/>
    <mergeCell ref="AG644:AI644"/>
    <mergeCell ref="AJ644:AL644"/>
    <mergeCell ref="AM644:AO644"/>
    <mergeCell ref="AP644:AR644"/>
    <mergeCell ref="AS631:AV631"/>
    <mergeCell ref="AW632:AZ632"/>
    <mergeCell ref="AP627:AR627"/>
    <mergeCell ref="AP626:AR626"/>
    <mergeCell ref="AJ629:AL629"/>
    <mergeCell ref="AP625:AR625"/>
    <mergeCell ref="AM622:AO622"/>
    <mergeCell ref="AW625:AZ625"/>
    <mergeCell ref="AS624:AV624"/>
    <mergeCell ref="AM625:AO625"/>
    <mergeCell ref="AJ623:AL623"/>
    <mergeCell ref="AM623:AO623"/>
    <mergeCell ref="AP623:AR623"/>
    <mergeCell ref="AJ624:AL624"/>
    <mergeCell ref="AC630:AE630"/>
    <mergeCell ref="AP624:AR624"/>
    <mergeCell ref="AS632:AV632"/>
    <mergeCell ref="AS626:AV626"/>
    <mergeCell ref="AW623:AZ623"/>
    <mergeCell ref="AC631:AE631"/>
    <mergeCell ref="AG623:AI623"/>
    <mergeCell ref="AW624:AZ624"/>
    <mergeCell ref="AW626:AZ626"/>
    <mergeCell ref="AJ628:AL628"/>
    <mergeCell ref="AP630:AR630"/>
    <mergeCell ref="AG627:AI627"/>
    <mergeCell ref="AJ627:AL627"/>
    <mergeCell ref="AM627:AO627"/>
    <mergeCell ref="AW627:AZ627"/>
    <mergeCell ref="AW621:AZ621"/>
    <mergeCell ref="AS628:AV628"/>
    <mergeCell ref="AW628:AZ628"/>
    <mergeCell ref="AM630:AO630"/>
    <mergeCell ref="AC629:AE629"/>
    <mergeCell ref="AJ630:AL630"/>
    <mergeCell ref="AW629:AZ629"/>
    <mergeCell ref="AM629:AO629"/>
    <mergeCell ref="AS629:AV629"/>
    <mergeCell ref="AP629:AR629"/>
    <mergeCell ref="AS625:AV625"/>
    <mergeCell ref="AM626:AO626"/>
    <mergeCell ref="AJ621:AL621"/>
    <mergeCell ref="AS621:AV621"/>
    <mergeCell ref="U628:W628"/>
    <mergeCell ref="AG626:AI626"/>
    <mergeCell ref="AJ625:AL625"/>
    <mergeCell ref="AC621:AE621"/>
    <mergeCell ref="AG624:AI624"/>
    <mergeCell ref="AC622:AE622"/>
    <mergeCell ref="AG622:AI622"/>
    <mergeCell ref="AP622:AR622"/>
    <mergeCell ref="AS622:AV622"/>
    <mergeCell ref="AC624:AE624"/>
    <mergeCell ref="Y626:AA626"/>
    <mergeCell ref="AC619:AE619"/>
    <mergeCell ref="U616:W616"/>
    <mergeCell ref="AM624:AO624"/>
    <mergeCell ref="AC626:AE626"/>
    <mergeCell ref="AS617:AV617"/>
    <mergeCell ref="AS620:AV620"/>
    <mergeCell ref="AP619:AR619"/>
    <mergeCell ref="Y619:AA619"/>
    <mergeCell ref="AP621:AR621"/>
    <mergeCell ref="AC616:AE616"/>
    <mergeCell ref="AM617:AO617"/>
    <mergeCell ref="U627:W627"/>
    <mergeCell ref="Y627:AA627"/>
    <mergeCell ref="U624:W624"/>
    <mergeCell ref="AJ622:AL622"/>
    <mergeCell ref="AM618:AO618"/>
    <mergeCell ref="AP617:AR617"/>
    <mergeCell ref="AP616:AR616"/>
    <mergeCell ref="AC620:AE620"/>
    <mergeCell ref="Y617:AA617"/>
    <mergeCell ref="AG630:AI630"/>
    <mergeCell ref="AG629:AI629"/>
    <mergeCell ref="Q616:S616"/>
    <mergeCell ref="U618:W618"/>
    <mergeCell ref="U630:W630"/>
    <mergeCell ref="Y630:AA630"/>
    <mergeCell ref="AS627:AV627"/>
    <mergeCell ref="U612:W612"/>
    <mergeCell ref="Q619:S619"/>
    <mergeCell ref="U619:W619"/>
    <mergeCell ref="F613:P613"/>
    <mergeCell ref="AJ614:AL614"/>
    <mergeCell ref="AC615:AE615"/>
    <mergeCell ref="AG615:AI615"/>
    <mergeCell ref="AC627:AE627"/>
    <mergeCell ref="AJ615:AL615"/>
    <mergeCell ref="AM615:AO615"/>
    <mergeCell ref="AJ618:AL618"/>
    <mergeCell ref="AM616:AO616"/>
    <mergeCell ref="AS618:AV618"/>
    <mergeCell ref="AS616:AV616"/>
    <mergeCell ref="AP618:AR618"/>
    <mergeCell ref="AJ619:AL619"/>
    <mergeCell ref="Q629:S629"/>
    <mergeCell ref="AS619:AV619"/>
    <mergeCell ref="Q627:S627"/>
    <mergeCell ref="AG620:AI620"/>
    <mergeCell ref="AJ620:AL620"/>
    <mergeCell ref="AM620:AO620"/>
    <mergeCell ref="AM621:AO621"/>
    <mergeCell ref="AJ616:AL616"/>
    <mergeCell ref="Y631:AA631"/>
    <mergeCell ref="Q628:S628"/>
    <mergeCell ref="F620:P620"/>
    <mergeCell ref="F621:P621"/>
    <mergeCell ref="F615:P615"/>
    <mergeCell ref="F612:P612"/>
    <mergeCell ref="Y612:AA612"/>
    <mergeCell ref="Q624:S624"/>
    <mergeCell ref="AG631:AI631"/>
    <mergeCell ref="AG617:AI617"/>
    <mergeCell ref="AC613:AE613"/>
    <mergeCell ref="Q612:S612"/>
    <mergeCell ref="AC614:AE614"/>
    <mergeCell ref="Y620:AA620"/>
    <mergeCell ref="Y616:AA616"/>
    <mergeCell ref="Q615:S615"/>
    <mergeCell ref="Y618:AA618"/>
    <mergeCell ref="AC618:AE618"/>
    <mergeCell ref="AG618:AI618"/>
    <mergeCell ref="AG619:AI619"/>
    <mergeCell ref="U629:W629"/>
    <mergeCell ref="AG616:AI616"/>
    <mergeCell ref="F622:P622"/>
    <mergeCell ref="AG612:AI612"/>
    <mergeCell ref="AC617:AE617"/>
    <mergeCell ref="Y628:AA628"/>
    <mergeCell ref="Q625:S625"/>
    <mergeCell ref="U626:W626"/>
    <mergeCell ref="F617:P617"/>
    <mergeCell ref="Q617:S617"/>
    <mergeCell ref="U617:W617"/>
    <mergeCell ref="F624:P624"/>
    <mergeCell ref="Q644:S644"/>
    <mergeCell ref="U644:W644"/>
    <mergeCell ref="Y644:AA644"/>
    <mergeCell ref="AC644:AE644"/>
    <mergeCell ref="AC628:AE628"/>
    <mergeCell ref="Y637:AA637"/>
    <mergeCell ref="AC637:AE637"/>
    <mergeCell ref="Q631:S631"/>
    <mergeCell ref="Y615:AA615"/>
    <mergeCell ref="U623:W623"/>
    <mergeCell ref="U621:W621"/>
    <mergeCell ref="Y621:AA621"/>
    <mergeCell ref="F618:P618"/>
    <mergeCell ref="F616:P616"/>
    <mergeCell ref="Q620:S620"/>
    <mergeCell ref="Y634:AA634"/>
    <mergeCell ref="Y632:AA632"/>
    <mergeCell ref="Y636:AA636"/>
    <mergeCell ref="U642:W642"/>
    <mergeCell ref="U633:W633"/>
    <mergeCell ref="F619:P619"/>
    <mergeCell ref="E641:F650"/>
    <mergeCell ref="H641:P641"/>
    <mergeCell ref="Y646:AA646"/>
    <mergeCell ref="AC646:AE646"/>
    <mergeCell ref="Y635:AA635"/>
    <mergeCell ref="AC635:AE635"/>
    <mergeCell ref="Y638:AA638"/>
    <mergeCell ref="U634:W634"/>
    <mergeCell ref="AC625:AE625"/>
    <mergeCell ref="Y624:AA624"/>
    <mergeCell ref="U631:W631"/>
    <mergeCell ref="AC633:AE633"/>
    <mergeCell ref="U643:W643"/>
    <mergeCell ref="U649:W649"/>
    <mergeCell ref="Y649:AA649"/>
    <mergeCell ref="Q640:S640"/>
    <mergeCell ref="F638:P638"/>
    <mergeCell ref="F637:P637"/>
    <mergeCell ref="Q636:S636"/>
    <mergeCell ref="U636:W636"/>
    <mergeCell ref="Q635:S635"/>
    <mergeCell ref="Q638:S638"/>
    <mergeCell ref="Q632:S632"/>
    <mergeCell ref="U632:W632"/>
    <mergeCell ref="AC642:AE642"/>
    <mergeCell ref="U637:W637"/>
    <mergeCell ref="U646:W646"/>
    <mergeCell ref="H645:P645"/>
    <mergeCell ref="Y642:AA642"/>
    <mergeCell ref="H649:P649"/>
    <mergeCell ref="U635:W635"/>
    <mergeCell ref="AC636:AE636"/>
    <mergeCell ref="Q637:S637"/>
    <mergeCell ref="Q645:S645"/>
    <mergeCell ref="U645:W645"/>
    <mergeCell ref="F636:P636"/>
    <mergeCell ref="AC641:AE641"/>
    <mergeCell ref="F640:P640"/>
    <mergeCell ref="Q639:S639"/>
    <mergeCell ref="U639:W639"/>
    <mergeCell ref="U640:W640"/>
    <mergeCell ref="Y640:AA640"/>
    <mergeCell ref="AC634:AE634"/>
    <mergeCell ref="Q634:S634"/>
    <mergeCell ref="F634:P634"/>
    <mergeCell ref="Q650:S650"/>
    <mergeCell ref="U650:W650"/>
    <mergeCell ref="Y643:AA643"/>
    <mergeCell ref="Q622:S622"/>
    <mergeCell ref="Y645:AA645"/>
    <mergeCell ref="F626:P626"/>
    <mergeCell ref="F627:P627"/>
    <mergeCell ref="F623:P623"/>
    <mergeCell ref="B603:D659"/>
    <mergeCell ref="Q603:S603"/>
    <mergeCell ref="F631:P631"/>
    <mergeCell ref="Q618:S618"/>
    <mergeCell ref="G654:P654"/>
    <mergeCell ref="Q654:R654"/>
    <mergeCell ref="Y653:AA653"/>
    <mergeCell ref="Q652:R652"/>
    <mergeCell ref="Q611:S611"/>
    <mergeCell ref="Y650:AA650"/>
    <mergeCell ref="Q630:S630"/>
    <mergeCell ref="Q641:S641"/>
    <mergeCell ref="U641:W641"/>
    <mergeCell ref="Y641:AA641"/>
    <mergeCell ref="H643:P643"/>
    <mergeCell ref="Q643:S643"/>
    <mergeCell ref="F639:P639"/>
    <mergeCell ref="H642:P642"/>
    <mergeCell ref="Y633:AA633"/>
    <mergeCell ref="F633:P633"/>
    <mergeCell ref="Q649:S649"/>
    <mergeCell ref="H644:P644"/>
    <mergeCell ref="H650:P650"/>
    <mergeCell ref="F635:P635"/>
    <mergeCell ref="F576:P576"/>
    <mergeCell ref="Q633:S633"/>
    <mergeCell ref="F629:P629"/>
    <mergeCell ref="AC569:AE569"/>
    <mergeCell ref="AG569:AI569"/>
    <mergeCell ref="AJ571:AL571"/>
    <mergeCell ref="Y566:AA566"/>
    <mergeCell ref="Q562:S562"/>
    <mergeCell ref="U562:W562"/>
    <mergeCell ref="F567:P567"/>
    <mergeCell ref="F568:P568"/>
    <mergeCell ref="H594:P594"/>
    <mergeCell ref="U564:W564"/>
    <mergeCell ref="Y564:AA564"/>
    <mergeCell ref="Q567:S567"/>
    <mergeCell ref="AC623:AE623"/>
    <mergeCell ref="AG621:AI621"/>
    <mergeCell ref="Q623:S623"/>
    <mergeCell ref="F625:P625"/>
    <mergeCell ref="AJ617:AL617"/>
    <mergeCell ref="Y629:AA629"/>
    <mergeCell ref="Q626:S626"/>
    <mergeCell ref="U625:W625"/>
    <mergeCell ref="F628:P628"/>
    <mergeCell ref="H592:P592"/>
    <mergeCell ref="U609:W609"/>
    <mergeCell ref="F630:P630"/>
    <mergeCell ref="F632:P632"/>
    <mergeCell ref="AG625:AI625"/>
    <mergeCell ref="Y625:AA625"/>
    <mergeCell ref="F607:P607"/>
    <mergeCell ref="F610:P610"/>
    <mergeCell ref="F603:P603"/>
    <mergeCell ref="F604:P604"/>
    <mergeCell ref="F605:P605"/>
    <mergeCell ref="Y603:AA603"/>
    <mergeCell ref="Q610:S610"/>
    <mergeCell ref="F608:P608"/>
    <mergeCell ref="F609:P609"/>
    <mergeCell ref="F614:P614"/>
    <mergeCell ref="Q614:S614"/>
    <mergeCell ref="U614:W614"/>
    <mergeCell ref="AC605:AE605"/>
    <mergeCell ref="AG605:AI605"/>
    <mergeCell ref="F580:P580"/>
    <mergeCell ref="U593:W593"/>
    <mergeCell ref="Y593:AA593"/>
    <mergeCell ref="Y595:AA595"/>
    <mergeCell ref="AC593:AE593"/>
    <mergeCell ref="AC591:AE591"/>
    <mergeCell ref="AG591:AI591"/>
    <mergeCell ref="AG593:AI593"/>
    <mergeCell ref="AG589:AI589"/>
    <mergeCell ref="AG603:AI603"/>
    <mergeCell ref="AC607:AE607"/>
    <mergeCell ref="AG607:AI607"/>
    <mergeCell ref="AC587:AE587"/>
    <mergeCell ref="Y583:AA583"/>
    <mergeCell ref="F585:P585"/>
    <mergeCell ref="Q581:S581"/>
    <mergeCell ref="Q613:S613"/>
    <mergeCell ref="E587:F596"/>
    <mergeCell ref="H588:P588"/>
    <mergeCell ref="H596:P596"/>
    <mergeCell ref="Q596:S596"/>
    <mergeCell ref="H593:P593"/>
    <mergeCell ref="Q593:S593"/>
    <mergeCell ref="F606:P606"/>
    <mergeCell ref="Q587:S587"/>
    <mergeCell ref="Q588:S588"/>
    <mergeCell ref="Q594:S594"/>
    <mergeCell ref="F579:P579"/>
    <mergeCell ref="Q579:S579"/>
    <mergeCell ref="Q585:S585"/>
    <mergeCell ref="F582:P582"/>
    <mergeCell ref="AG614:AI614"/>
    <mergeCell ref="Y572:AA572"/>
    <mergeCell ref="U582:W582"/>
    <mergeCell ref="Y582:AA582"/>
    <mergeCell ref="AG574:AI574"/>
    <mergeCell ref="U572:W572"/>
    <mergeCell ref="AC577:AE577"/>
    <mergeCell ref="AC578:AE578"/>
    <mergeCell ref="Y587:AA587"/>
    <mergeCell ref="F574:P574"/>
    <mergeCell ref="Q604:S604"/>
    <mergeCell ref="U608:W608"/>
    <mergeCell ref="U606:W606"/>
    <mergeCell ref="Y606:AA606"/>
    <mergeCell ref="AC604:AE604"/>
    <mergeCell ref="AG604:AI604"/>
    <mergeCell ref="AC606:AE606"/>
    <mergeCell ref="AG596:AI596"/>
    <mergeCell ref="Q572:S572"/>
    <mergeCell ref="AJ584:AL584"/>
    <mergeCell ref="AJ576:AL576"/>
    <mergeCell ref="AJ585:AL585"/>
    <mergeCell ref="AJ582:AL582"/>
    <mergeCell ref="AC582:AE582"/>
    <mergeCell ref="AJ586:AL586"/>
    <mergeCell ref="Y586:AA586"/>
    <mergeCell ref="AG587:AI587"/>
    <mergeCell ref="AC581:AE581"/>
    <mergeCell ref="AG581:AI581"/>
    <mergeCell ref="AG588:AI588"/>
    <mergeCell ref="AG586:AI586"/>
    <mergeCell ref="AC589:AE589"/>
    <mergeCell ref="U583:W583"/>
    <mergeCell ref="AM579:AO579"/>
    <mergeCell ref="AM578:AO578"/>
    <mergeCell ref="AM577:AO577"/>
    <mergeCell ref="AC585:AE585"/>
    <mergeCell ref="Y579:AA579"/>
    <mergeCell ref="AC596:AE596"/>
    <mergeCell ref="AG577:AI577"/>
    <mergeCell ref="AM583:AO583"/>
    <mergeCell ref="AM589:AO589"/>
    <mergeCell ref="AM580:AO580"/>
    <mergeCell ref="AM574:AO574"/>
    <mergeCell ref="U603:W603"/>
    <mergeCell ref="Y614:AA614"/>
    <mergeCell ref="Y578:AA578"/>
    <mergeCell ref="AC579:AE579"/>
    <mergeCell ref="AG579:AI579"/>
    <mergeCell ref="AJ578:AL578"/>
    <mergeCell ref="AJ588:AL588"/>
    <mergeCell ref="AC586:AE586"/>
    <mergeCell ref="U615:W615"/>
    <mergeCell ref="Q621:S621"/>
    <mergeCell ref="Y623:AA623"/>
    <mergeCell ref="U622:W622"/>
    <mergeCell ref="Y622:AA622"/>
    <mergeCell ref="U620:W620"/>
    <mergeCell ref="Q574:S574"/>
    <mergeCell ref="Q578:S578"/>
    <mergeCell ref="U594:W594"/>
    <mergeCell ref="U595:W595"/>
    <mergeCell ref="U584:W584"/>
    <mergeCell ref="U578:W578"/>
    <mergeCell ref="AC609:AE609"/>
    <mergeCell ref="AG609:AI609"/>
    <mergeCell ref="AC583:AE583"/>
    <mergeCell ref="AG583:AI583"/>
    <mergeCell ref="AJ595:AL595"/>
    <mergeCell ref="U596:W596"/>
    <mergeCell ref="F557:P557"/>
    <mergeCell ref="Q592:S592"/>
    <mergeCell ref="Y557:AA557"/>
    <mergeCell ref="AC557:AE557"/>
    <mergeCell ref="AG557:AI557"/>
    <mergeCell ref="AJ557:AL557"/>
    <mergeCell ref="AJ565:AL565"/>
    <mergeCell ref="Q568:S568"/>
    <mergeCell ref="U588:W588"/>
    <mergeCell ref="H591:P591"/>
    <mergeCell ref="H587:P587"/>
    <mergeCell ref="AJ583:AL583"/>
    <mergeCell ref="U587:W587"/>
    <mergeCell ref="AJ572:AL572"/>
    <mergeCell ref="F566:P566"/>
    <mergeCell ref="AC568:AE568"/>
    <mergeCell ref="AC572:AE572"/>
    <mergeCell ref="F569:P569"/>
    <mergeCell ref="Q570:S570"/>
    <mergeCell ref="U570:W570"/>
    <mergeCell ref="AC574:AE574"/>
    <mergeCell ref="AJ580:AL580"/>
    <mergeCell ref="Y584:AA584"/>
    <mergeCell ref="AG590:AI590"/>
    <mergeCell ref="AC592:AE592"/>
    <mergeCell ref="U568:W568"/>
    <mergeCell ref="AG565:AI565"/>
    <mergeCell ref="U579:W579"/>
    <mergeCell ref="AC588:AE588"/>
    <mergeCell ref="AG585:AI585"/>
    <mergeCell ref="AG584:AI584"/>
    <mergeCell ref="Y592:AA592"/>
    <mergeCell ref="Y549:AA549"/>
    <mergeCell ref="AC549:AE549"/>
    <mergeCell ref="AG549:AI549"/>
    <mergeCell ref="AJ549:AL549"/>
    <mergeCell ref="Q583:S583"/>
    <mergeCell ref="Q590:S590"/>
    <mergeCell ref="U590:W590"/>
    <mergeCell ref="Y590:AA590"/>
    <mergeCell ref="Q582:S582"/>
    <mergeCell ref="U592:W592"/>
    <mergeCell ref="Q591:S591"/>
    <mergeCell ref="AJ592:AL592"/>
    <mergeCell ref="Q586:S586"/>
    <mergeCell ref="Y591:AA591"/>
    <mergeCell ref="AC566:AE566"/>
    <mergeCell ref="Y589:AA589"/>
    <mergeCell ref="AC552:AE552"/>
    <mergeCell ref="Q552:S552"/>
    <mergeCell ref="AJ577:AL577"/>
    <mergeCell ref="Y570:AA570"/>
    <mergeCell ref="Q573:S573"/>
    <mergeCell ref="Q569:S569"/>
    <mergeCell ref="U569:W569"/>
    <mergeCell ref="AJ566:AL566"/>
    <mergeCell ref="AJ569:AL569"/>
    <mergeCell ref="Q563:S563"/>
    <mergeCell ref="U567:W567"/>
    <mergeCell ref="Y571:AA571"/>
    <mergeCell ref="AJ589:AL589"/>
    <mergeCell ref="Q571:S571"/>
    <mergeCell ref="Y576:AA576"/>
    <mergeCell ref="Y585:AA585"/>
    <mergeCell ref="F553:P553"/>
    <mergeCell ref="F554:P554"/>
    <mergeCell ref="F552:P552"/>
    <mergeCell ref="U556:W556"/>
    <mergeCell ref="Y556:AA556"/>
    <mergeCell ref="AG555:AI555"/>
    <mergeCell ref="AJ555:AL555"/>
    <mergeCell ref="U554:W554"/>
    <mergeCell ref="AG568:AI568"/>
    <mergeCell ref="F564:P564"/>
    <mergeCell ref="AC564:AE564"/>
    <mergeCell ref="AG564:AI564"/>
    <mergeCell ref="F571:P571"/>
    <mergeCell ref="AC562:AE562"/>
    <mergeCell ref="AG562:AI562"/>
    <mergeCell ref="AJ562:AL562"/>
    <mergeCell ref="U571:W571"/>
    <mergeCell ref="AC570:AE570"/>
    <mergeCell ref="AG570:AI570"/>
    <mergeCell ref="Y568:AA568"/>
    <mergeCell ref="Y562:AA562"/>
    <mergeCell ref="F565:P565"/>
    <mergeCell ref="Q565:S565"/>
    <mergeCell ref="U565:W565"/>
    <mergeCell ref="Y565:AA565"/>
    <mergeCell ref="U566:W566"/>
    <mergeCell ref="F558:P558"/>
    <mergeCell ref="F559:P559"/>
    <mergeCell ref="F560:P560"/>
    <mergeCell ref="F561:P561"/>
    <mergeCell ref="F562:P562"/>
    <mergeCell ref="F563:P563"/>
    <mergeCell ref="AG510:AI510"/>
    <mergeCell ref="AC527:AE527"/>
    <mergeCell ref="Y522:AA522"/>
    <mergeCell ref="AC524:AE524"/>
    <mergeCell ref="Q515:S515"/>
    <mergeCell ref="Q528:S528"/>
    <mergeCell ref="U528:W528"/>
    <mergeCell ref="AJ534:AL534"/>
    <mergeCell ref="AJ524:AL524"/>
    <mergeCell ref="Q529:S529"/>
    <mergeCell ref="U529:W529"/>
    <mergeCell ref="AG513:AI513"/>
    <mergeCell ref="AC512:AE512"/>
    <mergeCell ref="Q512:S512"/>
    <mergeCell ref="Q511:S511"/>
    <mergeCell ref="Q507:S507"/>
    <mergeCell ref="AJ510:AL510"/>
    <mergeCell ref="H531:P531"/>
    <mergeCell ref="Y506:AA506"/>
    <mergeCell ref="Y515:AA515"/>
    <mergeCell ref="E526:F536"/>
    <mergeCell ref="H526:P526"/>
    <mergeCell ref="F518:P518"/>
    <mergeCell ref="H533:P533"/>
    <mergeCell ref="Q533:S533"/>
    <mergeCell ref="AG506:AI506"/>
    <mergeCell ref="U518:W518"/>
    <mergeCell ref="Q525:S525"/>
    <mergeCell ref="F519:P519"/>
    <mergeCell ref="AG516:AI516"/>
    <mergeCell ref="AG512:AI512"/>
    <mergeCell ref="Q516:S516"/>
    <mergeCell ref="U516:W516"/>
    <mergeCell ref="Y516:AA516"/>
    <mergeCell ref="U510:W510"/>
    <mergeCell ref="U511:W511"/>
    <mergeCell ref="Q508:S508"/>
    <mergeCell ref="Q514:S514"/>
    <mergeCell ref="U514:W514"/>
    <mergeCell ref="Y514:AA514"/>
    <mergeCell ref="AC514:AE514"/>
    <mergeCell ref="Q523:S523"/>
    <mergeCell ref="Q517:S517"/>
    <mergeCell ref="U517:W517"/>
    <mergeCell ref="Y517:AA517"/>
    <mergeCell ref="U526:W526"/>
    <mergeCell ref="Y526:AA526"/>
    <mergeCell ref="AC526:AE526"/>
    <mergeCell ref="AG526:AI526"/>
    <mergeCell ref="F544:P544"/>
    <mergeCell ref="F546:P546"/>
    <mergeCell ref="F547:P547"/>
    <mergeCell ref="F548:P548"/>
    <mergeCell ref="F517:P517"/>
    <mergeCell ref="F516:P516"/>
    <mergeCell ref="H527:P527"/>
    <mergeCell ref="AC548:AE548"/>
    <mergeCell ref="AG533:AI533"/>
    <mergeCell ref="AG508:AI508"/>
    <mergeCell ref="Y507:AA507"/>
    <mergeCell ref="AC507:AE507"/>
    <mergeCell ref="U533:W533"/>
    <mergeCell ref="Y533:AA533"/>
    <mergeCell ref="AC533:AE533"/>
    <mergeCell ref="Q526:S526"/>
    <mergeCell ref="Y535:AA535"/>
    <mergeCell ref="Q536:S536"/>
    <mergeCell ref="AC530:AE530"/>
    <mergeCell ref="H530:P530"/>
    <mergeCell ref="Q530:S530"/>
    <mergeCell ref="Y527:AA527"/>
    <mergeCell ref="Y518:AA518"/>
    <mergeCell ref="F524:P524"/>
    <mergeCell ref="F522:P522"/>
    <mergeCell ref="H528:P528"/>
    <mergeCell ref="H534:P534"/>
    <mergeCell ref="Q534:S534"/>
    <mergeCell ref="U534:W534"/>
    <mergeCell ref="Y534:AA534"/>
    <mergeCell ref="AC534:AE534"/>
    <mergeCell ref="AC523:AE523"/>
    <mergeCell ref="AJ491:AL491"/>
    <mergeCell ref="AG488:AI488"/>
    <mergeCell ref="AC515:AE515"/>
    <mergeCell ref="AG497:AI497"/>
    <mergeCell ref="AJ499:AL499"/>
    <mergeCell ref="AG503:AI503"/>
    <mergeCell ref="AJ495:AL495"/>
    <mergeCell ref="Y490:AA490"/>
    <mergeCell ref="U497:W497"/>
    <mergeCell ref="Y497:AA497"/>
    <mergeCell ref="U512:W512"/>
    <mergeCell ref="Y512:AA512"/>
    <mergeCell ref="AC503:AE503"/>
    <mergeCell ref="U496:W496"/>
    <mergeCell ref="Y496:AA496"/>
    <mergeCell ref="U491:W491"/>
    <mergeCell ref="Y492:AA492"/>
    <mergeCell ref="AJ504:AL504"/>
    <mergeCell ref="AJ489:AL489"/>
    <mergeCell ref="AJ509:AL509"/>
    <mergeCell ref="AJ512:AL512"/>
    <mergeCell ref="AC511:AE511"/>
    <mergeCell ref="AG511:AI511"/>
    <mergeCell ref="U502:W502"/>
    <mergeCell ref="U494:W494"/>
    <mergeCell ref="AJ511:AL511"/>
    <mergeCell ref="AG491:AI491"/>
    <mergeCell ref="AJ492:AL492"/>
    <mergeCell ref="U508:W508"/>
    <mergeCell ref="AC505:AE505"/>
    <mergeCell ref="U499:W499"/>
    <mergeCell ref="Y488:AA488"/>
    <mergeCell ref="AS494:AV494"/>
    <mergeCell ref="AC493:AE493"/>
    <mergeCell ref="AG493:AI493"/>
    <mergeCell ref="AG489:AI489"/>
    <mergeCell ref="F514:P514"/>
    <mergeCell ref="U515:W515"/>
    <mergeCell ref="Y501:AA501"/>
    <mergeCell ref="AG505:AI505"/>
    <mergeCell ref="AG514:AI514"/>
    <mergeCell ref="Q510:S510"/>
    <mergeCell ref="AJ508:AL508"/>
    <mergeCell ref="AC504:AE504"/>
    <mergeCell ref="F525:P525"/>
    <mergeCell ref="AC517:AE517"/>
    <mergeCell ref="AG519:AI519"/>
    <mergeCell ref="Y510:AA510"/>
    <mergeCell ref="AC510:AE510"/>
    <mergeCell ref="Q519:S519"/>
    <mergeCell ref="AC494:AE494"/>
    <mergeCell ref="Q500:S500"/>
    <mergeCell ref="Q504:S504"/>
    <mergeCell ref="Y499:AA499"/>
    <mergeCell ref="AG517:AI517"/>
    <mergeCell ref="AG504:AI504"/>
    <mergeCell ref="Y505:AA505"/>
    <mergeCell ref="AC518:AE518"/>
    <mergeCell ref="AG509:AI509"/>
    <mergeCell ref="AC490:AE490"/>
    <mergeCell ref="AS506:AV506"/>
    <mergeCell ref="AS505:AV505"/>
    <mergeCell ref="AJ500:AL500"/>
    <mergeCell ref="AJ502:AL502"/>
    <mergeCell ref="Q488:S488"/>
    <mergeCell ref="Q497:S497"/>
    <mergeCell ref="Q513:S513"/>
    <mergeCell ref="AJ503:AL503"/>
    <mergeCell ref="AG496:AI496"/>
    <mergeCell ref="Q498:S498"/>
    <mergeCell ref="AG499:AI499"/>
    <mergeCell ref="U519:W519"/>
    <mergeCell ref="Q522:S522"/>
    <mergeCell ref="U522:W522"/>
    <mergeCell ref="AW427:AZ427"/>
    <mergeCell ref="AW422:AZ422"/>
    <mergeCell ref="AW444:AZ444"/>
    <mergeCell ref="AJ443:AL443"/>
    <mergeCell ref="AM435:AO435"/>
    <mergeCell ref="AS440:AV440"/>
    <mergeCell ref="AS439:AV439"/>
    <mergeCell ref="AP428:AR428"/>
    <mergeCell ref="AP440:AR440"/>
    <mergeCell ref="AM432:AO432"/>
    <mergeCell ref="AS429:AV429"/>
    <mergeCell ref="AW432:AZ432"/>
    <mergeCell ref="AW436:AZ436"/>
    <mergeCell ref="AW441:AZ441"/>
    <mergeCell ref="AW431:AZ431"/>
    <mergeCell ref="AP427:AR427"/>
    <mergeCell ref="AP426:AR426"/>
    <mergeCell ref="AS436:AV436"/>
    <mergeCell ref="AW435:AZ435"/>
    <mergeCell ref="AP423:AR423"/>
    <mergeCell ref="AS432:AV432"/>
    <mergeCell ref="AM444:AO444"/>
    <mergeCell ref="AS444:AV444"/>
    <mergeCell ref="AS441:AV441"/>
    <mergeCell ref="AS443:AV443"/>
    <mergeCell ref="AM425:AO425"/>
    <mergeCell ref="AS431:AV431"/>
    <mergeCell ref="AP432:AR432"/>
    <mergeCell ref="AW439:AZ439"/>
    <mergeCell ref="AW440:AZ440"/>
    <mergeCell ref="AS422:AV422"/>
    <mergeCell ref="AW430:AZ430"/>
    <mergeCell ref="AG395:AI395"/>
    <mergeCell ref="AP394:AR394"/>
    <mergeCell ref="F549:P549"/>
    <mergeCell ref="F523:P523"/>
    <mergeCell ref="AG521:AI521"/>
    <mergeCell ref="AJ518:AL518"/>
    <mergeCell ref="Q480:S480"/>
    <mergeCell ref="U479:W479"/>
    <mergeCell ref="Y479:AA479"/>
    <mergeCell ref="AJ469:AL469"/>
    <mergeCell ref="F471:P471"/>
    <mergeCell ref="Y447:AA447"/>
    <mergeCell ref="U470:W470"/>
    <mergeCell ref="Q476:S476"/>
    <mergeCell ref="Q479:S479"/>
    <mergeCell ref="Q470:S470"/>
    <mergeCell ref="U458:W458"/>
    <mergeCell ref="Y458:AA458"/>
    <mergeCell ref="AC525:AE525"/>
    <mergeCell ref="Y546:AA546"/>
    <mergeCell ref="Q473:S473"/>
    <mergeCell ref="Y478:AA478"/>
    <mergeCell ref="AP442:AR442"/>
    <mergeCell ref="AP439:AR439"/>
    <mergeCell ref="AG442:AI442"/>
    <mergeCell ref="F499:P499"/>
    <mergeCell ref="AC498:AE498"/>
    <mergeCell ref="F545:P545"/>
    <mergeCell ref="AP445:AR445"/>
    <mergeCell ref="U520:W520"/>
    <mergeCell ref="Q393:S393"/>
    <mergeCell ref="U393:W393"/>
    <mergeCell ref="Y393:AA393"/>
    <mergeCell ref="Q457:S457"/>
    <mergeCell ref="U448:W448"/>
    <mergeCell ref="Y476:AA476"/>
    <mergeCell ref="Y473:AA473"/>
    <mergeCell ref="U473:W473"/>
    <mergeCell ref="F467:P467"/>
    <mergeCell ref="F435:P435"/>
    <mergeCell ref="F500:P500"/>
    <mergeCell ref="U504:W504"/>
    <mergeCell ref="F505:P505"/>
    <mergeCell ref="Y523:AA523"/>
    <mergeCell ref="Y529:AA529"/>
    <mergeCell ref="Q474:S474"/>
    <mergeCell ref="AG438:AI438"/>
    <mergeCell ref="Y491:AA491"/>
    <mergeCell ref="AC489:AE489"/>
    <mergeCell ref="AG494:AI494"/>
    <mergeCell ref="AG447:AI447"/>
    <mergeCell ref="U488:W488"/>
    <mergeCell ref="U507:W507"/>
    <mergeCell ref="Y498:AA498"/>
    <mergeCell ref="B466:D537"/>
    <mergeCell ref="Y466:AA466"/>
    <mergeCell ref="H536:P536"/>
    <mergeCell ref="Q483:S483"/>
    <mergeCell ref="AS447:AV447"/>
    <mergeCell ref="AM453:AO453"/>
    <mergeCell ref="AG481:AI481"/>
    <mergeCell ref="AG483:AI483"/>
    <mergeCell ref="AS481:AV481"/>
    <mergeCell ref="AC496:AE496"/>
    <mergeCell ref="AG486:AI486"/>
    <mergeCell ref="AC486:AE486"/>
    <mergeCell ref="AG482:AI482"/>
    <mergeCell ref="AG484:AI484"/>
    <mergeCell ref="AJ493:AL493"/>
    <mergeCell ref="AC485:AE485"/>
    <mergeCell ref="AM486:AO486"/>
    <mergeCell ref="AP485:AR485"/>
    <mergeCell ref="AJ490:AL490"/>
    <mergeCell ref="F520:P520"/>
    <mergeCell ref="F511:P511"/>
    <mergeCell ref="F510:P510"/>
    <mergeCell ref="U509:W509"/>
    <mergeCell ref="Y509:AA509"/>
    <mergeCell ref="AC509:AE509"/>
    <mergeCell ref="AG454:AI454"/>
    <mergeCell ref="AC481:AE481"/>
    <mergeCell ref="AG507:AI507"/>
    <mergeCell ref="AG529:AI529"/>
    <mergeCell ref="AJ529:AL529"/>
    <mergeCell ref="AG523:AI523"/>
    <mergeCell ref="AG515:AI515"/>
    <mergeCell ref="B543:D597"/>
    <mergeCell ref="Q543:S543"/>
    <mergeCell ref="Q501:S501"/>
    <mergeCell ref="Q496:S496"/>
    <mergeCell ref="Q489:S489"/>
    <mergeCell ref="U501:W501"/>
    <mergeCell ref="Q499:S499"/>
    <mergeCell ref="Y500:AA500"/>
    <mergeCell ref="AC500:AE500"/>
    <mergeCell ref="U543:W543"/>
    <mergeCell ref="Y543:AA543"/>
    <mergeCell ref="B376:D460"/>
    <mergeCell ref="H535:P535"/>
    <mergeCell ref="Q544:S544"/>
    <mergeCell ref="U476:W476"/>
    <mergeCell ref="F551:P551"/>
    <mergeCell ref="Q557:S557"/>
    <mergeCell ref="U557:W557"/>
    <mergeCell ref="F543:P543"/>
    <mergeCell ref="AC545:AE545"/>
    <mergeCell ref="F586:P586"/>
    <mergeCell ref="U585:W585"/>
    <mergeCell ref="U581:W581"/>
    <mergeCell ref="Q506:S506"/>
    <mergeCell ref="Y511:AA511"/>
    <mergeCell ref="AC506:AE506"/>
    <mergeCell ref="Q524:S524"/>
    <mergeCell ref="U524:W524"/>
    <mergeCell ref="Y524:AA524"/>
    <mergeCell ref="U531:W531"/>
    <mergeCell ref="Y508:AA508"/>
    <mergeCell ref="AC508:AE508"/>
    <mergeCell ref="AG470:AI470"/>
    <mergeCell ref="AJ466:AL466"/>
    <mergeCell ref="AJ454:AL454"/>
    <mergeCell ref="U474:W474"/>
    <mergeCell ref="Y474:AA474"/>
    <mergeCell ref="Y446:AA446"/>
    <mergeCell ref="AJ447:AL447"/>
    <mergeCell ref="AM451:AO451"/>
    <mergeCell ref="AM426:AO426"/>
    <mergeCell ref="AM450:AO450"/>
    <mergeCell ref="AG401:AI401"/>
    <mergeCell ref="AC396:AE396"/>
    <mergeCell ref="AM411:AO411"/>
    <mergeCell ref="AM410:AO410"/>
    <mergeCell ref="AM415:AO415"/>
    <mergeCell ref="AC455:AE455"/>
    <mergeCell ref="AG453:AI453"/>
    <mergeCell ref="AM470:AO470"/>
    <mergeCell ref="AG457:AI457"/>
    <mergeCell ref="AG412:AI412"/>
    <mergeCell ref="AG410:AI410"/>
    <mergeCell ref="AJ432:AL432"/>
    <mergeCell ref="AM409:AO409"/>
    <mergeCell ref="AG396:AI396"/>
    <mergeCell ref="U410:W410"/>
    <mergeCell ref="Y428:AA428"/>
    <mergeCell ref="AJ406:AL406"/>
    <mergeCell ref="AJ401:AL401"/>
    <mergeCell ref="AC401:AE401"/>
    <mergeCell ref="AC441:AE441"/>
    <mergeCell ref="AM447:AO447"/>
    <mergeCell ref="AJ428:AL428"/>
    <mergeCell ref="U355:W355"/>
    <mergeCell ref="U446:W446"/>
    <mergeCell ref="AM393:AO393"/>
    <mergeCell ref="Y472:AA472"/>
    <mergeCell ref="AC473:AE473"/>
    <mergeCell ref="AW351:AZ351"/>
    <mergeCell ref="AM349:AO349"/>
    <mergeCell ref="Y359:AA359"/>
    <mergeCell ref="AG354:AI354"/>
    <mergeCell ref="AJ358:AL358"/>
    <mergeCell ref="AM358:AO358"/>
    <mergeCell ref="AM347:AO347"/>
    <mergeCell ref="AJ349:AL349"/>
    <mergeCell ref="Y348:AA348"/>
    <mergeCell ref="AC352:AE352"/>
    <mergeCell ref="AC351:AE351"/>
    <mergeCell ref="AP357:AR357"/>
    <mergeCell ref="AC350:AE350"/>
    <mergeCell ref="AS416:AV416"/>
    <mergeCell ref="AC409:AE409"/>
    <mergeCell ref="AS410:AV410"/>
    <mergeCell ref="U406:W406"/>
    <mergeCell ref="AS351:AV351"/>
    <mergeCell ref="AW353:AZ353"/>
    <mergeCell ref="AS353:AV353"/>
    <mergeCell ref="AS370:AV370"/>
    <mergeCell ref="AS361:AV361"/>
    <mergeCell ref="AS349:AV349"/>
    <mergeCell ref="AS369:AV369"/>
    <mergeCell ref="Y457:AA457"/>
    <mergeCell ref="AC457:AE457"/>
    <mergeCell ref="AS358:AV358"/>
    <mergeCell ref="AC348:AE348"/>
    <mergeCell ref="AG349:AI349"/>
    <mergeCell ref="Y352:AA352"/>
    <mergeCell ref="AG358:AI358"/>
    <mergeCell ref="AM355:AO355"/>
    <mergeCell ref="AG357:AI357"/>
    <mergeCell ref="AM354:AO354"/>
    <mergeCell ref="AC354:AE354"/>
    <mergeCell ref="AJ345:AL345"/>
    <mergeCell ref="AJ344:AL344"/>
    <mergeCell ref="AP351:AR351"/>
    <mergeCell ref="AP348:AR348"/>
    <mergeCell ref="Y358:AA358"/>
    <mergeCell ref="AJ350:AL350"/>
    <mergeCell ref="AC358:AE358"/>
    <mergeCell ref="Y353:AA353"/>
    <mergeCell ref="AG355:AI355"/>
    <mergeCell ref="AC355:AE355"/>
    <mergeCell ref="Y351:AA351"/>
    <mergeCell ref="Y355:AA355"/>
    <mergeCell ref="AM350:AO350"/>
    <mergeCell ref="AG350:AI350"/>
    <mergeCell ref="AC448:AE448"/>
    <mergeCell ref="AW344:AZ344"/>
    <mergeCell ref="AM345:AO345"/>
    <mergeCell ref="AM348:AO348"/>
    <mergeCell ref="AW378:AZ378"/>
    <mergeCell ref="AW395:AZ395"/>
    <mergeCell ref="AW379:AZ379"/>
    <mergeCell ref="AW352:AZ352"/>
    <mergeCell ref="AW347:AZ347"/>
    <mergeCell ref="Y448:AA448"/>
    <mergeCell ref="AJ448:AL448"/>
    <mergeCell ref="AJ421:AL421"/>
    <mergeCell ref="Y349:AA349"/>
    <mergeCell ref="AG381:AI381"/>
    <mergeCell ref="Y444:AA444"/>
    <mergeCell ref="AJ425:AL425"/>
    <mergeCell ref="Y409:AA409"/>
    <mergeCell ref="AW345:AZ345"/>
    <mergeCell ref="AJ347:AL347"/>
    <mergeCell ref="AG345:AI345"/>
    <mergeCell ref="AG369:AI369"/>
    <mergeCell ref="AC445:AE445"/>
    <mergeCell ref="AP344:AR344"/>
    <mergeCell ref="AJ351:AL351"/>
    <mergeCell ref="AW365:AZ365"/>
    <mergeCell ref="AS360:AV360"/>
    <mergeCell ref="AS356:AV356"/>
    <mergeCell ref="AS359:AV359"/>
    <mergeCell ref="AW361:AZ361"/>
    <mergeCell ref="AJ359:AL359"/>
    <mergeCell ref="AP352:AR352"/>
    <mergeCell ref="AC345:AE345"/>
    <mergeCell ref="Q353:S353"/>
    <mergeCell ref="Q356:S356"/>
    <mergeCell ref="Q347:S347"/>
    <mergeCell ref="Q351:S351"/>
    <mergeCell ref="U417:W417"/>
    <mergeCell ref="Y434:AA434"/>
    <mergeCell ref="Y427:AA427"/>
    <mergeCell ref="AC359:AE359"/>
    <mergeCell ref="Q430:S430"/>
    <mergeCell ref="Q379:S379"/>
    <mergeCell ref="Q431:S431"/>
    <mergeCell ref="U354:W354"/>
    <mergeCell ref="Y354:AA354"/>
    <mergeCell ref="Y445:AA445"/>
    <mergeCell ref="U443:W443"/>
    <mergeCell ref="AC440:AE440"/>
    <mergeCell ref="Y440:AA440"/>
    <mergeCell ref="U418:W418"/>
    <mergeCell ref="U419:W419"/>
    <mergeCell ref="Q435:S435"/>
    <mergeCell ref="U425:W425"/>
    <mergeCell ref="Q408:S408"/>
    <mergeCell ref="Q357:S357"/>
    <mergeCell ref="U360:W360"/>
    <mergeCell ref="U353:W353"/>
    <mergeCell ref="U351:W351"/>
    <mergeCell ref="AC347:AE347"/>
    <mergeCell ref="U356:W356"/>
    <mergeCell ref="U431:W431"/>
    <mergeCell ref="U430:W430"/>
    <mergeCell ref="Q352:S352"/>
    <mergeCell ref="Y356:AA356"/>
    <mergeCell ref="U401:W401"/>
    <mergeCell ref="AJ400:AL400"/>
    <mergeCell ref="AJ391:AL391"/>
    <mergeCell ref="AS383:AV383"/>
    <mergeCell ref="AS389:AV389"/>
    <mergeCell ref="AS388:AV388"/>
    <mergeCell ref="AS386:AV386"/>
    <mergeCell ref="AS387:AV387"/>
    <mergeCell ref="AS395:AV395"/>
    <mergeCell ref="AG339:AI339"/>
    <mergeCell ref="AG341:AI341"/>
    <mergeCell ref="AS340:AV340"/>
    <mergeCell ref="AM340:AO340"/>
    <mergeCell ref="AG352:AI352"/>
    <mergeCell ref="AS342:AV342"/>
    <mergeCell ref="AC379:AE379"/>
    <mergeCell ref="AC385:AE385"/>
    <mergeCell ref="U377:W377"/>
    <mergeCell ref="AC382:AE382"/>
    <mergeCell ref="AJ399:AL399"/>
    <mergeCell ref="AJ352:AL352"/>
    <mergeCell ref="AJ341:AL341"/>
    <mergeCell ref="U344:W344"/>
    <mergeCell ref="Y350:AA350"/>
    <mergeCell ref="U347:W347"/>
    <mergeCell ref="AM343:AO343"/>
    <mergeCell ref="AP353:AR353"/>
    <mergeCell ref="AG356:AI356"/>
    <mergeCell ref="AC343:AE343"/>
    <mergeCell ref="AG351:AI351"/>
    <mergeCell ref="AP355:AR355"/>
    <mergeCell ref="AJ348:AL348"/>
    <mergeCell ref="AW343:AZ343"/>
    <mergeCell ref="AG328:AI328"/>
    <mergeCell ref="AM330:AO330"/>
    <mergeCell ref="AJ334:AL334"/>
    <mergeCell ref="AM334:AO334"/>
    <mergeCell ref="AJ332:AL332"/>
    <mergeCell ref="AW335:AZ335"/>
    <mergeCell ref="AW336:AZ336"/>
    <mergeCell ref="AP336:AR336"/>
    <mergeCell ref="AP343:AR343"/>
    <mergeCell ref="AM344:AO344"/>
    <mergeCell ref="Y339:AA339"/>
    <mergeCell ref="U343:W343"/>
    <mergeCell ref="U341:W341"/>
    <mergeCell ref="Y341:AA341"/>
    <mergeCell ref="Q343:S343"/>
    <mergeCell ref="AG338:AI338"/>
    <mergeCell ref="AM338:AO338"/>
    <mergeCell ref="AJ331:AL331"/>
    <mergeCell ref="AW331:AZ331"/>
    <mergeCell ref="AS341:AV341"/>
    <mergeCell ref="AP340:AR340"/>
    <mergeCell ref="AM342:AO342"/>
    <mergeCell ref="AM341:AO341"/>
    <mergeCell ref="U340:W340"/>
    <mergeCell ref="U334:W334"/>
    <mergeCell ref="Y334:AA334"/>
    <mergeCell ref="AC339:AE339"/>
    <mergeCell ref="AC334:AE334"/>
    <mergeCell ref="Y331:AA331"/>
    <mergeCell ref="AC331:AE331"/>
    <mergeCell ref="AP333:AR333"/>
    <mergeCell ref="AP342:AR342"/>
    <mergeCell ref="AG330:AI330"/>
    <mergeCell ref="AW339:AZ339"/>
    <mergeCell ref="AS336:AV336"/>
    <mergeCell ref="AJ333:AL333"/>
    <mergeCell ref="AJ329:AL329"/>
    <mergeCell ref="AG329:AI329"/>
    <mergeCell ref="AJ339:AL339"/>
    <mergeCell ref="AS339:AV339"/>
    <mergeCell ref="AM331:AO331"/>
    <mergeCell ref="AM337:AO337"/>
    <mergeCell ref="AJ330:AL330"/>
    <mergeCell ref="AW328:AZ328"/>
    <mergeCell ref="AS332:AV332"/>
    <mergeCell ref="AW340:AZ340"/>
    <mergeCell ref="AW341:AZ341"/>
    <mergeCell ref="AP335:AR335"/>
    <mergeCell ref="AS335:AV335"/>
    <mergeCell ref="AS333:AV333"/>
    <mergeCell ref="AG331:AI331"/>
    <mergeCell ref="AJ335:AL335"/>
    <mergeCell ref="AM328:AO328"/>
    <mergeCell ref="AG332:AI332"/>
    <mergeCell ref="AG342:AI342"/>
    <mergeCell ref="AJ342:AL342"/>
    <mergeCell ref="AG335:AI335"/>
    <mergeCell ref="AJ340:AL340"/>
    <mergeCell ref="AP339:AR339"/>
    <mergeCell ref="AM339:AO339"/>
    <mergeCell ref="AP337:AR337"/>
    <mergeCell ref="AW327:AZ327"/>
    <mergeCell ref="AP316:AR316"/>
    <mergeCell ref="AW334:AZ334"/>
    <mergeCell ref="AS325:AV325"/>
    <mergeCell ref="AS330:AV330"/>
    <mergeCell ref="AS329:AV329"/>
    <mergeCell ref="AM329:AO329"/>
    <mergeCell ref="AM332:AO332"/>
    <mergeCell ref="AW325:AZ325"/>
    <mergeCell ref="AM326:AO326"/>
    <mergeCell ref="AW332:AZ332"/>
    <mergeCell ref="AM333:AO333"/>
    <mergeCell ref="AJ327:AL327"/>
    <mergeCell ref="AW324:AZ324"/>
    <mergeCell ref="AM323:AO323"/>
    <mergeCell ref="AS334:AV334"/>
    <mergeCell ref="AS317:AV317"/>
    <mergeCell ref="AS318:AV318"/>
    <mergeCell ref="AS327:AV327"/>
    <mergeCell ref="AS331:AV331"/>
    <mergeCell ref="AS328:AV328"/>
    <mergeCell ref="AP331:AR331"/>
    <mergeCell ref="AS316:AV316"/>
    <mergeCell ref="AW320:AZ320"/>
    <mergeCell ref="AS320:AV320"/>
    <mergeCell ref="AW321:AZ321"/>
    <mergeCell ref="AP320:AR320"/>
    <mergeCell ref="AP321:AR321"/>
    <mergeCell ref="AP328:AR328"/>
    <mergeCell ref="AS321:AV321"/>
    <mergeCell ref="AM327:AO327"/>
    <mergeCell ref="AM319:AO319"/>
    <mergeCell ref="AW319:AZ319"/>
    <mergeCell ref="AS314:AV314"/>
    <mergeCell ref="AW318:AZ318"/>
    <mergeCell ref="AG313:AI313"/>
    <mergeCell ref="AS311:AV311"/>
    <mergeCell ref="AJ321:AL321"/>
    <mergeCell ref="AS323:AV323"/>
    <mergeCell ref="AM322:AO322"/>
    <mergeCell ref="AG317:AI317"/>
    <mergeCell ref="AM314:AO314"/>
    <mergeCell ref="AW317:AZ317"/>
    <mergeCell ref="AS319:AV319"/>
    <mergeCell ref="AP323:AR323"/>
    <mergeCell ref="AW316:AZ316"/>
    <mergeCell ref="AS315:AV315"/>
    <mergeCell ref="AG320:AI320"/>
    <mergeCell ref="AJ319:AL319"/>
    <mergeCell ref="AJ320:AL320"/>
    <mergeCell ref="AS313:AV313"/>
    <mergeCell ref="AG312:AI312"/>
    <mergeCell ref="AJ315:AL315"/>
    <mergeCell ref="AM312:AO312"/>
    <mergeCell ref="AP319:AR319"/>
    <mergeCell ref="AM318:AO318"/>
    <mergeCell ref="AW313:AZ313"/>
    <mergeCell ref="AW312:AZ312"/>
    <mergeCell ref="AW314:AZ314"/>
    <mergeCell ref="AW311:AZ311"/>
    <mergeCell ref="AP317:AR317"/>
    <mergeCell ref="AJ317:AL317"/>
    <mergeCell ref="AM313:AO313"/>
    <mergeCell ref="AJ318:AL318"/>
    <mergeCell ref="AS295:AV295"/>
    <mergeCell ref="AS296:AV296"/>
    <mergeCell ref="Y301:AA301"/>
    <mergeCell ref="AS297:AV297"/>
    <mergeCell ref="AP301:AR301"/>
    <mergeCell ref="AS298:AV298"/>
    <mergeCell ref="AP296:AR296"/>
    <mergeCell ref="AM302:AO302"/>
    <mergeCell ref="AC313:AE313"/>
    <mergeCell ref="AC314:AE314"/>
    <mergeCell ref="AC310:AE310"/>
    <mergeCell ref="AP311:AR311"/>
    <mergeCell ref="AS301:AV301"/>
    <mergeCell ref="AP299:AR299"/>
    <mergeCell ref="AS299:AV299"/>
    <mergeCell ref="AG302:AI302"/>
    <mergeCell ref="Y297:AA297"/>
    <mergeCell ref="AS303:AV303"/>
    <mergeCell ref="AC302:AE302"/>
    <mergeCell ref="AS300:AV300"/>
    <mergeCell ref="AM301:AO301"/>
    <mergeCell ref="AJ302:AL302"/>
    <mergeCell ref="AJ301:AL301"/>
    <mergeCell ref="AM298:AO298"/>
    <mergeCell ref="AM295:AO295"/>
    <mergeCell ref="AJ295:AL295"/>
    <mergeCell ref="AG301:AI301"/>
    <mergeCell ref="U302:W302"/>
    <mergeCell ref="Y303:AA303"/>
    <mergeCell ref="AJ297:AL297"/>
    <mergeCell ref="AJ296:AL296"/>
    <mergeCell ref="AM296:AO296"/>
    <mergeCell ref="U296:W296"/>
    <mergeCell ref="U297:W297"/>
    <mergeCell ref="Y302:AA302"/>
    <mergeCell ref="U301:W301"/>
    <mergeCell ref="U299:W299"/>
    <mergeCell ref="AM303:AO303"/>
    <mergeCell ref="AJ303:AL303"/>
    <mergeCell ref="AG303:AI303"/>
    <mergeCell ref="AC303:AE303"/>
    <mergeCell ref="Y296:AA296"/>
    <mergeCell ref="AG298:AI298"/>
    <mergeCell ref="AC294:AE294"/>
    <mergeCell ref="AC297:AE297"/>
    <mergeCell ref="AC298:AE298"/>
    <mergeCell ref="AC296:AE296"/>
    <mergeCell ref="Y295:AA295"/>
    <mergeCell ref="AP285:AR285"/>
    <mergeCell ref="AP271:AR271"/>
    <mergeCell ref="AP298:AR298"/>
    <mergeCell ref="F267:P267"/>
    <mergeCell ref="AJ273:AR273"/>
    <mergeCell ref="U280:W280"/>
    <mergeCell ref="F292:P292"/>
    <mergeCell ref="F295:P295"/>
    <mergeCell ref="F294:P294"/>
    <mergeCell ref="U292:W292"/>
    <mergeCell ref="Q284:S284"/>
    <mergeCell ref="Q286:S286"/>
    <mergeCell ref="Y286:AA286"/>
    <mergeCell ref="Y292:AA292"/>
    <mergeCell ref="Y280:AA280"/>
    <mergeCell ref="F287:P287"/>
    <mergeCell ref="Q291:S291"/>
    <mergeCell ref="Q285:S285"/>
    <mergeCell ref="Q288:S288"/>
    <mergeCell ref="U288:W288"/>
    <mergeCell ref="Y288:AA288"/>
    <mergeCell ref="Q292:S292"/>
    <mergeCell ref="U291:W291"/>
    <mergeCell ref="AM290:AO290"/>
    <mergeCell ref="AP291:AR291"/>
    <mergeCell ref="AM294:AO294"/>
    <mergeCell ref="AM297:AO297"/>
    <mergeCell ref="Q297:S297"/>
    <mergeCell ref="F286:P286"/>
    <mergeCell ref="U266:W266"/>
    <mergeCell ref="F251:P251"/>
    <mergeCell ref="Q251:S251"/>
    <mergeCell ref="U251:W251"/>
    <mergeCell ref="Y284:AA284"/>
    <mergeCell ref="Y281:AA281"/>
    <mergeCell ref="Q280:S280"/>
    <mergeCell ref="AM286:AO286"/>
    <mergeCell ref="F255:P255"/>
    <mergeCell ref="F261:P261"/>
    <mergeCell ref="Q272:S272"/>
    <mergeCell ref="Y266:AA266"/>
    <mergeCell ref="Q271:S271"/>
    <mergeCell ref="F263:P263"/>
    <mergeCell ref="AG256:AI256"/>
    <mergeCell ref="AC255:AE255"/>
    <mergeCell ref="AC261:AE261"/>
    <mergeCell ref="F254:P254"/>
    <mergeCell ref="AC283:AE283"/>
    <mergeCell ref="Q270:S270"/>
    <mergeCell ref="U261:W261"/>
    <mergeCell ref="Y261:AA261"/>
    <mergeCell ref="Q254:S254"/>
    <mergeCell ref="Q283:S283"/>
    <mergeCell ref="AJ269:AL269"/>
    <mergeCell ref="AJ270:AL270"/>
    <mergeCell ref="AM280:AO280"/>
    <mergeCell ref="AJ256:AL256"/>
    <mergeCell ref="AM257:AO257"/>
    <mergeCell ref="AG282:AI282"/>
    <mergeCell ref="Y285:AA285"/>
    <mergeCell ref="F282:P282"/>
    <mergeCell ref="F280:P280"/>
    <mergeCell ref="F281:P281"/>
    <mergeCell ref="AC281:AE281"/>
    <mergeCell ref="U270:W270"/>
    <mergeCell ref="AC270:AE270"/>
    <mergeCell ref="F242:P242"/>
    <mergeCell ref="F283:P283"/>
    <mergeCell ref="Q242:S242"/>
    <mergeCell ref="F284:P284"/>
    <mergeCell ref="Q243:S243"/>
    <mergeCell ref="F279:P279"/>
    <mergeCell ref="Y272:AA272"/>
    <mergeCell ref="U281:W281"/>
    <mergeCell ref="Q282:S282"/>
    <mergeCell ref="F271:P271"/>
    <mergeCell ref="F272:P272"/>
    <mergeCell ref="AC251:AE251"/>
    <mergeCell ref="Q258:S258"/>
    <mergeCell ref="U258:W258"/>
    <mergeCell ref="Y258:AA258"/>
    <mergeCell ref="U283:W283"/>
    <mergeCell ref="Y283:AA283"/>
    <mergeCell ref="U284:W284"/>
    <mergeCell ref="AC243:AE243"/>
    <mergeCell ref="AC284:AE284"/>
    <mergeCell ref="AC258:AE258"/>
    <mergeCell ref="U272:W272"/>
    <mergeCell ref="Y265:AA265"/>
    <mergeCell ref="U269:W269"/>
    <mergeCell ref="AC271:AE271"/>
    <mergeCell ref="Y256:AA256"/>
    <mergeCell ref="AG257:AI257"/>
    <mergeCell ref="Y267:AA267"/>
    <mergeCell ref="Y252:AA252"/>
    <mergeCell ref="AC269:AE269"/>
    <mergeCell ref="AG272:AI272"/>
    <mergeCell ref="Y254:AA254"/>
    <mergeCell ref="AC267:AE267"/>
    <mergeCell ref="AM292:AO292"/>
    <mergeCell ref="AC256:AE256"/>
    <mergeCell ref="Y257:AA257"/>
    <mergeCell ref="Q253:S253"/>
    <mergeCell ref="AC253:AE253"/>
    <mergeCell ref="U282:W282"/>
    <mergeCell ref="AG283:AI283"/>
    <mergeCell ref="Y287:AA287"/>
    <mergeCell ref="AG284:AI284"/>
    <mergeCell ref="AM282:AO282"/>
    <mergeCell ref="F241:P241"/>
    <mergeCell ref="F252:P252"/>
    <mergeCell ref="F256:P256"/>
    <mergeCell ref="F258:P258"/>
    <mergeCell ref="AC265:AE265"/>
    <mergeCell ref="Q265:S265"/>
    <mergeCell ref="F237:P237"/>
    <mergeCell ref="F239:P239"/>
    <mergeCell ref="AC241:AE241"/>
    <mergeCell ref="Q241:S241"/>
    <mergeCell ref="AG251:AI251"/>
    <mergeCell ref="AC240:AE240"/>
    <mergeCell ref="Y251:AA251"/>
    <mergeCell ref="U241:W241"/>
    <mergeCell ref="U264:W264"/>
    <mergeCell ref="Y264:AA264"/>
    <mergeCell ref="Y262:AA262"/>
    <mergeCell ref="Y259:AA259"/>
    <mergeCell ref="AC259:AE259"/>
    <mergeCell ref="AC254:AE254"/>
    <mergeCell ref="Y253:AA253"/>
    <mergeCell ref="U252:W252"/>
    <mergeCell ref="U260:W260"/>
    <mergeCell ref="Y260:AA260"/>
    <mergeCell ref="Q255:S255"/>
    <mergeCell ref="Q257:S257"/>
    <mergeCell ref="Q259:S259"/>
    <mergeCell ref="U262:W262"/>
    <mergeCell ref="F250:P250"/>
    <mergeCell ref="Q250:S250"/>
    <mergeCell ref="F264:P264"/>
    <mergeCell ref="AG261:AI261"/>
    <mergeCell ref="B279:D304"/>
    <mergeCell ref="F290:P290"/>
    <mergeCell ref="F291:P291"/>
    <mergeCell ref="Y289:AA289"/>
    <mergeCell ref="F285:P285"/>
    <mergeCell ref="Y293:AA293"/>
    <mergeCell ref="Q279:S279"/>
    <mergeCell ref="F288:P288"/>
    <mergeCell ref="Q281:S281"/>
    <mergeCell ref="B250:D273"/>
    <mergeCell ref="Y268:AA268"/>
    <mergeCell ref="Q266:S266"/>
    <mergeCell ref="F293:P293"/>
    <mergeCell ref="Q289:S289"/>
    <mergeCell ref="U289:W289"/>
    <mergeCell ref="U265:W265"/>
    <mergeCell ref="Y263:AA263"/>
    <mergeCell ref="F259:P259"/>
    <mergeCell ref="F270:P270"/>
    <mergeCell ref="F262:P262"/>
    <mergeCell ref="U254:W254"/>
    <mergeCell ref="U253:W253"/>
    <mergeCell ref="U255:W255"/>
    <mergeCell ref="Y255:AA255"/>
    <mergeCell ref="U268:W268"/>
    <mergeCell ref="Q264:S264"/>
    <mergeCell ref="Q261:S261"/>
    <mergeCell ref="F257:P257"/>
    <mergeCell ref="U263:W263"/>
    <mergeCell ref="U259:W259"/>
    <mergeCell ref="U256:W256"/>
    <mergeCell ref="Q269:S269"/>
    <mergeCell ref="AC282:AE282"/>
    <mergeCell ref="AC280:AE280"/>
    <mergeCell ref="AC279:AE279"/>
    <mergeCell ref="AC262:AE262"/>
    <mergeCell ref="AG279:AI279"/>
    <mergeCell ref="AJ279:AL279"/>
    <mergeCell ref="Y270:AA270"/>
    <mergeCell ref="Q268:S268"/>
    <mergeCell ref="AW264:AZ264"/>
    <mergeCell ref="AS264:AV264"/>
    <mergeCell ref="AW268:AZ268"/>
    <mergeCell ref="F266:P266"/>
    <mergeCell ref="AC264:AE264"/>
    <mergeCell ref="AG269:AI269"/>
    <mergeCell ref="AG267:AI267"/>
    <mergeCell ref="AJ281:AL281"/>
    <mergeCell ref="AG266:AI266"/>
    <mergeCell ref="AC272:AE272"/>
    <mergeCell ref="AS265:AV265"/>
    <mergeCell ref="AG271:AI271"/>
    <mergeCell ref="AG270:AI270"/>
    <mergeCell ref="AW270:AZ270"/>
    <mergeCell ref="AW263:AZ263"/>
    <mergeCell ref="AM265:AO265"/>
    <mergeCell ref="AJ267:AL267"/>
    <mergeCell ref="AG281:AI281"/>
    <mergeCell ref="U271:W271"/>
    <mergeCell ref="AC263:AE263"/>
    <mergeCell ref="AC268:AE268"/>
    <mergeCell ref="F268:P268"/>
    <mergeCell ref="AG262:AI262"/>
    <mergeCell ref="Q263:S263"/>
    <mergeCell ref="Y282:AA282"/>
    <mergeCell ref="U279:W279"/>
    <mergeCell ref="Y279:AA279"/>
    <mergeCell ref="AG264:AI264"/>
    <mergeCell ref="AG263:AI263"/>
    <mergeCell ref="AG260:AI260"/>
    <mergeCell ref="AG268:AI268"/>
    <mergeCell ref="U257:W257"/>
    <mergeCell ref="AJ283:AL283"/>
    <mergeCell ref="AM283:AO283"/>
    <mergeCell ref="AW280:AZ280"/>
    <mergeCell ref="AM261:AO261"/>
    <mergeCell ref="AW266:AZ266"/>
    <mergeCell ref="AP266:AR266"/>
    <mergeCell ref="AM266:AO266"/>
    <mergeCell ref="AW267:AZ267"/>
    <mergeCell ref="AS267:AV267"/>
    <mergeCell ref="AJ266:AL266"/>
    <mergeCell ref="AM269:AO269"/>
    <mergeCell ref="AJ265:AL265"/>
    <mergeCell ref="AM267:AO267"/>
    <mergeCell ref="AS270:AV270"/>
    <mergeCell ref="AW271:AZ271"/>
    <mergeCell ref="AW265:AZ265"/>
    <mergeCell ref="AM270:AO270"/>
    <mergeCell ref="AP262:AR262"/>
    <mergeCell ref="AJ271:AL271"/>
    <mergeCell ref="AS269:AV269"/>
    <mergeCell ref="AM281:AO281"/>
    <mergeCell ref="AM272:AO272"/>
    <mergeCell ref="AP259:AR259"/>
    <mergeCell ref="AJ264:AL264"/>
    <mergeCell ref="AP284:AR284"/>
    <mergeCell ref="AP265:AR265"/>
    <mergeCell ref="AW252:AZ252"/>
    <mergeCell ref="AS253:AV253"/>
    <mergeCell ref="AW253:AZ253"/>
    <mergeCell ref="AW254:AZ254"/>
    <mergeCell ref="AS254:AV254"/>
    <mergeCell ref="AW259:AZ259"/>
    <mergeCell ref="AP257:AR257"/>
    <mergeCell ref="AW260:AZ260"/>
    <mergeCell ref="AS263:AV263"/>
    <mergeCell ref="AG259:AI259"/>
    <mergeCell ref="AM268:AO268"/>
    <mergeCell ref="AS268:AV268"/>
    <mergeCell ref="AP268:AR268"/>
    <mergeCell ref="AM264:AO264"/>
    <mergeCell ref="AG265:AI265"/>
    <mergeCell ref="AW269:AZ269"/>
    <mergeCell ref="AW256:AZ256"/>
    <mergeCell ref="AW258:AZ258"/>
    <mergeCell ref="AS261:AV261"/>
    <mergeCell ref="AJ263:AL263"/>
    <mergeCell ref="AS266:AV266"/>
    <mergeCell ref="AW255:AZ255"/>
    <mergeCell ref="AS255:AV255"/>
    <mergeCell ref="AS262:AV262"/>
    <mergeCell ref="AP263:AR263"/>
    <mergeCell ref="AP258:AR258"/>
    <mergeCell ref="AW261:AZ261"/>
    <mergeCell ref="AP281:AR281"/>
    <mergeCell ref="AS256:AV256"/>
    <mergeCell ref="AJ268:AL268"/>
    <mergeCell ref="AW232:AZ232"/>
    <mergeCell ref="AW230:AZ230"/>
    <mergeCell ref="AG238:AI238"/>
    <mergeCell ref="AW224:AZ224"/>
    <mergeCell ref="AG213:AI213"/>
    <mergeCell ref="AW209:AZ209"/>
    <mergeCell ref="AW212:AZ212"/>
    <mergeCell ref="AJ210:AL210"/>
    <mergeCell ref="AG212:AI212"/>
    <mergeCell ref="AW250:AZ250"/>
    <mergeCell ref="AM254:AO254"/>
    <mergeCell ref="AM253:AO253"/>
    <mergeCell ref="AJ252:AL252"/>
    <mergeCell ref="AJ253:AL253"/>
    <mergeCell ref="AM252:AO252"/>
    <mergeCell ref="AP234:AR234"/>
    <mergeCell ref="AS234:AV234"/>
    <mergeCell ref="AW234:AZ234"/>
    <mergeCell ref="AS233:AV233"/>
    <mergeCell ref="AW233:AZ233"/>
    <mergeCell ref="AS240:AV240"/>
    <mergeCell ref="AW235:AZ235"/>
    <mergeCell ref="AS252:AV252"/>
    <mergeCell ref="AW251:AZ251"/>
    <mergeCell ref="AP253:AR253"/>
    <mergeCell ref="AP252:AR252"/>
    <mergeCell ref="AW249:AZ249"/>
    <mergeCell ref="AM221:AO221"/>
    <mergeCell ref="AS235:AV235"/>
    <mergeCell ref="AJ233:AL233"/>
    <mergeCell ref="AW238:AZ238"/>
    <mergeCell ref="AM226:AO226"/>
    <mergeCell ref="AG250:AI250"/>
    <mergeCell ref="AS230:AV230"/>
    <mergeCell ref="AM236:AO236"/>
    <mergeCell ref="AP236:AR236"/>
    <mergeCell ref="AS236:AV236"/>
    <mergeCell ref="AM232:AO232"/>
    <mergeCell ref="AM237:AO237"/>
    <mergeCell ref="AJ237:AL237"/>
    <mergeCell ref="AS231:AV231"/>
    <mergeCell ref="AW237:AZ237"/>
    <mergeCell ref="AW239:AZ239"/>
    <mergeCell ref="AW240:AZ240"/>
    <mergeCell ref="AS242:AV242"/>
    <mergeCell ref="AJ241:AL241"/>
    <mergeCell ref="AP241:AR241"/>
    <mergeCell ref="AM231:AO231"/>
    <mergeCell ref="AJ250:AL250"/>
    <mergeCell ref="AS250:AV250"/>
    <mergeCell ref="AP231:AR231"/>
    <mergeCell ref="AP233:AR233"/>
    <mergeCell ref="AW243:AZ243"/>
    <mergeCell ref="AS243:AV243"/>
    <mergeCell ref="AS244:AV244"/>
    <mergeCell ref="AW244:AZ244"/>
    <mergeCell ref="AS238:AV238"/>
    <mergeCell ref="AP239:AR239"/>
    <mergeCell ref="AP232:AR232"/>
    <mergeCell ref="AW236:AZ236"/>
    <mergeCell ref="AW210:AZ210"/>
    <mergeCell ref="AM211:AO211"/>
    <mergeCell ref="AP211:AR211"/>
    <mergeCell ref="AJ208:AL208"/>
    <mergeCell ref="AW228:AZ228"/>
    <mergeCell ref="AP210:AR210"/>
    <mergeCell ref="AS210:AV210"/>
    <mergeCell ref="AS209:AV209"/>
    <mergeCell ref="AS226:AV226"/>
    <mergeCell ref="AS225:AV225"/>
    <mergeCell ref="AP225:AR225"/>
    <mergeCell ref="AP226:AR226"/>
    <mergeCell ref="AW225:AZ225"/>
    <mergeCell ref="AP223:AR223"/>
    <mergeCell ref="AP221:AR221"/>
    <mergeCell ref="AW227:AZ227"/>
    <mergeCell ref="AS223:AV223"/>
    <mergeCell ref="AP222:AR222"/>
    <mergeCell ref="AJ215:AR215"/>
    <mergeCell ref="AJ223:AL223"/>
    <mergeCell ref="AM223:AO223"/>
    <mergeCell ref="AW211:AZ211"/>
    <mergeCell ref="AW222:AZ222"/>
    <mergeCell ref="AW223:AZ223"/>
    <mergeCell ref="AW214:AZ214"/>
    <mergeCell ref="AS212:AV212"/>
    <mergeCell ref="AJ212:AL212"/>
    <mergeCell ref="AW226:AZ226"/>
    <mergeCell ref="AS213:AV213"/>
    <mergeCell ref="AS228:AV228"/>
    <mergeCell ref="AP208:AR208"/>
    <mergeCell ref="AM208:AO208"/>
    <mergeCell ref="AG225:AI225"/>
    <mergeCell ref="AC202:AE202"/>
    <mergeCell ref="Q234:S234"/>
    <mergeCell ref="AM229:AO229"/>
    <mergeCell ref="AP229:AR229"/>
    <mergeCell ref="AM233:AO233"/>
    <mergeCell ref="Y234:AA234"/>
    <mergeCell ref="AC234:AE234"/>
    <mergeCell ref="AG234:AI234"/>
    <mergeCell ref="AJ230:AL230"/>
    <mergeCell ref="AM230:AO230"/>
    <mergeCell ref="AP230:AR230"/>
    <mergeCell ref="U228:W228"/>
    <mergeCell ref="Y228:AA228"/>
    <mergeCell ref="AC228:AE228"/>
    <mergeCell ref="AG224:AI224"/>
    <mergeCell ref="U234:W234"/>
    <mergeCell ref="AM214:AO214"/>
    <mergeCell ref="Y209:AA209"/>
    <mergeCell ref="U209:W209"/>
    <mergeCell ref="AG228:AI228"/>
    <mergeCell ref="AG207:AI207"/>
    <mergeCell ref="AM204:AO204"/>
    <mergeCell ref="AJ228:AL228"/>
    <mergeCell ref="AP228:AR228"/>
    <mergeCell ref="AC205:AE205"/>
    <mergeCell ref="AG205:AI205"/>
    <mergeCell ref="AM228:AO228"/>
    <mergeCell ref="AM234:AO234"/>
    <mergeCell ref="AP203:AR203"/>
    <mergeCell ref="AP235:AR235"/>
    <mergeCell ref="Y235:AA235"/>
    <mergeCell ref="AC235:AE235"/>
    <mergeCell ref="AG235:AI235"/>
    <mergeCell ref="AJ226:AL226"/>
    <mergeCell ref="U203:W203"/>
    <mergeCell ref="AC226:AE226"/>
    <mergeCell ref="U214:W214"/>
    <mergeCell ref="Q227:S227"/>
    <mergeCell ref="U231:W231"/>
    <mergeCell ref="Y231:AA231"/>
    <mergeCell ref="Q212:S212"/>
    <mergeCell ref="U212:W212"/>
    <mergeCell ref="Y223:AA223"/>
    <mergeCell ref="AC211:AE211"/>
    <mergeCell ref="AG211:AI211"/>
    <mergeCell ref="AG230:AI230"/>
    <mergeCell ref="AG233:AI233"/>
    <mergeCell ref="AG229:AI229"/>
    <mergeCell ref="AJ229:AL229"/>
    <mergeCell ref="U232:W232"/>
    <mergeCell ref="Y232:AA232"/>
    <mergeCell ref="AM235:AO235"/>
    <mergeCell ref="AC214:AE214"/>
    <mergeCell ref="Y225:AA225"/>
    <mergeCell ref="Y210:AA210"/>
    <mergeCell ref="AC210:AE210"/>
    <mergeCell ref="U227:W227"/>
    <mergeCell ref="Y227:AA227"/>
    <mergeCell ref="AC229:AE229"/>
    <mergeCell ref="AG227:AI227"/>
    <mergeCell ref="AJ227:AL227"/>
    <mergeCell ref="AG236:AI236"/>
    <mergeCell ref="AJ236:AL236"/>
    <mergeCell ref="AG232:AI232"/>
    <mergeCell ref="AJ232:AL232"/>
    <mergeCell ref="AG231:AI231"/>
    <mergeCell ref="AC231:AE231"/>
    <mergeCell ref="AC238:AE238"/>
    <mergeCell ref="AJ231:AL231"/>
    <mergeCell ref="Q238:S238"/>
    <mergeCell ref="Q236:S236"/>
    <mergeCell ref="AJ238:AL238"/>
    <mergeCell ref="AC230:AE230"/>
    <mergeCell ref="AJ239:AL239"/>
    <mergeCell ref="U230:W230"/>
    <mergeCell ref="Y230:AA230"/>
    <mergeCell ref="Q235:S235"/>
    <mergeCell ref="U235:W235"/>
    <mergeCell ref="Y238:AA238"/>
    <mergeCell ref="AG237:AI237"/>
    <mergeCell ref="AC237:AE237"/>
    <mergeCell ref="AC232:AE232"/>
    <mergeCell ref="Q233:S233"/>
    <mergeCell ref="U233:W233"/>
    <mergeCell ref="Y233:AA233"/>
    <mergeCell ref="AC233:AE233"/>
    <mergeCell ref="Q239:S239"/>
    <mergeCell ref="U239:W239"/>
    <mergeCell ref="AW281:AZ281"/>
    <mergeCell ref="AS271:AV271"/>
    <mergeCell ref="AW278:AZ278"/>
    <mergeCell ref="AW272:AZ272"/>
    <mergeCell ref="AW279:AZ279"/>
    <mergeCell ref="AW273:AZ273"/>
    <mergeCell ref="AG280:AI280"/>
    <mergeCell ref="AP279:AR279"/>
    <mergeCell ref="AS260:AV260"/>
    <mergeCell ref="AS257:AV257"/>
    <mergeCell ref="AS241:AV241"/>
    <mergeCell ref="AM262:AO262"/>
    <mergeCell ref="AM259:AO259"/>
    <mergeCell ref="Y243:AA243"/>
    <mergeCell ref="AP251:AR251"/>
    <mergeCell ref="AW242:AZ242"/>
    <mergeCell ref="AS251:AV251"/>
    <mergeCell ref="AW241:AZ241"/>
    <mergeCell ref="AW257:AZ257"/>
    <mergeCell ref="AP255:AR255"/>
    <mergeCell ref="AP269:AR269"/>
    <mergeCell ref="AP264:AR264"/>
    <mergeCell ref="AW262:AZ262"/>
    <mergeCell ref="AM271:AO271"/>
    <mergeCell ref="AP261:AR261"/>
    <mergeCell ref="AM260:AO260"/>
    <mergeCell ref="AJ260:AL260"/>
    <mergeCell ref="AC250:AE250"/>
    <mergeCell ref="AC260:AE260"/>
    <mergeCell ref="AC266:AE266"/>
    <mergeCell ref="AP267:AR267"/>
    <mergeCell ref="AP270:AR270"/>
    <mergeCell ref="AS239:AV239"/>
    <mergeCell ref="AS259:AV259"/>
    <mergeCell ref="AJ261:AL261"/>
    <mergeCell ref="AJ262:AL262"/>
    <mergeCell ref="AS258:AV258"/>
    <mergeCell ref="AP260:AR260"/>
    <mergeCell ref="AC252:AE252"/>
    <mergeCell ref="AJ258:AL258"/>
    <mergeCell ref="AM255:AO255"/>
    <mergeCell ref="AM243:AO243"/>
    <mergeCell ref="Y241:AA241"/>
    <mergeCell ref="AM240:AO240"/>
    <mergeCell ref="AP240:AR240"/>
    <mergeCell ref="AG255:AI255"/>
    <mergeCell ref="U243:W243"/>
    <mergeCell ref="AP254:AR254"/>
    <mergeCell ref="AJ254:AL254"/>
    <mergeCell ref="Y239:AA239"/>
    <mergeCell ref="AJ242:AL242"/>
    <mergeCell ref="AJ251:AL251"/>
    <mergeCell ref="AC242:AE242"/>
    <mergeCell ref="AM239:AO239"/>
    <mergeCell ref="AP242:AR242"/>
    <mergeCell ref="AP238:AR238"/>
    <mergeCell ref="AG239:AI239"/>
    <mergeCell ref="U242:W242"/>
    <mergeCell ref="Y242:AA242"/>
    <mergeCell ref="AJ259:AL259"/>
    <mergeCell ref="AM256:AO256"/>
    <mergeCell ref="AG252:AI252"/>
    <mergeCell ref="AM251:AO251"/>
    <mergeCell ref="AM250:AO250"/>
    <mergeCell ref="AG242:AI242"/>
    <mergeCell ref="AG258:AI258"/>
    <mergeCell ref="AM241:AO241"/>
    <mergeCell ref="AG243:AI243"/>
    <mergeCell ref="AJ240:AL240"/>
    <mergeCell ref="AG241:AI241"/>
    <mergeCell ref="AG240:AI240"/>
    <mergeCell ref="AP256:AR256"/>
    <mergeCell ref="AJ257:AL257"/>
    <mergeCell ref="AG253:AI253"/>
    <mergeCell ref="AG254:AI254"/>
    <mergeCell ref="AP250:AR250"/>
    <mergeCell ref="AM238:AO238"/>
    <mergeCell ref="F233:P233"/>
    <mergeCell ref="F223:P223"/>
    <mergeCell ref="F234:P234"/>
    <mergeCell ref="F209:P209"/>
    <mergeCell ref="F208:P208"/>
    <mergeCell ref="Q232:S232"/>
    <mergeCell ref="Q207:S207"/>
    <mergeCell ref="AJ213:AL213"/>
    <mergeCell ref="AM258:AO258"/>
    <mergeCell ref="Q237:S237"/>
    <mergeCell ref="Q240:S240"/>
    <mergeCell ref="Q252:S252"/>
    <mergeCell ref="U240:W240"/>
    <mergeCell ref="Y240:AA240"/>
    <mergeCell ref="AJ244:AR244"/>
    <mergeCell ref="AP243:AR243"/>
    <mergeCell ref="F228:P228"/>
    <mergeCell ref="F231:P231"/>
    <mergeCell ref="Q231:S231"/>
    <mergeCell ref="AG222:AI222"/>
    <mergeCell ref="F230:P230"/>
    <mergeCell ref="AC227:AE227"/>
    <mergeCell ref="U221:W221"/>
    <mergeCell ref="AG223:AI223"/>
    <mergeCell ref="U213:W213"/>
    <mergeCell ref="Y214:AA214"/>
    <mergeCell ref="U210:W210"/>
    <mergeCell ref="F232:P232"/>
    <mergeCell ref="F226:P226"/>
    <mergeCell ref="AM227:AO227"/>
    <mergeCell ref="AP227:AR227"/>
    <mergeCell ref="Q230:S230"/>
    <mergeCell ref="AS227:AV227"/>
    <mergeCell ref="Y206:AA206"/>
    <mergeCell ref="Q222:S222"/>
    <mergeCell ref="Q221:S221"/>
    <mergeCell ref="AM212:AO212"/>
    <mergeCell ref="AJ255:AL255"/>
    <mergeCell ref="AP237:AR237"/>
    <mergeCell ref="U238:W238"/>
    <mergeCell ref="Y237:AA237"/>
    <mergeCell ref="U250:W250"/>
    <mergeCell ref="B127:C154"/>
    <mergeCell ref="B191:D215"/>
    <mergeCell ref="AM242:AO242"/>
    <mergeCell ref="B221:D244"/>
    <mergeCell ref="AG221:AI221"/>
    <mergeCell ref="AM224:AO224"/>
    <mergeCell ref="V177:W177"/>
    <mergeCell ref="AJ225:AL225"/>
    <mergeCell ref="AM225:AO225"/>
    <mergeCell ref="AG202:AI202"/>
    <mergeCell ref="AJ202:AL202"/>
    <mergeCell ref="AM202:AO202"/>
    <mergeCell ref="B159:C179"/>
    <mergeCell ref="V167:X167"/>
    <mergeCell ref="T161:U161"/>
    <mergeCell ref="F240:P240"/>
    <mergeCell ref="U211:W211"/>
    <mergeCell ref="F224:P224"/>
    <mergeCell ref="U207:W207"/>
    <mergeCell ref="F225:P225"/>
    <mergeCell ref="F229:P229"/>
    <mergeCell ref="F227:P227"/>
    <mergeCell ref="AJ200:AL200"/>
    <mergeCell ref="U199:W199"/>
    <mergeCell ref="D144:E144"/>
    <mergeCell ref="AG208:AI208"/>
    <mergeCell ref="AC207:AE207"/>
    <mergeCell ref="AP209:AR209"/>
    <mergeCell ref="AP212:AR212"/>
    <mergeCell ref="AJ209:AL209"/>
    <mergeCell ref="AM209:AO209"/>
    <mergeCell ref="Y211:AA211"/>
    <mergeCell ref="Y207:AA207"/>
    <mergeCell ref="AJ214:AL214"/>
    <mergeCell ref="AG214:AI214"/>
    <mergeCell ref="U208:W208"/>
    <mergeCell ref="Q210:S210"/>
    <mergeCell ref="AG210:AI210"/>
    <mergeCell ref="AS198:AV198"/>
    <mergeCell ref="AJ197:AL197"/>
    <mergeCell ref="AG195:AI195"/>
    <mergeCell ref="Y194:AA194"/>
    <mergeCell ref="AS166:AU166"/>
    <mergeCell ref="AA172:AB172"/>
    <mergeCell ref="Y192:AA192"/>
    <mergeCell ref="AM199:AO199"/>
    <mergeCell ref="AS211:AV211"/>
    <mergeCell ref="AC199:AE199"/>
    <mergeCell ref="AC191:AE191"/>
    <mergeCell ref="AG204:AI204"/>
    <mergeCell ref="AP206:AR206"/>
    <mergeCell ref="AJ204:AL204"/>
    <mergeCell ref="AC206:AE206"/>
    <mergeCell ref="AP202:AR202"/>
    <mergeCell ref="AC223:AE223"/>
    <mergeCell ref="AC213:AE213"/>
    <mergeCell ref="Q224:S224"/>
    <mergeCell ref="AS201:AV201"/>
    <mergeCell ref="Q214:S214"/>
    <mergeCell ref="AS224:AV224"/>
    <mergeCell ref="AP224:AR224"/>
    <mergeCell ref="Q201:S201"/>
    <mergeCell ref="Y224:AA224"/>
    <mergeCell ref="U222:W222"/>
    <mergeCell ref="Y212:AA212"/>
    <mergeCell ref="AC212:AE212"/>
    <mergeCell ref="U205:W205"/>
    <mergeCell ref="Y205:AA205"/>
    <mergeCell ref="AG206:AI206"/>
    <mergeCell ref="AG201:AI201"/>
    <mergeCell ref="AJ201:AL201"/>
    <mergeCell ref="AM201:AO201"/>
    <mergeCell ref="AS208:AV208"/>
    <mergeCell ref="AP204:AR204"/>
    <mergeCell ref="AM205:AO205"/>
    <mergeCell ref="AP205:AR205"/>
    <mergeCell ref="AS205:AV205"/>
    <mergeCell ref="Y221:AA221"/>
    <mergeCell ref="Y204:AA204"/>
    <mergeCell ref="U202:W202"/>
    <mergeCell ref="U204:W204"/>
    <mergeCell ref="AC222:AE222"/>
    <mergeCell ref="AC221:AE221"/>
    <mergeCell ref="AS203:AV203"/>
    <mergeCell ref="AJ199:AL199"/>
    <mergeCell ref="AP196:AR196"/>
    <mergeCell ref="AW190:AZ190"/>
    <mergeCell ref="AS196:AV196"/>
    <mergeCell ref="AG192:AI192"/>
    <mergeCell ref="AM195:AO195"/>
    <mergeCell ref="AG194:AI194"/>
    <mergeCell ref="AG197:AI197"/>
    <mergeCell ref="AS194:AV194"/>
    <mergeCell ref="AM193:AO193"/>
    <mergeCell ref="AW192:AZ192"/>
    <mergeCell ref="AJ193:AL193"/>
    <mergeCell ref="C183:AY183"/>
    <mergeCell ref="AW199:AZ199"/>
    <mergeCell ref="AP191:AR191"/>
    <mergeCell ref="AC198:AE198"/>
    <mergeCell ref="Q196:S196"/>
    <mergeCell ref="AS197:AV197"/>
    <mergeCell ref="Y199:AA199"/>
    <mergeCell ref="U193:W193"/>
    <mergeCell ref="AP198:AR198"/>
    <mergeCell ref="AJ198:AL198"/>
    <mergeCell ref="F199:P199"/>
    <mergeCell ref="Q199:S199"/>
    <mergeCell ref="AP197:AR197"/>
    <mergeCell ref="AW198:AZ198"/>
    <mergeCell ref="AW191:AZ191"/>
    <mergeCell ref="AW289:AZ289"/>
    <mergeCell ref="AW287:AZ287"/>
    <mergeCell ref="AJ286:AL286"/>
    <mergeCell ref="AW286:AZ286"/>
    <mergeCell ref="AG286:AI286"/>
    <mergeCell ref="AP286:AR286"/>
    <mergeCell ref="AW293:AZ293"/>
    <mergeCell ref="AP292:AR292"/>
    <mergeCell ref="AC288:AE288"/>
    <mergeCell ref="AS291:AV291"/>
    <mergeCell ref="AS289:AV289"/>
    <mergeCell ref="AC286:AE286"/>
    <mergeCell ref="AC287:AE287"/>
    <mergeCell ref="AM289:AO289"/>
    <mergeCell ref="AM291:AO291"/>
    <mergeCell ref="AG290:AI290"/>
    <mergeCell ref="AW292:AZ292"/>
    <mergeCell ref="AW290:AZ290"/>
    <mergeCell ref="AW291:AZ291"/>
    <mergeCell ref="AW288:AZ288"/>
    <mergeCell ref="AP288:AR288"/>
    <mergeCell ref="AJ288:AL288"/>
    <mergeCell ref="AS292:AV292"/>
    <mergeCell ref="AS293:AV293"/>
    <mergeCell ref="AJ290:AL290"/>
    <mergeCell ref="AJ291:AL291"/>
    <mergeCell ref="AP289:AR289"/>
    <mergeCell ref="AP290:AR290"/>
    <mergeCell ref="AJ289:AL289"/>
    <mergeCell ref="AM293:AO293"/>
    <mergeCell ref="AG288:AI288"/>
    <mergeCell ref="AP293:AR293"/>
    <mergeCell ref="AG287:AI287"/>
    <mergeCell ref="AS288:AV288"/>
    <mergeCell ref="AP272:AR272"/>
    <mergeCell ref="AW284:AZ284"/>
    <mergeCell ref="AW285:AZ285"/>
    <mergeCell ref="AS273:AV273"/>
    <mergeCell ref="AS279:AV279"/>
    <mergeCell ref="AJ280:AL280"/>
    <mergeCell ref="AJ282:AL282"/>
    <mergeCell ref="AS285:AV285"/>
    <mergeCell ref="AJ285:AL285"/>
    <mergeCell ref="AS280:AV280"/>
    <mergeCell ref="AM287:AO287"/>
    <mergeCell ref="AJ272:AL272"/>
    <mergeCell ref="AJ284:AL284"/>
    <mergeCell ref="AP283:AR283"/>
    <mergeCell ref="AS284:AV284"/>
    <mergeCell ref="AP282:AR282"/>
    <mergeCell ref="AS282:AV282"/>
    <mergeCell ref="AP287:AR287"/>
    <mergeCell ref="AS281:AV281"/>
    <mergeCell ref="AP280:AR280"/>
    <mergeCell ref="AM279:AO279"/>
    <mergeCell ref="AJ287:AL287"/>
    <mergeCell ref="AS272:AV272"/>
    <mergeCell ref="AM285:AO285"/>
    <mergeCell ref="AM284:AO284"/>
    <mergeCell ref="AS286:AV286"/>
    <mergeCell ref="AS287:AV287"/>
    <mergeCell ref="AW282:AZ282"/>
    <mergeCell ref="AW283:AZ283"/>
    <mergeCell ref="AS283:AV283"/>
    <mergeCell ref="AS161:AU161"/>
    <mergeCell ref="AW204:AZ204"/>
    <mergeCell ref="AS199:AV199"/>
    <mergeCell ref="AG199:AI199"/>
    <mergeCell ref="AW196:AZ196"/>
    <mergeCell ref="AK164:AN164"/>
    <mergeCell ref="AF166:AJ166"/>
    <mergeCell ref="AF163:AJ163"/>
    <mergeCell ref="AF165:AJ165"/>
    <mergeCell ref="AO161:AR161"/>
    <mergeCell ref="AF161:AJ161"/>
    <mergeCell ref="AK166:AN166"/>
    <mergeCell ref="AS164:AU164"/>
    <mergeCell ref="AS165:AU165"/>
    <mergeCell ref="AW193:AZ193"/>
    <mergeCell ref="AJ203:AL203"/>
    <mergeCell ref="AM203:AO203"/>
    <mergeCell ref="AF167:AH167"/>
    <mergeCell ref="AW203:AZ203"/>
    <mergeCell ref="AW201:AZ201"/>
    <mergeCell ref="AJ194:AL194"/>
    <mergeCell ref="AV161:AZ161"/>
    <mergeCell ref="AG193:AI193"/>
    <mergeCell ref="AM198:AO198"/>
    <mergeCell ref="AG198:AI198"/>
    <mergeCell ref="AO165:AR165"/>
    <mergeCell ref="AO163:AR163"/>
    <mergeCell ref="AM200:AO200"/>
    <mergeCell ref="AP200:AR200"/>
    <mergeCell ref="AS200:AV200"/>
    <mergeCell ref="AW200:AZ200"/>
    <mergeCell ref="AP195:AR195"/>
    <mergeCell ref="AS237:AV237"/>
    <mergeCell ref="AW231:AZ231"/>
    <mergeCell ref="AS160:AU160"/>
    <mergeCell ref="AV154:AZ154"/>
    <mergeCell ref="AU148:AU149"/>
    <mergeCell ref="AV160:AZ160"/>
    <mergeCell ref="AV164:AZ164"/>
    <mergeCell ref="C182:AY182"/>
    <mergeCell ref="C185:AY185"/>
    <mergeCell ref="AO164:AR164"/>
    <mergeCell ref="AS193:AV193"/>
    <mergeCell ref="AA167:AC167"/>
    <mergeCell ref="AP192:AR192"/>
    <mergeCell ref="AW194:AZ194"/>
    <mergeCell ref="AA168:AC168"/>
    <mergeCell ref="T165:U165"/>
    <mergeCell ref="AJ191:AL191"/>
    <mergeCell ref="F192:P192"/>
    <mergeCell ref="F193:P193"/>
    <mergeCell ref="AS163:AU163"/>
    <mergeCell ref="AV165:AZ165"/>
    <mergeCell ref="C186:AY186"/>
    <mergeCell ref="V168:X168"/>
    <mergeCell ref="V169:X169"/>
    <mergeCell ref="AP193:AR193"/>
    <mergeCell ref="AV173:AZ173"/>
    <mergeCell ref="AS173:AU173"/>
    <mergeCell ref="AM191:AO191"/>
    <mergeCell ref="AA166:AC166"/>
    <mergeCell ref="AO160:AR160"/>
    <mergeCell ref="AC192:AE192"/>
    <mergeCell ref="AK172:AN172"/>
    <mergeCell ref="H101:K101"/>
    <mergeCell ref="L101:O101"/>
    <mergeCell ref="P101:S101"/>
    <mergeCell ref="T137:W137"/>
    <mergeCell ref="X137:AA137"/>
    <mergeCell ref="O141:Q141"/>
    <mergeCell ref="Q195:S195"/>
    <mergeCell ref="V166:X166"/>
    <mergeCell ref="AS195:AV195"/>
    <mergeCell ref="Q194:S194"/>
    <mergeCell ref="AV163:AZ163"/>
    <mergeCell ref="AK163:AN163"/>
    <mergeCell ref="T166:U166"/>
    <mergeCell ref="AJ192:AL192"/>
    <mergeCell ref="AM192:AO192"/>
    <mergeCell ref="AS172:AU172"/>
    <mergeCell ref="AV179:AZ179"/>
    <mergeCell ref="AP194:AR194"/>
    <mergeCell ref="AO166:AR166"/>
    <mergeCell ref="F194:P194"/>
    <mergeCell ref="AV166:AZ166"/>
    <mergeCell ref="AV172:AZ172"/>
    <mergeCell ref="AV174:AZ174"/>
    <mergeCell ref="AA169:AC169"/>
    <mergeCell ref="AC193:AE193"/>
    <mergeCell ref="AS192:AV192"/>
    <mergeCell ref="AA173:AB173"/>
    <mergeCell ref="AW195:AZ195"/>
    <mergeCell ref="AS191:AV191"/>
    <mergeCell ref="AC195:AE195"/>
    <mergeCell ref="AJ195:AL195"/>
    <mergeCell ref="AV148:AZ149"/>
    <mergeCell ref="AJ93:AM93"/>
    <mergeCell ref="AV137:AZ138"/>
    <mergeCell ref="AN97:AQ97"/>
    <mergeCell ref="AN128:AQ129"/>
    <mergeCell ref="AX104:AY104"/>
    <mergeCell ref="AN137:AQ138"/>
    <mergeCell ref="AR137:AT138"/>
    <mergeCell ref="AU137:AU138"/>
    <mergeCell ref="AV128:AZ129"/>
    <mergeCell ref="AR128:AT129"/>
    <mergeCell ref="AU128:AU129"/>
    <mergeCell ref="AT112:AV112"/>
    <mergeCell ref="AJ137:AM138"/>
    <mergeCell ref="AB118:AE118"/>
    <mergeCell ref="AR118:AT119"/>
    <mergeCell ref="AT111:AV111"/>
    <mergeCell ref="AF106:AI106"/>
    <mergeCell ref="AF107:AI107"/>
    <mergeCell ref="AV104:AW104"/>
    <mergeCell ref="AB138:AE138"/>
    <mergeCell ref="AV103:AW103"/>
    <mergeCell ref="AF97:AI97"/>
    <mergeCell ref="AN95:AQ95"/>
    <mergeCell ref="AB137:AE137"/>
    <mergeCell ref="AF100:AG100"/>
    <mergeCell ref="AH100:AI100"/>
    <mergeCell ref="AR100:AU100"/>
    <mergeCell ref="AX102:AY102"/>
    <mergeCell ref="AX103:AY103"/>
    <mergeCell ref="AV102:AW102"/>
    <mergeCell ref="AB96:AE96"/>
    <mergeCell ref="AF160:AJ160"/>
    <mergeCell ref="T160:U160"/>
    <mergeCell ref="U192:W192"/>
    <mergeCell ref="AA165:AC165"/>
    <mergeCell ref="V163:X163"/>
    <mergeCell ref="V165:X165"/>
    <mergeCell ref="AK173:AN173"/>
    <mergeCell ref="V175:W175"/>
    <mergeCell ref="AF169:AH169"/>
    <mergeCell ref="T164:U164"/>
    <mergeCell ref="U194:W194"/>
    <mergeCell ref="T162:U162"/>
    <mergeCell ref="AJ196:AL196"/>
    <mergeCell ref="AG196:AI196"/>
    <mergeCell ref="AK165:AN165"/>
    <mergeCell ref="AK161:AN161"/>
    <mergeCell ref="U195:W195"/>
    <mergeCell ref="AC194:AE194"/>
    <mergeCell ref="AM194:AO194"/>
    <mergeCell ref="AA174:AB174"/>
    <mergeCell ref="Y196:AA196"/>
    <mergeCell ref="V176:W176"/>
    <mergeCell ref="Y193:AA193"/>
    <mergeCell ref="AA177:AB177"/>
    <mergeCell ref="AF168:AH168"/>
    <mergeCell ref="AO172:AR172"/>
    <mergeCell ref="AF162:AJ162"/>
    <mergeCell ref="AO173:AR173"/>
    <mergeCell ref="AC196:AE196"/>
    <mergeCell ref="T173:U173"/>
    <mergeCell ref="C181:AY181"/>
    <mergeCell ref="T174:U174"/>
    <mergeCell ref="AV79:AZ79"/>
    <mergeCell ref="AV85:AZ86"/>
    <mergeCell ref="V68:Y68"/>
    <mergeCell ref="Z68:AA68"/>
    <mergeCell ref="V66:Y66"/>
    <mergeCell ref="V69:Y69"/>
    <mergeCell ref="Z69:AA69"/>
    <mergeCell ref="AR85:AU86"/>
    <mergeCell ref="AN75:AQ75"/>
    <mergeCell ref="V67:Y67"/>
    <mergeCell ref="AR75:AU75"/>
    <mergeCell ref="AV75:AZ75"/>
    <mergeCell ref="AN89:AQ89"/>
    <mergeCell ref="AF91:AI91"/>
    <mergeCell ref="AB128:AE128"/>
    <mergeCell ref="AF92:AI92"/>
    <mergeCell ref="T89:W89"/>
    <mergeCell ref="X118:AA118"/>
    <mergeCell ref="X119:AA119"/>
    <mergeCell ref="AB119:AE119"/>
    <mergeCell ref="Z112:AA112"/>
    <mergeCell ref="AB112:AD112"/>
    <mergeCell ref="AF112:AH112"/>
    <mergeCell ref="AL112:AN112"/>
    <mergeCell ref="AP112:AR112"/>
    <mergeCell ref="Z111:AA111"/>
    <mergeCell ref="AB111:AD111"/>
    <mergeCell ref="AF111:AH111"/>
    <mergeCell ref="AB100:AE100"/>
    <mergeCell ref="AB121:AC121"/>
    <mergeCell ref="AF93:AI93"/>
    <mergeCell ref="AF94:AI94"/>
    <mergeCell ref="AN91:AQ91"/>
    <mergeCell ref="AP54:AQ54"/>
    <mergeCell ref="AJ96:AM96"/>
    <mergeCell ref="AB95:AE95"/>
    <mergeCell ref="X95:AA95"/>
    <mergeCell ref="T95:W95"/>
    <mergeCell ref="Z75:AA75"/>
    <mergeCell ref="R75:U75"/>
    <mergeCell ref="V75:Y75"/>
    <mergeCell ref="AN92:AQ92"/>
    <mergeCell ref="AN93:AQ93"/>
    <mergeCell ref="AB89:AE89"/>
    <mergeCell ref="AB75:AE75"/>
    <mergeCell ref="AN85:AQ86"/>
    <mergeCell ref="AF75:AI75"/>
    <mergeCell ref="AB91:AE91"/>
    <mergeCell ref="Z61:AA61"/>
    <mergeCell ref="V63:Y63"/>
    <mergeCell ref="Z63:AA63"/>
    <mergeCell ref="AB94:AE94"/>
    <mergeCell ref="AB69:AE69"/>
    <mergeCell ref="AB62:AE62"/>
    <mergeCell ref="AB68:AE68"/>
    <mergeCell ref="R64:U64"/>
    <mergeCell ref="V64:Y64"/>
    <mergeCell ref="Z64:AA64"/>
    <mergeCell ref="AF89:AI89"/>
    <mergeCell ref="AF90:AI90"/>
    <mergeCell ref="V61:Y61"/>
    <mergeCell ref="AB63:AE63"/>
    <mergeCell ref="AJ92:AM92"/>
    <mergeCell ref="AN90:AQ90"/>
    <mergeCell ref="D59:E73"/>
    <mergeCell ref="D74:E74"/>
    <mergeCell ref="D75:E78"/>
    <mergeCell ref="V21:Y21"/>
    <mergeCell ref="Z21:AA21"/>
    <mergeCell ref="R22:U22"/>
    <mergeCell ref="V22:Y22"/>
    <mergeCell ref="Z22:AA22"/>
    <mergeCell ref="R23:U23"/>
    <mergeCell ref="V23:Y23"/>
    <mergeCell ref="Z23:AA23"/>
    <mergeCell ref="I31:K31"/>
    <mergeCell ref="I32:K32"/>
    <mergeCell ref="V25:Y25"/>
    <mergeCell ref="AJ21:AM21"/>
    <mergeCell ref="AJ22:AM22"/>
    <mergeCell ref="F37:Q37"/>
    <mergeCell ref="AF47:AI47"/>
    <mergeCell ref="R68:U68"/>
    <mergeCell ref="R66:U66"/>
    <mergeCell ref="R63:U63"/>
    <mergeCell ref="AJ41:AM41"/>
    <mergeCell ref="AJ42:AM42"/>
    <mergeCell ref="AJ43:AM43"/>
    <mergeCell ref="AB41:AE41"/>
    <mergeCell ref="Z29:AA29"/>
    <mergeCell ref="Z65:AA65"/>
    <mergeCell ref="Z25:AA25"/>
    <mergeCell ref="AB25:AE25"/>
    <mergeCell ref="Z66:AA66"/>
    <mergeCell ref="Z52:AA52"/>
    <mergeCell ref="R59:U59"/>
    <mergeCell ref="U11:X11"/>
    <mergeCell ref="R24:U24"/>
    <mergeCell ref="R52:U52"/>
    <mergeCell ref="V52:Y52"/>
    <mergeCell ref="R40:U40"/>
    <mergeCell ref="V40:Y40"/>
    <mergeCell ref="AN41:AQ41"/>
    <mergeCell ref="AN44:AQ44"/>
    <mergeCell ref="AS13:AV13"/>
    <mergeCell ref="AG13:AJ13"/>
    <mergeCell ref="AB20:AE20"/>
    <mergeCell ref="Z24:AA24"/>
    <mergeCell ref="AV37:AZ37"/>
    <mergeCell ref="AR37:AU37"/>
    <mergeCell ref="R43:U43"/>
    <mergeCell ref="V43:Y43"/>
    <mergeCell ref="AV52:AZ53"/>
    <mergeCell ref="V31:X31"/>
    <mergeCell ref="R48:U48"/>
    <mergeCell ref="AJ38:AM38"/>
    <mergeCell ref="AJ39:AM39"/>
    <mergeCell ref="AJ40:AM40"/>
    <mergeCell ref="Y13:AB13"/>
    <mergeCell ref="AV20:AZ24"/>
    <mergeCell ref="AR20:AU24"/>
    <mergeCell ref="AB24:AE24"/>
    <mergeCell ref="AF20:AI24"/>
    <mergeCell ref="AW13:AZ13"/>
    <mergeCell ref="AV25:AZ29"/>
    <mergeCell ref="Z41:AA41"/>
    <mergeCell ref="V44:Y44"/>
    <mergeCell ref="U13:X13"/>
    <mergeCell ref="Z60:AA60"/>
    <mergeCell ref="AB60:AE60"/>
    <mergeCell ref="AP56:AQ56"/>
    <mergeCell ref="AB37:AE37"/>
    <mergeCell ref="V37:AA37"/>
    <mergeCell ref="R60:U60"/>
    <mergeCell ref="V60:Y60"/>
    <mergeCell ref="Z43:AA43"/>
    <mergeCell ref="AB43:AE43"/>
    <mergeCell ref="R45:U45"/>
    <mergeCell ref="V45:Y45"/>
    <mergeCell ref="AB29:AE29"/>
    <mergeCell ref="AB26:AE26"/>
    <mergeCell ref="AB21:AE21"/>
    <mergeCell ref="AB22:AE22"/>
    <mergeCell ref="AB23:AE23"/>
    <mergeCell ref="AB47:AE47"/>
    <mergeCell ref="R44:U44"/>
    <mergeCell ref="R47:U47"/>
    <mergeCell ref="AB38:AE38"/>
    <mergeCell ref="AF38:AI38"/>
    <mergeCell ref="Z28:AA28"/>
    <mergeCell ref="AF45:AI45"/>
    <mergeCell ref="AJ37:AM37"/>
    <mergeCell ref="AF37:AI37"/>
    <mergeCell ref="AN38:AQ38"/>
    <mergeCell ref="AB40:AE40"/>
    <mergeCell ref="V48:Y48"/>
    <mergeCell ref="R21:U21"/>
    <mergeCell ref="R49:U49"/>
    <mergeCell ref="AB46:AE46"/>
    <mergeCell ref="AF46:AI46"/>
    <mergeCell ref="V20:Y20"/>
    <mergeCell ref="AK13:AN13"/>
    <mergeCell ref="AP52:AQ53"/>
    <mergeCell ref="Z46:AA46"/>
    <mergeCell ref="AF25:AI29"/>
    <mergeCell ref="AJ25:AK29"/>
    <mergeCell ref="AV59:AZ69"/>
    <mergeCell ref="AW11:AZ11"/>
    <mergeCell ref="AS11:AV11"/>
    <mergeCell ref="R26:U26"/>
    <mergeCell ref="AF40:AI40"/>
    <mergeCell ref="Z48:AA48"/>
    <mergeCell ref="AB48:AE48"/>
    <mergeCell ref="AF48:AI48"/>
    <mergeCell ref="AR47:AU47"/>
    <mergeCell ref="AR39:AU39"/>
    <mergeCell ref="AR43:AU43"/>
    <mergeCell ref="AN47:AQ47"/>
    <mergeCell ref="AR41:AU41"/>
    <mergeCell ref="AN45:AQ45"/>
    <mergeCell ref="AF41:AI41"/>
    <mergeCell ref="AB44:AE44"/>
    <mergeCell ref="AF44:AI44"/>
    <mergeCell ref="V41:Y41"/>
    <mergeCell ref="Y11:AB11"/>
    <mergeCell ref="AB45:AE45"/>
    <mergeCell ref="AF43:AI43"/>
    <mergeCell ref="AL25:AM29"/>
    <mergeCell ref="Z38:AA38"/>
    <mergeCell ref="AJ44:AM44"/>
    <mergeCell ref="R38:U38"/>
    <mergeCell ref="R41:U41"/>
    <mergeCell ref="AK7:AL8"/>
    <mergeCell ref="AK6:AL6"/>
    <mergeCell ref="T101:W101"/>
    <mergeCell ref="V53:Y53"/>
    <mergeCell ref="R69:U69"/>
    <mergeCell ref="V103:W103"/>
    <mergeCell ref="B20:C79"/>
    <mergeCell ref="D52:E57"/>
    <mergeCell ref="V104:W104"/>
    <mergeCell ref="P31:R31"/>
    <mergeCell ref="P32:R32"/>
    <mergeCell ref="R27:U27"/>
    <mergeCell ref="V27:Y27"/>
    <mergeCell ref="H100:J100"/>
    <mergeCell ref="V29:Y29"/>
    <mergeCell ref="V28:Y28"/>
    <mergeCell ref="Q13:T13"/>
    <mergeCell ref="Z62:AA62"/>
    <mergeCell ref="Z59:AA59"/>
    <mergeCell ref="V59:Y59"/>
    <mergeCell ref="V62:Y62"/>
    <mergeCell ref="E11:H13"/>
    <mergeCell ref="I11:L11"/>
    <mergeCell ref="I13:L13"/>
    <mergeCell ref="F28:K28"/>
    <mergeCell ref="T96:W96"/>
    <mergeCell ref="T97:W97"/>
    <mergeCell ref="B10:D13"/>
    <mergeCell ref="AA7:AC7"/>
    <mergeCell ref="AB64:AE64"/>
    <mergeCell ref="M11:P11"/>
    <mergeCell ref="M13:P13"/>
    <mergeCell ref="AK11:AN11"/>
    <mergeCell ref="R39:U39"/>
    <mergeCell ref="AB61:AE61"/>
    <mergeCell ref="AN39:AQ39"/>
    <mergeCell ref="AN43:AQ43"/>
    <mergeCell ref="AN52:AO53"/>
    <mergeCell ref="AP55:AQ55"/>
    <mergeCell ref="R61:U61"/>
    <mergeCell ref="AG11:AJ11"/>
    <mergeCell ref="AB28:AE28"/>
    <mergeCell ref="AB27:AE27"/>
    <mergeCell ref="AB52:AE52"/>
    <mergeCell ref="R29:U29"/>
    <mergeCell ref="R28:U28"/>
    <mergeCell ref="AO13:AR13"/>
    <mergeCell ref="AR59:AU69"/>
    <mergeCell ref="AF59:AI69"/>
    <mergeCell ref="AJ59:AK69"/>
    <mergeCell ref="AN37:AQ37"/>
    <mergeCell ref="R37:U37"/>
    <mergeCell ref="V38:Y38"/>
    <mergeCell ref="Z53:AA53"/>
    <mergeCell ref="AJ23:AM23"/>
    <mergeCell ref="V39:Y39"/>
    <mergeCell ref="Z39:AA39"/>
    <mergeCell ref="AB39:AE39"/>
    <mergeCell ref="AF39:AI39"/>
    <mergeCell ref="AR52:AU53"/>
    <mergeCell ref="AR44:AU44"/>
    <mergeCell ref="Z40:AA40"/>
    <mergeCell ref="AO11:AR11"/>
    <mergeCell ref="Z20:AA20"/>
    <mergeCell ref="AI3:AK3"/>
    <mergeCell ref="W3:Y3"/>
    <mergeCell ref="L100:N100"/>
    <mergeCell ref="D147:E147"/>
    <mergeCell ref="D136:E136"/>
    <mergeCell ref="D159:E159"/>
    <mergeCell ref="D160:E178"/>
    <mergeCell ref="P128:S128"/>
    <mergeCell ref="P129:S129"/>
    <mergeCell ref="G141:I141"/>
    <mergeCell ref="F160:O166"/>
    <mergeCell ref="F172:O174"/>
    <mergeCell ref="K3:M3"/>
    <mergeCell ref="N3:P3"/>
    <mergeCell ref="D58:E58"/>
    <mergeCell ref="P148:S148"/>
    <mergeCell ref="T107:U107"/>
    <mergeCell ref="T103:U103"/>
    <mergeCell ref="P100:R100"/>
    <mergeCell ref="R62:U62"/>
    <mergeCell ref="R53:U53"/>
    <mergeCell ref="R65:U65"/>
    <mergeCell ref="F29:K29"/>
    <mergeCell ref="P149:S149"/>
    <mergeCell ref="AD6:AJ6"/>
    <mergeCell ref="AD8:AJ8"/>
    <mergeCell ref="AC11:AF11"/>
    <mergeCell ref="AC13:AF13"/>
    <mergeCell ref="AB67:AE67"/>
    <mergeCell ref="Z67:AA67"/>
    <mergeCell ref="AA162:AC162"/>
    <mergeCell ref="V162:X162"/>
    <mergeCell ref="E3:G3"/>
    <mergeCell ref="H3:J3"/>
    <mergeCell ref="D127:E127"/>
    <mergeCell ref="D148:E153"/>
    <mergeCell ref="B3:D3"/>
    <mergeCell ref="R6:U6"/>
    <mergeCell ref="V6:Z6"/>
    <mergeCell ref="X100:AA100"/>
    <mergeCell ref="R67:U67"/>
    <mergeCell ref="Z45:AA45"/>
    <mergeCell ref="X92:AA92"/>
    <mergeCell ref="D20:E50"/>
    <mergeCell ref="D19:E19"/>
    <mergeCell ref="D51:E51"/>
    <mergeCell ref="R85:U86"/>
    <mergeCell ref="X93:AA93"/>
    <mergeCell ref="X94:AA94"/>
    <mergeCell ref="X96:AA96"/>
    <mergeCell ref="L148:O149"/>
    <mergeCell ref="K141:M141"/>
    <mergeCell ref="V47:Y47"/>
    <mergeCell ref="Z47:AA47"/>
    <mergeCell ref="Z26:AA26"/>
    <mergeCell ref="Z27:AA27"/>
    <mergeCell ref="R25:U25"/>
    <mergeCell ref="Q11:T11"/>
    <mergeCell ref="S31:U31"/>
    <mergeCell ref="AA6:AC6"/>
    <mergeCell ref="R7:U7"/>
    <mergeCell ref="V7:Z7"/>
    <mergeCell ref="Z3:AB3"/>
    <mergeCell ref="V65:Y65"/>
    <mergeCell ref="F85:Q86"/>
    <mergeCell ref="T100:V100"/>
    <mergeCell ref="T90:W90"/>
    <mergeCell ref="T91:W91"/>
    <mergeCell ref="T92:W92"/>
    <mergeCell ref="T93:W93"/>
    <mergeCell ref="T94:W94"/>
    <mergeCell ref="L111:N111"/>
    <mergeCell ref="R111:T111"/>
    <mergeCell ref="V111:Y111"/>
    <mergeCell ref="X89:AA89"/>
    <mergeCell ref="U224:W224"/>
    <mergeCell ref="U226:W226"/>
    <mergeCell ref="Q205:S205"/>
    <mergeCell ref="F221:P221"/>
    <mergeCell ref="F214:P214"/>
    <mergeCell ref="F207:P207"/>
    <mergeCell ref="F210:P210"/>
    <mergeCell ref="AA163:AC163"/>
    <mergeCell ref="O134:Q134"/>
    <mergeCell ref="X97:AA97"/>
    <mergeCell ref="X128:AA128"/>
    <mergeCell ref="T128:W128"/>
    <mergeCell ref="AB97:AE97"/>
    <mergeCell ref="AB93:AE93"/>
    <mergeCell ref="AB90:AE90"/>
    <mergeCell ref="X91:AA91"/>
    <mergeCell ref="V102:W102"/>
    <mergeCell ref="T106:U106"/>
    <mergeCell ref="V174:W174"/>
    <mergeCell ref="V172:W172"/>
    <mergeCell ref="X138:AA138"/>
    <mergeCell ref="F200:P200"/>
    <mergeCell ref="F148:K149"/>
    <mergeCell ref="AC201:AE201"/>
    <mergeCell ref="AC285:AE285"/>
    <mergeCell ref="F191:P191"/>
    <mergeCell ref="AA164:AC164"/>
    <mergeCell ref="AA176:AB176"/>
    <mergeCell ref="Q197:S197"/>
    <mergeCell ref="U197:W197"/>
    <mergeCell ref="Y197:AA197"/>
    <mergeCell ref="Y226:AA226"/>
    <mergeCell ref="Y222:AA222"/>
    <mergeCell ref="U201:W201"/>
    <mergeCell ref="U198:W198"/>
    <mergeCell ref="Y198:AA198"/>
    <mergeCell ref="Q211:S211"/>
    <mergeCell ref="Q200:S200"/>
    <mergeCell ref="U200:W200"/>
    <mergeCell ref="F195:P195"/>
    <mergeCell ref="AC224:AE224"/>
    <mergeCell ref="F222:P222"/>
    <mergeCell ref="Q225:S225"/>
    <mergeCell ref="U225:W225"/>
    <mergeCell ref="F211:P211"/>
    <mergeCell ref="AA161:AC161"/>
    <mergeCell ref="T172:U172"/>
    <mergeCell ref="F201:P201"/>
    <mergeCell ref="U237:W237"/>
    <mergeCell ref="F235:P235"/>
    <mergeCell ref="AA175:AB175"/>
    <mergeCell ref="Q223:S223"/>
    <mergeCell ref="U223:W223"/>
    <mergeCell ref="H361:P361"/>
    <mergeCell ref="H367:P367"/>
    <mergeCell ref="F327:P327"/>
    <mergeCell ref="Y340:AA340"/>
    <mergeCell ref="Y329:AA329"/>
    <mergeCell ref="U337:W337"/>
    <mergeCell ref="U342:W342"/>
    <mergeCell ref="Q368:S368"/>
    <mergeCell ref="Q362:S362"/>
    <mergeCell ref="Q378:S378"/>
    <mergeCell ref="Q360:S360"/>
    <mergeCell ref="F328:P328"/>
    <mergeCell ref="U345:W345"/>
    <mergeCell ref="F338:P338"/>
    <mergeCell ref="F332:P332"/>
    <mergeCell ref="U339:W339"/>
    <mergeCell ref="Y327:AA327"/>
    <mergeCell ref="F342:P342"/>
    <mergeCell ref="Q361:S361"/>
    <mergeCell ref="H368:P368"/>
    <mergeCell ref="F357:P357"/>
    <mergeCell ref="Q350:S350"/>
    <mergeCell ref="Y347:AA347"/>
    <mergeCell ref="Q349:S349"/>
    <mergeCell ref="Q330:S330"/>
    <mergeCell ref="F376:P376"/>
    <mergeCell ref="H364:P364"/>
    <mergeCell ref="Y328:AA328"/>
    <mergeCell ref="E360:F369"/>
    <mergeCell ref="Y377:AA377"/>
    <mergeCell ref="F356:P356"/>
    <mergeCell ref="F352:P352"/>
    <mergeCell ref="Q3:S3"/>
    <mergeCell ref="T3:V3"/>
    <mergeCell ref="Y573:AA573"/>
    <mergeCell ref="AW520:AZ520"/>
    <mergeCell ref="AG520:AI520"/>
    <mergeCell ref="AJ520:AL520"/>
    <mergeCell ref="AM520:AO520"/>
    <mergeCell ref="AP520:AR520"/>
    <mergeCell ref="AS520:AV520"/>
    <mergeCell ref="AW543:AZ543"/>
    <mergeCell ref="AW544:AZ544"/>
    <mergeCell ref="AC547:AE547"/>
    <mergeCell ref="AJ101:AM101"/>
    <mergeCell ref="AB53:AE53"/>
    <mergeCell ref="AF52:AI53"/>
    <mergeCell ref="AL59:AM69"/>
    <mergeCell ref="AB59:AE59"/>
    <mergeCell ref="AB66:AE66"/>
    <mergeCell ref="AB65:AE65"/>
    <mergeCell ref="AJ85:AM86"/>
    <mergeCell ref="AJ95:AM95"/>
    <mergeCell ref="Y545:AA545"/>
    <mergeCell ref="AJ479:AL479"/>
    <mergeCell ref="Y451:AA451"/>
    <mergeCell ref="AG445:AI445"/>
    <mergeCell ref="AG386:AI386"/>
    <mergeCell ref="AJ505:AL505"/>
    <mergeCell ref="AC535:AE535"/>
    <mergeCell ref="AG528:AI528"/>
    <mergeCell ref="AC472:AE472"/>
    <mergeCell ref="U453:W453"/>
    <mergeCell ref="Q342:S342"/>
    <mergeCell ref="U656:V656"/>
    <mergeCell ref="U654:V654"/>
    <mergeCell ref="Y654:AA654"/>
    <mergeCell ref="Y655:AA655"/>
    <mergeCell ref="AD654:AF654"/>
    <mergeCell ref="U653:V653"/>
    <mergeCell ref="Q653:R653"/>
    <mergeCell ref="Q657:R657"/>
    <mergeCell ref="U657:V657"/>
    <mergeCell ref="Y657:AA657"/>
    <mergeCell ref="T163:U163"/>
    <mergeCell ref="Q518:S518"/>
    <mergeCell ref="AC3:AE3"/>
    <mergeCell ref="Q191:S191"/>
    <mergeCell ref="U191:W191"/>
    <mergeCell ref="Y191:AA191"/>
    <mergeCell ref="Q324:S324"/>
    <mergeCell ref="Q260:S260"/>
    <mergeCell ref="Q262:S262"/>
    <mergeCell ref="Q256:S256"/>
    <mergeCell ref="Q358:S358"/>
    <mergeCell ref="V160:X160"/>
    <mergeCell ref="V161:X161"/>
    <mergeCell ref="V24:Y24"/>
    <mergeCell ref="V32:X32"/>
    <mergeCell ref="S32:U32"/>
    <mergeCell ref="Y200:AA200"/>
    <mergeCell ref="Q423:S423"/>
    <mergeCell ref="U423:W423"/>
    <mergeCell ref="U390:W390"/>
    <mergeCell ref="AC412:AE412"/>
    <mergeCell ref="AF3:AH3"/>
    <mergeCell ref="AD652:AF652"/>
    <mergeCell ref="AM652:AO652"/>
    <mergeCell ref="AP410:AR410"/>
    <mergeCell ref="Y333:AA333"/>
    <mergeCell ref="Y336:AA336"/>
    <mergeCell ref="U352:W352"/>
    <mergeCell ref="Q447:S447"/>
    <mergeCell ref="Q446:S446"/>
    <mergeCell ref="Q466:S466"/>
    <mergeCell ref="AP466:AR466"/>
    <mergeCell ref="AM466:AO466"/>
    <mergeCell ref="AM471:AO471"/>
    <mergeCell ref="U563:W563"/>
    <mergeCell ref="AP554:AR554"/>
    <mergeCell ref="E651:F658"/>
    <mergeCell ref="G656:M656"/>
    <mergeCell ref="N656:P656"/>
    <mergeCell ref="Q656:R656"/>
    <mergeCell ref="G653:P653"/>
    <mergeCell ref="G652:P652"/>
    <mergeCell ref="AJ654:AL654"/>
    <mergeCell ref="G655:M655"/>
    <mergeCell ref="N655:P655"/>
    <mergeCell ref="Q655:R655"/>
    <mergeCell ref="AP381:AR381"/>
    <mergeCell ref="Q448:S448"/>
    <mergeCell ref="U403:W403"/>
    <mergeCell ref="AC447:AE447"/>
    <mergeCell ref="AC437:AE437"/>
    <mergeCell ref="U655:V655"/>
    <mergeCell ref="Q509:S509"/>
    <mergeCell ref="AJ545:AL545"/>
    <mergeCell ref="U652:V652"/>
    <mergeCell ref="Q546:S546"/>
    <mergeCell ref="U523:W523"/>
    <mergeCell ref="Q531:S531"/>
    <mergeCell ref="Q477:S477"/>
    <mergeCell ref="AJ526:AL526"/>
    <mergeCell ref="Y652:AA652"/>
    <mergeCell ref="F550:P550"/>
    <mergeCell ref="U483:W483"/>
    <mergeCell ref="Y483:AA483"/>
    <mergeCell ref="AC483:AE483"/>
    <mergeCell ref="U489:W489"/>
    <mergeCell ref="Y489:AA489"/>
    <mergeCell ref="U404:W404"/>
    <mergeCell ref="Y404:AA404"/>
    <mergeCell ref="U408:W408"/>
    <mergeCell ref="Y408:AA408"/>
    <mergeCell ref="AC492:AE492"/>
    <mergeCell ref="AC450:AE450"/>
    <mergeCell ref="Q503:S503"/>
    <mergeCell ref="Q502:S502"/>
    <mergeCell ref="Q455:S455"/>
    <mergeCell ref="Q492:S492"/>
    <mergeCell ref="F556:P556"/>
    <mergeCell ref="Q577:S577"/>
    <mergeCell ref="F570:P570"/>
    <mergeCell ref="Y531:AA531"/>
    <mergeCell ref="AC531:AE531"/>
    <mergeCell ref="AG531:AI531"/>
    <mergeCell ref="AJ531:AL531"/>
    <mergeCell ref="AJ423:AL423"/>
    <mergeCell ref="Y422:AA422"/>
    <mergeCell ref="AG343:AI343"/>
    <mergeCell ref="AG337:AI337"/>
    <mergeCell ref="AG344:AI344"/>
    <mergeCell ref="Q337:S337"/>
    <mergeCell ref="AC340:AE340"/>
    <mergeCell ref="AJ356:AL356"/>
    <mergeCell ref="U310:W310"/>
    <mergeCell ref="AC316:AE316"/>
    <mergeCell ref="AG315:AI315"/>
    <mergeCell ref="AG314:AI314"/>
    <mergeCell ref="AJ311:AL311"/>
    <mergeCell ref="F344:P344"/>
    <mergeCell ref="F343:P343"/>
    <mergeCell ref="Q348:S348"/>
    <mergeCell ref="U350:W350"/>
    <mergeCell ref="F346:P346"/>
    <mergeCell ref="Y343:AA343"/>
    <mergeCell ref="Q355:S355"/>
    <mergeCell ref="Y345:AA345"/>
    <mergeCell ref="Y324:AA324"/>
    <mergeCell ref="Q354:S354"/>
    <mergeCell ref="F341:P341"/>
    <mergeCell ref="F339:P339"/>
    <mergeCell ref="AG326:AI326"/>
    <mergeCell ref="AC337:AE337"/>
    <mergeCell ref="Y342:AA342"/>
    <mergeCell ref="Y322:AA322"/>
    <mergeCell ref="Y323:AA323"/>
    <mergeCell ref="F334:P334"/>
    <mergeCell ref="F340:P340"/>
    <mergeCell ref="Q344:S344"/>
    <mergeCell ref="AC338:AE338"/>
    <mergeCell ref="AS362:AV362"/>
    <mergeCell ref="AW363:AZ363"/>
    <mergeCell ref="AW364:AZ364"/>
    <mergeCell ref="AM351:AO351"/>
    <mergeCell ref="AS368:AV368"/>
    <mergeCell ref="AW392:AZ392"/>
    <mergeCell ref="AG394:AI394"/>
    <mergeCell ref="AJ394:AL394"/>
    <mergeCell ref="AS430:AV430"/>
    <mergeCell ref="AS415:AV415"/>
    <mergeCell ref="AW349:AZ349"/>
    <mergeCell ref="AS385:AV385"/>
    <mergeCell ref="AS397:AV397"/>
    <mergeCell ref="AP429:AR429"/>
    <mergeCell ref="AJ415:AL415"/>
    <mergeCell ref="AP425:AR425"/>
    <mergeCell ref="AG408:AI408"/>
    <mergeCell ref="AM418:AO418"/>
    <mergeCell ref="AJ417:AL417"/>
    <mergeCell ref="AJ418:AL418"/>
    <mergeCell ref="AW407:AZ407"/>
    <mergeCell ref="AW406:AZ406"/>
    <mergeCell ref="AW405:AZ405"/>
    <mergeCell ref="AW399:AZ399"/>
    <mergeCell ref="AW415:AZ415"/>
    <mergeCell ref="AW409:AZ409"/>
    <mergeCell ref="AW410:AZ410"/>
    <mergeCell ref="AW418:AZ418"/>
    <mergeCell ref="AW419:AZ419"/>
    <mergeCell ref="AS417:AV417"/>
    <mergeCell ref="AW414:AZ414"/>
    <mergeCell ref="AS407:AV407"/>
    <mergeCell ref="AW412:AZ412"/>
    <mergeCell ref="AS413:AV413"/>
    <mergeCell ref="AP407:AR407"/>
    <mergeCell ref="AS411:AV411"/>
    <mergeCell ref="AP404:AR404"/>
    <mergeCell ref="AS398:AV398"/>
    <mergeCell ref="AM473:AO473"/>
    <mergeCell ref="AS457:AV457"/>
    <mergeCell ref="AS442:AV442"/>
    <mergeCell ref="AW489:AZ489"/>
    <mergeCell ref="AW507:AZ507"/>
    <mergeCell ref="U395:W395"/>
    <mergeCell ref="AJ416:AL416"/>
    <mergeCell ref="AP418:AR418"/>
    <mergeCell ref="AP419:AR419"/>
    <mergeCell ref="AC400:AE400"/>
    <mergeCell ref="Y401:AA401"/>
    <mergeCell ref="Y403:AA403"/>
    <mergeCell ref="AG411:AI411"/>
    <mergeCell ref="AG404:AI404"/>
    <mergeCell ref="AJ404:AL404"/>
    <mergeCell ref="AJ398:AL398"/>
    <mergeCell ref="AW426:AZ426"/>
    <mergeCell ref="AW421:AZ421"/>
    <mergeCell ref="AS423:AV423"/>
    <mergeCell ref="AS405:AV405"/>
    <mergeCell ref="AS399:AV399"/>
    <mergeCell ref="AW408:AZ408"/>
    <mergeCell ref="AW398:AZ398"/>
    <mergeCell ref="AW404:AZ404"/>
    <mergeCell ref="AJ434:AL434"/>
    <mergeCell ref="AM440:AO440"/>
    <mergeCell ref="AP470:AR470"/>
    <mergeCell ref="AP469:AR469"/>
    <mergeCell ref="AP452:AR452"/>
    <mergeCell ref="AP449:AR449"/>
    <mergeCell ref="AP450:AR450"/>
    <mergeCell ref="AS453:AV453"/>
    <mergeCell ref="AP448:AR448"/>
    <mergeCell ref="AS471:AV471"/>
    <mergeCell ref="AW455:AZ455"/>
    <mergeCell ref="AW457:AZ457"/>
    <mergeCell ref="AW451:AZ451"/>
    <mergeCell ref="AM449:AO449"/>
    <mergeCell ref="AS452:AV452"/>
    <mergeCell ref="AS466:AV466"/>
    <mergeCell ref="AW454:AZ454"/>
    <mergeCell ref="AJ471:AL471"/>
    <mergeCell ref="AS459:AV459"/>
    <mergeCell ref="AS458:AV458"/>
    <mergeCell ref="AW458:AZ458"/>
    <mergeCell ref="AP458:AR458"/>
    <mergeCell ref="AW459:AZ459"/>
    <mergeCell ref="AP444:AR444"/>
    <mergeCell ref="AP434:AR434"/>
    <mergeCell ref="AW452:AZ452"/>
    <mergeCell ref="AW438:AZ438"/>
    <mergeCell ref="AW448:AZ448"/>
    <mergeCell ref="AW442:AZ442"/>
    <mergeCell ref="AS438:AV438"/>
    <mergeCell ref="AW447:AZ447"/>
    <mergeCell ref="AS491:AV491"/>
    <mergeCell ref="AS496:AV496"/>
    <mergeCell ref="AW503:AZ503"/>
    <mergeCell ref="AW493:AZ493"/>
    <mergeCell ref="AW497:AZ497"/>
    <mergeCell ref="AW485:AZ485"/>
    <mergeCell ref="AW487:AZ487"/>
    <mergeCell ref="AS485:AV485"/>
    <mergeCell ref="AS488:AV488"/>
    <mergeCell ref="AS493:AV493"/>
    <mergeCell ref="AW492:AZ492"/>
    <mergeCell ref="AW484:AZ484"/>
    <mergeCell ref="AW486:AZ486"/>
    <mergeCell ref="AW481:AZ481"/>
    <mergeCell ref="AS455:AV455"/>
    <mergeCell ref="AS472:AV472"/>
    <mergeCell ref="AW483:AZ483"/>
    <mergeCell ref="AW476:AZ476"/>
    <mergeCell ref="AS468:AV468"/>
    <mergeCell ref="AS473:AV473"/>
    <mergeCell ref="AW479:AZ479"/>
    <mergeCell ref="AW468:AZ468"/>
    <mergeCell ref="AW477:AZ477"/>
    <mergeCell ref="AW456:AZ456"/>
    <mergeCell ref="AS476:AV476"/>
    <mergeCell ref="AW470:AZ470"/>
    <mergeCell ref="AS454:AV454"/>
    <mergeCell ref="AW482:AZ482"/>
    <mergeCell ref="AW505:AZ505"/>
    <mergeCell ref="AW501:AZ501"/>
    <mergeCell ref="AM518:AO518"/>
    <mergeCell ref="AM525:AO525"/>
    <mergeCell ref="AS504:AV504"/>
    <mergeCell ref="AS525:AV525"/>
    <mergeCell ref="AS495:AV495"/>
    <mergeCell ref="AJ515:AL515"/>
    <mergeCell ref="AM509:AO509"/>
    <mergeCell ref="AW490:AZ490"/>
    <mergeCell ref="AP504:AR504"/>
    <mergeCell ref="AW506:AZ506"/>
    <mergeCell ref="AW496:AZ496"/>
    <mergeCell ref="AP506:AR506"/>
    <mergeCell ref="AP502:AR502"/>
    <mergeCell ref="AP498:AR498"/>
    <mergeCell ref="AS497:AV497"/>
    <mergeCell ref="AW494:AZ494"/>
    <mergeCell ref="AW491:AZ491"/>
    <mergeCell ref="AS514:AV514"/>
    <mergeCell ref="AW514:AZ514"/>
    <mergeCell ref="AS517:AV517"/>
    <mergeCell ref="AS507:AV507"/>
    <mergeCell ref="AS509:AV509"/>
    <mergeCell ref="AW513:AZ513"/>
    <mergeCell ref="AJ507:AL507"/>
    <mergeCell ref="AM495:AO495"/>
    <mergeCell ref="AM492:AO492"/>
    <mergeCell ref="AJ494:AL494"/>
    <mergeCell ref="AW488:AZ488"/>
    <mergeCell ref="AS529:AV529"/>
    <mergeCell ref="AS508:AV508"/>
    <mergeCell ref="AP517:AR517"/>
    <mergeCell ref="AP507:AR507"/>
    <mergeCell ref="AS513:AV513"/>
    <mergeCell ref="AP505:AR505"/>
    <mergeCell ref="AJ528:AL528"/>
    <mergeCell ref="AG530:AI530"/>
    <mergeCell ref="AS512:AV512"/>
    <mergeCell ref="AW510:AZ510"/>
    <mergeCell ref="AP509:AR509"/>
    <mergeCell ref="AS502:AV502"/>
    <mergeCell ref="AS501:AV501"/>
    <mergeCell ref="AW500:AZ500"/>
    <mergeCell ref="AW499:AZ499"/>
    <mergeCell ref="AW498:AZ498"/>
    <mergeCell ref="AW502:AZ502"/>
    <mergeCell ref="AW524:AZ524"/>
    <mergeCell ref="AM528:AO528"/>
    <mergeCell ref="AW528:AZ528"/>
    <mergeCell ref="AS530:AV530"/>
    <mergeCell ref="AW530:AZ530"/>
    <mergeCell ref="AW522:AZ522"/>
    <mergeCell ref="AW527:AZ527"/>
    <mergeCell ref="AW526:AZ526"/>
    <mergeCell ref="AP515:AR515"/>
    <mergeCell ref="AS515:AV515"/>
    <mergeCell ref="AS516:AV516"/>
    <mergeCell ref="AP529:AR529"/>
    <mergeCell ref="AG502:AI502"/>
    <mergeCell ref="AW531:AZ531"/>
    <mergeCell ref="AS532:AV532"/>
    <mergeCell ref="AW537:AZ537"/>
    <mergeCell ref="AJ530:AL530"/>
    <mergeCell ref="AS521:AV521"/>
    <mergeCell ref="AS519:AV519"/>
    <mergeCell ref="AM513:AO513"/>
    <mergeCell ref="AJ519:AL519"/>
    <mergeCell ref="AP535:AR535"/>
    <mergeCell ref="AP523:AR523"/>
    <mergeCell ref="AJ514:AL514"/>
    <mergeCell ref="AP524:AR524"/>
    <mergeCell ref="AP525:AR525"/>
    <mergeCell ref="AM524:AO524"/>
    <mergeCell ref="AM521:AO521"/>
    <mergeCell ref="AW529:AZ529"/>
    <mergeCell ref="AM529:AO529"/>
    <mergeCell ref="AP534:AR534"/>
    <mergeCell ref="AS528:AV528"/>
    <mergeCell ref="AM519:AO519"/>
    <mergeCell ref="AM530:AO530"/>
    <mergeCell ref="AM522:AO522"/>
    <mergeCell ref="AP522:AR522"/>
    <mergeCell ref="AW519:AZ519"/>
    <mergeCell ref="AM531:AO531"/>
    <mergeCell ref="AW518:AZ518"/>
    <mergeCell ref="AW525:AZ525"/>
    <mergeCell ref="AW521:AZ521"/>
    <mergeCell ref="AW523:AZ523"/>
    <mergeCell ref="AW534:AZ534"/>
    <mergeCell ref="AM527:AO527"/>
    <mergeCell ref="AP513:AR513"/>
    <mergeCell ref="AC497:AE497"/>
    <mergeCell ref="AG498:AI498"/>
    <mergeCell ref="AJ496:AL496"/>
    <mergeCell ref="AC516:AE516"/>
    <mergeCell ref="U535:W535"/>
    <mergeCell ref="AC529:AE529"/>
    <mergeCell ref="AC544:AE544"/>
    <mergeCell ref="AC543:AE543"/>
    <mergeCell ref="U527:W527"/>
    <mergeCell ref="AC522:AE522"/>
    <mergeCell ref="AG525:AI525"/>
    <mergeCell ref="U574:W574"/>
    <mergeCell ref="Y560:AA560"/>
    <mergeCell ref="AC560:AE560"/>
    <mergeCell ref="AP555:AR555"/>
    <mergeCell ref="AJ547:AL547"/>
    <mergeCell ref="AP530:AR530"/>
    <mergeCell ref="Y503:AA503"/>
    <mergeCell ref="Y504:AA504"/>
    <mergeCell ref="U505:W505"/>
    <mergeCell ref="U506:W506"/>
    <mergeCell ref="U521:W521"/>
    <mergeCell ref="AG501:AI501"/>
    <mergeCell ref="Y520:AA520"/>
    <mergeCell ref="U549:W549"/>
    <mergeCell ref="AJ551:AL551"/>
    <mergeCell ref="Y567:AA567"/>
    <mergeCell ref="Y574:AA574"/>
    <mergeCell ref="AG544:AI544"/>
    <mergeCell ref="AG543:AI543"/>
    <mergeCell ref="AJ506:AL506"/>
    <mergeCell ref="U513:W513"/>
    <mergeCell ref="Q589:S589"/>
    <mergeCell ref="U591:W591"/>
    <mergeCell ref="Q575:S575"/>
    <mergeCell ref="U575:W575"/>
    <mergeCell ref="Y575:AA575"/>
    <mergeCell ref="AC575:AE575"/>
    <mergeCell ref="Q576:S576"/>
    <mergeCell ref="U576:W576"/>
    <mergeCell ref="Y577:AA577"/>
    <mergeCell ref="AC576:AE576"/>
    <mergeCell ref="AG576:AI576"/>
    <mergeCell ref="Y581:AA581"/>
    <mergeCell ref="Q580:S580"/>
    <mergeCell ref="U580:W580"/>
    <mergeCell ref="Y580:AA580"/>
    <mergeCell ref="AG571:AI571"/>
    <mergeCell ref="AC584:AE584"/>
    <mergeCell ref="AC571:AE571"/>
    <mergeCell ref="U586:W586"/>
    <mergeCell ref="F575:P575"/>
    <mergeCell ref="U577:W577"/>
    <mergeCell ref="AG572:AI572"/>
    <mergeCell ref="U573:W573"/>
    <mergeCell ref="AC573:AE573"/>
    <mergeCell ref="Y594:AA594"/>
    <mergeCell ref="AC594:AE594"/>
    <mergeCell ref="AG594:AI594"/>
    <mergeCell ref="F581:P581"/>
    <mergeCell ref="F577:P577"/>
    <mergeCell ref="U589:W589"/>
    <mergeCell ref="AM596:AO596"/>
    <mergeCell ref="AM590:AO590"/>
    <mergeCell ref="AG592:AI592"/>
    <mergeCell ref="AM572:AO572"/>
    <mergeCell ref="AJ591:AL591"/>
    <mergeCell ref="AM591:AO591"/>
    <mergeCell ref="AC590:AE590"/>
    <mergeCell ref="AM588:AO588"/>
    <mergeCell ref="AJ573:AL573"/>
    <mergeCell ref="AG582:AI582"/>
    <mergeCell ref="AG575:AI575"/>
    <mergeCell ref="AG578:AI578"/>
    <mergeCell ref="AM585:AO585"/>
    <mergeCell ref="F573:P573"/>
    <mergeCell ref="F578:P578"/>
    <mergeCell ref="F583:P583"/>
    <mergeCell ref="H589:P589"/>
    <mergeCell ref="H595:P595"/>
    <mergeCell ref="Q595:S595"/>
    <mergeCell ref="Q584:S584"/>
    <mergeCell ref="F584:P584"/>
    <mergeCell ref="AH691:AK691"/>
    <mergeCell ref="AM593:AO593"/>
    <mergeCell ref="AH692:AK692"/>
    <mergeCell ref="AM612:AO612"/>
    <mergeCell ref="Y588:AA588"/>
    <mergeCell ref="D1:E1"/>
    <mergeCell ref="AP377:AR377"/>
    <mergeCell ref="AS377:AV377"/>
    <mergeCell ref="AW377:AZ377"/>
    <mergeCell ref="AC377:AE377"/>
    <mergeCell ref="AG377:AI377"/>
    <mergeCell ref="AJ377:AL377"/>
    <mergeCell ref="AM377:AO377"/>
    <mergeCell ref="F377:P377"/>
    <mergeCell ref="Q377:S377"/>
    <mergeCell ref="Q556:S556"/>
    <mergeCell ref="AJ579:AL579"/>
    <mergeCell ref="AC556:AE556"/>
    <mergeCell ref="AG556:AI556"/>
    <mergeCell ref="AJ556:AL556"/>
    <mergeCell ref="Q553:S553"/>
    <mergeCell ref="U553:W553"/>
    <mergeCell ref="Y553:AA553"/>
    <mergeCell ref="AC553:AE553"/>
    <mergeCell ref="H590:P590"/>
    <mergeCell ref="F488:P488"/>
    <mergeCell ref="AP408:AR408"/>
    <mergeCell ref="F431:P431"/>
    <mergeCell ref="AM606:AO606"/>
    <mergeCell ref="Q606:S606"/>
    <mergeCell ref="AP561:AR561"/>
    <mergeCell ref="F572:P572"/>
    <mergeCell ref="AH694:AK694"/>
    <mergeCell ref="AM619:AO619"/>
    <mergeCell ref="AM582:AO582"/>
    <mergeCell ref="AM584:AO584"/>
    <mergeCell ref="AP584:AR584"/>
    <mergeCell ref="AC580:AE580"/>
    <mergeCell ref="AG580:AI580"/>
    <mergeCell ref="AJ590:AL590"/>
    <mergeCell ref="AJ605:AL605"/>
    <mergeCell ref="AP609:AR609"/>
    <mergeCell ref="AG610:AI610"/>
    <mergeCell ref="AJ610:AL610"/>
    <mergeCell ref="AM604:AO604"/>
    <mergeCell ref="AP604:AR604"/>
    <mergeCell ref="Q607:S607"/>
    <mergeCell ref="U607:W607"/>
    <mergeCell ref="AJ593:AL593"/>
    <mergeCell ref="Y608:AA608"/>
    <mergeCell ref="Q608:S608"/>
    <mergeCell ref="U613:W613"/>
    <mergeCell ref="Y613:AA613"/>
    <mergeCell ref="Y596:AA596"/>
    <mergeCell ref="AG606:AI606"/>
    <mergeCell ref="AJ606:AL606"/>
    <mergeCell ref="AG611:AI611"/>
    <mergeCell ref="AJ611:AL611"/>
    <mergeCell ref="AC611:AE611"/>
    <mergeCell ref="AJ609:AL609"/>
    <mergeCell ref="AL690:AP690"/>
    <mergeCell ref="AQ690:AU690"/>
    <mergeCell ref="AS634:AV634"/>
    <mergeCell ref="AH690:AK690"/>
    <mergeCell ref="AL691:AP691"/>
    <mergeCell ref="AQ691:AU691"/>
    <mergeCell ref="AV691:AZ691"/>
    <mergeCell ref="AH693:AK693"/>
    <mergeCell ref="AJ608:AL608"/>
    <mergeCell ref="F611:P611"/>
    <mergeCell ref="Y607:AA607"/>
    <mergeCell ref="AC610:AE610"/>
    <mergeCell ref="Q609:S609"/>
    <mergeCell ref="AP596:AR596"/>
    <mergeCell ref="AM603:AO603"/>
    <mergeCell ref="AJ604:AL604"/>
    <mergeCell ref="Y605:AA605"/>
    <mergeCell ref="AP610:AR610"/>
    <mergeCell ref="AP607:AR607"/>
    <mergeCell ref="AJ603:AL603"/>
    <mergeCell ref="U611:W611"/>
    <mergeCell ref="Y611:AA611"/>
    <mergeCell ref="Q605:S605"/>
    <mergeCell ref="U605:W605"/>
    <mergeCell ref="U610:W610"/>
    <mergeCell ref="AJ607:AL607"/>
    <mergeCell ref="U604:W604"/>
    <mergeCell ref="AC608:AE608"/>
    <mergeCell ref="AG608:AI608"/>
    <mergeCell ref="Y609:AA609"/>
    <mergeCell ref="AC612:AE612"/>
    <mergeCell ref="AG613:AI613"/>
    <mergeCell ref="Y604:AA604"/>
    <mergeCell ref="AM614:AO614"/>
    <mergeCell ref="AW631:AZ631"/>
    <mergeCell ref="AM613:AO613"/>
    <mergeCell ref="AW634:AZ634"/>
    <mergeCell ref="AP636:AR636"/>
    <mergeCell ref="AS636:AV636"/>
    <mergeCell ref="AJ635:AL635"/>
    <mergeCell ref="AW659:AZ659"/>
    <mergeCell ref="AS652:AV652"/>
    <mergeCell ref="AW652:AZ652"/>
    <mergeCell ref="AP652:AR652"/>
    <mergeCell ref="AH695:AK695"/>
    <mergeCell ref="AW619:AZ619"/>
    <mergeCell ref="AW616:AZ616"/>
    <mergeCell ref="AM605:AO605"/>
    <mergeCell ref="AP605:AR605"/>
    <mergeCell ref="AS605:AV605"/>
    <mergeCell ref="AS614:AV614"/>
    <mergeCell ref="AS612:AV612"/>
    <mergeCell ref="AM610:AO610"/>
    <mergeCell ref="AV692:AZ692"/>
    <mergeCell ref="AV693:AZ693"/>
    <mergeCell ref="AV695:AZ695"/>
    <mergeCell ref="AQ692:AU692"/>
    <mergeCell ref="AQ693:AU693"/>
    <mergeCell ref="AQ695:AU695"/>
    <mergeCell ref="AL692:AP692"/>
    <mergeCell ref="AL693:AP693"/>
    <mergeCell ref="AL695:AP695"/>
    <mergeCell ref="AL694:AP694"/>
    <mergeCell ref="AQ694:AU694"/>
    <mergeCell ref="AV694:AZ694"/>
    <mergeCell ref="AS609:AV609"/>
    <mergeCell ref="AJ613:AL613"/>
    <mergeCell ref="AV690:AZ690"/>
    <mergeCell ref="AW417:AZ417"/>
    <mergeCell ref="AW428:AZ428"/>
    <mergeCell ref="AP430:AR430"/>
    <mergeCell ref="AM609:AO609"/>
    <mergeCell ref="AM611:AO611"/>
    <mergeCell ref="AM427:AO427"/>
    <mergeCell ref="Y429:AA429"/>
    <mergeCell ref="AW429:AZ429"/>
    <mergeCell ref="AW420:AZ420"/>
    <mergeCell ref="AW423:AZ423"/>
    <mergeCell ref="AW424:AZ424"/>
    <mergeCell ref="AP417:AR417"/>
    <mergeCell ref="Y431:AA431"/>
    <mergeCell ref="AJ431:AL431"/>
    <mergeCell ref="AM431:AO431"/>
    <mergeCell ref="AP431:AR431"/>
    <mergeCell ref="Y430:AA430"/>
    <mergeCell ref="AJ430:AL430"/>
    <mergeCell ref="AM430:AO430"/>
    <mergeCell ref="AM422:AO422"/>
    <mergeCell ref="AP436:AR436"/>
    <mergeCell ref="AG573:AI573"/>
    <mergeCell ref="AP593:AR593"/>
    <mergeCell ref="AC567:AE567"/>
    <mergeCell ref="Y610:AA610"/>
    <mergeCell ref="AG566:AI566"/>
    <mergeCell ref="AW547:AZ547"/>
    <mergeCell ref="AP422:AR422"/>
    <mergeCell ref="Y494:AA494"/>
    <mergeCell ref="Y502:AA502"/>
    <mergeCell ref="AC502:AE502"/>
    <mergeCell ref="AC603:AE603"/>
    <mergeCell ref="BB110:BB112"/>
    <mergeCell ref="U346:W346"/>
    <mergeCell ref="Y346:AA346"/>
    <mergeCell ref="AC346:AE346"/>
    <mergeCell ref="AG346:AI346"/>
    <mergeCell ref="AJ346:AL346"/>
    <mergeCell ref="AM346:AO346"/>
    <mergeCell ref="AP346:AR346"/>
    <mergeCell ref="AS346:AV346"/>
    <mergeCell ref="AW346:AZ346"/>
    <mergeCell ref="AV100:AY100"/>
    <mergeCell ref="AJ100:AM100"/>
    <mergeCell ref="AR101:AU101"/>
    <mergeCell ref="AN101:AQ101"/>
    <mergeCell ref="AF101:AI101"/>
    <mergeCell ref="AF129:AI129"/>
    <mergeCell ref="AJ128:AM129"/>
    <mergeCell ref="AF128:AI128"/>
    <mergeCell ref="AB129:AE129"/>
    <mergeCell ref="AA160:AC160"/>
    <mergeCell ref="AW337:AZ337"/>
    <mergeCell ref="AS338:AV338"/>
    <mergeCell ref="AC344:AE344"/>
    <mergeCell ref="AB109:AE109"/>
    <mergeCell ref="X109:AA109"/>
    <mergeCell ref="T109:W109"/>
    <mergeCell ref="AB101:AE101"/>
    <mergeCell ref="AP327:AR327"/>
    <mergeCell ref="AP329:AR329"/>
    <mergeCell ref="BB188:BB190"/>
    <mergeCell ref="AS290:AV290"/>
    <mergeCell ref="AS222:AV222"/>
    <mergeCell ref="F555:P555"/>
    <mergeCell ref="Q475:S475"/>
    <mergeCell ref="Y455:AA455"/>
    <mergeCell ref="AM517:AO517"/>
    <mergeCell ref="U428:W428"/>
    <mergeCell ref="U477:W477"/>
    <mergeCell ref="Q472:S472"/>
    <mergeCell ref="Q471:S471"/>
    <mergeCell ref="U471:W471"/>
    <mergeCell ref="Y471:AA471"/>
    <mergeCell ref="AC471:AE471"/>
    <mergeCell ref="AG471:AI471"/>
    <mergeCell ref="Y467:AA467"/>
    <mergeCell ref="AG459:AI459"/>
    <mergeCell ref="AC446:AE446"/>
    <mergeCell ref="Y423:AA423"/>
    <mergeCell ref="AC451:AE451"/>
    <mergeCell ref="Y450:AA450"/>
    <mergeCell ref="U466:W466"/>
    <mergeCell ref="AM526:AO526"/>
    <mergeCell ref="AM523:AO523"/>
    <mergeCell ref="AJ536:AL536"/>
    <mergeCell ref="AJ429:AL429"/>
    <mergeCell ref="AC467:AE467"/>
    <mergeCell ref="AG472:AI472"/>
    <mergeCell ref="AC470:AE470"/>
    <mergeCell ref="AC477:AE477"/>
    <mergeCell ref="Y449:AA449"/>
    <mergeCell ref="AG451:AI451"/>
    <mergeCell ref="Q451:S451"/>
    <mergeCell ref="U452:W452"/>
    <mergeCell ref="Y536:AA536"/>
    <mergeCell ref="AG359:AI359"/>
    <mergeCell ref="AJ380:AL380"/>
    <mergeCell ref="F206:P206"/>
    <mergeCell ref="AC349:AE349"/>
    <mergeCell ref="AC353:AE353"/>
    <mergeCell ref="AJ408:AL408"/>
    <mergeCell ref="D137:E143"/>
    <mergeCell ref="D128:E135"/>
    <mergeCell ref="Y311:AA311"/>
    <mergeCell ref="Y315:AA315"/>
    <mergeCell ref="Q314:S314"/>
    <mergeCell ref="U315:W315"/>
    <mergeCell ref="AP313:AR313"/>
    <mergeCell ref="AJ325:AL325"/>
    <mergeCell ref="Y419:AA419"/>
    <mergeCell ref="AP359:AR359"/>
    <mergeCell ref="AP411:AR411"/>
    <mergeCell ref="AP318:AR318"/>
    <mergeCell ref="X129:AA129"/>
    <mergeCell ref="AP399:AR399"/>
    <mergeCell ref="U400:W400"/>
    <mergeCell ref="Q417:S417"/>
    <mergeCell ref="Y417:AA417"/>
    <mergeCell ref="AP397:AR397"/>
    <mergeCell ref="AM362:AO362"/>
    <mergeCell ref="AM364:AO364"/>
    <mergeCell ref="AM391:AO391"/>
    <mergeCell ref="AP391:AR391"/>
    <mergeCell ref="AP403:AR403"/>
    <mergeCell ref="AP405:AR405"/>
    <mergeCell ref="AM210:AO210"/>
    <mergeCell ref="B309:D370"/>
    <mergeCell ref="AP361:AR361"/>
    <mergeCell ref="AS365:AV365"/>
    <mergeCell ref="AP363:AR363"/>
    <mergeCell ref="AW380:AZ380"/>
    <mergeCell ref="AS345:AV345"/>
    <mergeCell ref="AS354:AV354"/>
    <mergeCell ref="AS355:AV355"/>
    <mergeCell ref="AS366:AV366"/>
    <mergeCell ref="AS364:AV364"/>
    <mergeCell ref="AW348:AZ348"/>
    <mergeCell ref="AW362:AZ362"/>
    <mergeCell ref="AW359:AZ359"/>
    <mergeCell ref="AW355:AZ355"/>
    <mergeCell ref="AW354:AZ354"/>
    <mergeCell ref="AS352:AV352"/>
    <mergeCell ref="D117:E117"/>
    <mergeCell ref="AG321:AI321"/>
    <mergeCell ref="AP347:AR347"/>
    <mergeCell ref="AM335:AO335"/>
    <mergeCell ref="AP334:AR334"/>
    <mergeCell ref="AW333:AZ333"/>
    <mergeCell ref="AS322:AV322"/>
    <mergeCell ref="AW322:AZ322"/>
    <mergeCell ref="AP325:AR325"/>
    <mergeCell ref="AW323:AZ323"/>
    <mergeCell ref="AS324:AV324"/>
    <mergeCell ref="AG333:AI333"/>
    <mergeCell ref="AG334:AI334"/>
    <mergeCell ref="AS343:AV343"/>
    <mergeCell ref="AS348:AV348"/>
    <mergeCell ref="AW342:AZ342"/>
    <mergeCell ref="AM368:AO368"/>
    <mergeCell ref="AW396:AZ396"/>
    <mergeCell ref="AW350:AZ350"/>
    <mergeCell ref="Y312:AA312"/>
    <mergeCell ref="AJ361:AL361"/>
    <mergeCell ref="AW403:AZ403"/>
    <mergeCell ref="AS381:AV381"/>
    <mergeCell ref="AW381:AZ381"/>
    <mergeCell ref="Y384:AA384"/>
    <mergeCell ref="AJ387:AL387"/>
    <mergeCell ref="AW411:AZ411"/>
    <mergeCell ref="AW401:AZ401"/>
    <mergeCell ref="AW358:AZ358"/>
    <mergeCell ref="AW357:AZ357"/>
    <mergeCell ref="AW360:AZ360"/>
    <mergeCell ref="AW338:AZ338"/>
    <mergeCell ref="AW356:AZ356"/>
    <mergeCell ref="AJ357:AL357"/>
    <mergeCell ref="AC403:AE403"/>
    <mergeCell ref="AP400:AR400"/>
    <mergeCell ref="AS391:AV391"/>
    <mergeCell ref="AW391:AZ391"/>
    <mergeCell ref="AW397:AZ397"/>
    <mergeCell ref="AW400:AZ400"/>
    <mergeCell ref="AS394:AV394"/>
    <mergeCell ref="AS396:AV396"/>
    <mergeCell ref="Y406:AA406"/>
    <mergeCell ref="AJ338:AL338"/>
    <mergeCell ref="AG347:AI347"/>
    <mergeCell ref="AG327:AI327"/>
    <mergeCell ref="AJ322:AL322"/>
    <mergeCell ref="AW315:AZ315"/>
    <mergeCell ref="AC323:AE323"/>
    <mergeCell ref="AW375:AZ375"/>
    <mergeCell ref="AS376:AV376"/>
    <mergeCell ref="AP384:AR384"/>
    <mergeCell ref="AS384:AV384"/>
    <mergeCell ref="AM389:AO389"/>
    <mergeCell ref="AP387:AR387"/>
    <mergeCell ref="AP369:AR369"/>
    <mergeCell ref="AP378:AR378"/>
    <mergeCell ref="AS382:AV382"/>
    <mergeCell ref="AP368:AR368"/>
    <mergeCell ref="AM386:AO386"/>
    <mergeCell ref="AP383:AR383"/>
    <mergeCell ref="U391:W391"/>
    <mergeCell ref="AP393:AR393"/>
    <mergeCell ref="AM384:AO384"/>
    <mergeCell ref="AP380:AR380"/>
    <mergeCell ref="AC380:AE380"/>
    <mergeCell ref="AP386:AR386"/>
    <mergeCell ref="AW369:AZ369"/>
    <mergeCell ref="AW382:AZ382"/>
    <mergeCell ref="AW387:AZ387"/>
    <mergeCell ref="AS393:AV393"/>
    <mergeCell ref="U388:W388"/>
    <mergeCell ref="AS378:AV378"/>
    <mergeCell ref="AW370:AZ370"/>
    <mergeCell ref="U383:W383"/>
    <mergeCell ref="AM382:AO382"/>
    <mergeCell ref="AM383:AO383"/>
    <mergeCell ref="AG379:AI379"/>
    <mergeCell ref="AG390:AI390"/>
    <mergeCell ref="AG393:AI393"/>
    <mergeCell ref="AJ386:AL386"/>
    <mergeCell ref="AP360:AR360"/>
    <mergeCell ref="F359:P359"/>
    <mergeCell ref="AP358:AR358"/>
    <mergeCell ref="F358:P358"/>
    <mergeCell ref="U359:W359"/>
    <mergeCell ref="Q359:S359"/>
    <mergeCell ref="AW416:AZ416"/>
    <mergeCell ref="AM385:AO385"/>
    <mergeCell ref="AW413:AZ413"/>
    <mergeCell ref="AJ413:AL413"/>
    <mergeCell ref="AM413:AO413"/>
    <mergeCell ref="F395:P395"/>
    <mergeCell ref="Q395:S395"/>
    <mergeCell ref="AS390:AV390"/>
    <mergeCell ref="AW384:AZ384"/>
    <mergeCell ref="AW388:AZ388"/>
    <mergeCell ref="AW367:AZ367"/>
    <mergeCell ref="AW385:AZ385"/>
    <mergeCell ref="AW383:AZ383"/>
    <mergeCell ref="AW366:AZ366"/>
    <mergeCell ref="AW394:AZ394"/>
    <mergeCell ref="AP379:AR379"/>
    <mergeCell ref="AJ385:AL385"/>
    <mergeCell ref="Y386:AA386"/>
    <mergeCell ref="AW376:AZ376"/>
    <mergeCell ref="F396:P396"/>
    <mergeCell ref="AG391:AI391"/>
    <mergeCell ref="AW393:AZ393"/>
    <mergeCell ref="Q380:S380"/>
    <mergeCell ref="AM366:AO366"/>
    <mergeCell ref="AJ382:AL382"/>
    <mergeCell ref="AM379:AO379"/>
    <mergeCell ref="F6:Q6"/>
    <mergeCell ref="F7:Q7"/>
    <mergeCell ref="AV118:AZ119"/>
    <mergeCell ref="AV109:AY109"/>
    <mergeCell ref="AR109:AU109"/>
    <mergeCell ref="AN109:AQ109"/>
    <mergeCell ref="AJ109:AM109"/>
    <mergeCell ref="AF109:AI109"/>
    <mergeCell ref="AP111:AR111"/>
    <mergeCell ref="AU118:AU119"/>
    <mergeCell ref="P119:S119"/>
    <mergeCell ref="T119:W119"/>
    <mergeCell ref="V106:W106"/>
    <mergeCell ref="C15:J15"/>
    <mergeCell ref="R20:U20"/>
    <mergeCell ref="V26:Y26"/>
    <mergeCell ref="B85:E113"/>
    <mergeCell ref="X101:AA101"/>
    <mergeCell ref="AR38:AU38"/>
    <mergeCell ref="B117:C123"/>
    <mergeCell ref="AB120:AC120"/>
    <mergeCell ref="T120:U120"/>
    <mergeCell ref="T121:U121"/>
    <mergeCell ref="T122:U122"/>
    <mergeCell ref="X120:Y120"/>
    <mergeCell ref="X121:Y121"/>
    <mergeCell ref="X122:Y122"/>
    <mergeCell ref="AJ94:AM94"/>
    <mergeCell ref="AN100:AP100"/>
    <mergeCell ref="AJ97:AM97"/>
    <mergeCell ref="AN118:AQ119"/>
    <mergeCell ref="D118:E123"/>
    <mergeCell ref="AS344:AV344"/>
    <mergeCell ref="AS347:AV347"/>
    <mergeCell ref="AM359:AO359"/>
    <mergeCell ref="AM353:AO353"/>
    <mergeCell ref="AP338:AR338"/>
    <mergeCell ref="AP354:AR354"/>
    <mergeCell ref="AP341:AR341"/>
    <mergeCell ref="AP356:AR356"/>
    <mergeCell ref="AM325:AO325"/>
    <mergeCell ref="AM352:AO352"/>
    <mergeCell ref="AS337:AV337"/>
    <mergeCell ref="AS350:AV350"/>
    <mergeCell ref="AS357:AV357"/>
    <mergeCell ref="AP324:AR324"/>
    <mergeCell ref="AP326:AR326"/>
    <mergeCell ref="AN94:AQ94"/>
    <mergeCell ref="AN96:AQ96"/>
    <mergeCell ref="AV101:AY101"/>
    <mergeCell ref="AU145:AU146"/>
    <mergeCell ref="AO162:AR162"/>
    <mergeCell ref="AV162:AZ162"/>
    <mergeCell ref="AS162:AU162"/>
    <mergeCell ref="AK160:AN160"/>
    <mergeCell ref="AN148:AQ149"/>
    <mergeCell ref="AR148:AT149"/>
    <mergeCell ref="AJ148:AM149"/>
    <mergeCell ref="AF164:AJ164"/>
    <mergeCell ref="AK162:AN162"/>
    <mergeCell ref="AL111:AN111"/>
    <mergeCell ref="AF95:AI95"/>
    <mergeCell ref="AF96:AI96"/>
    <mergeCell ref="AJ118:AM119"/>
    <mergeCell ref="U358:W358"/>
    <mergeCell ref="L118:O119"/>
    <mergeCell ref="P118:S118"/>
    <mergeCell ref="T118:W118"/>
    <mergeCell ref="AJ234:AL234"/>
    <mergeCell ref="AJ343:AL343"/>
    <mergeCell ref="AG340:AI340"/>
    <mergeCell ref="AJ337:AL337"/>
    <mergeCell ref="AJ353:AL353"/>
    <mergeCell ref="AM356:AO356"/>
    <mergeCell ref="AM357:AO357"/>
    <mergeCell ref="F353:P353"/>
    <mergeCell ref="F337:P337"/>
    <mergeCell ref="F355:P355"/>
    <mergeCell ref="AM288:AO288"/>
    <mergeCell ref="AM213:AO213"/>
    <mergeCell ref="Q206:S206"/>
    <mergeCell ref="U206:W206"/>
    <mergeCell ref="AJ243:AL243"/>
    <mergeCell ref="AC239:AE239"/>
    <mergeCell ref="AM263:AO263"/>
    <mergeCell ref="T129:W129"/>
    <mergeCell ref="F118:K119"/>
    <mergeCell ref="U348:W348"/>
    <mergeCell ref="P138:S138"/>
    <mergeCell ref="U196:W196"/>
    <mergeCell ref="AG325:AI325"/>
    <mergeCell ref="F348:P348"/>
    <mergeCell ref="F347:P347"/>
    <mergeCell ref="F351:P351"/>
    <mergeCell ref="F354:P354"/>
    <mergeCell ref="AG353:AI353"/>
    <mergeCell ref="X90:AA90"/>
    <mergeCell ref="T138:W138"/>
    <mergeCell ref="V112:Y112"/>
    <mergeCell ref="L128:O129"/>
    <mergeCell ref="G134:I134"/>
    <mergeCell ref="F137:K138"/>
    <mergeCell ref="F128:K129"/>
    <mergeCell ref="H112:J112"/>
    <mergeCell ref="L112:N112"/>
    <mergeCell ref="R112:T112"/>
    <mergeCell ref="AP349:AR349"/>
    <mergeCell ref="AP345:AR345"/>
    <mergeCell ref="AP350:AR350"/>
    <mergeCell ref="AM206:AO206"/>
    <mergeCell ref="AM336:AO336"/>
    <mergeCell ref="L109:O109"/>
    <mergeCell ref="H109:K109"/>
    <mergeCell ref="H111:J111"/>
    <mergeCell ref="V105:W105"/>
    <mergeCell ref="V107:W107"/>
    <mergeCell ref="T102:U102"/>
    <mergeCell ref="T104:U104"/>
    <mergeCell ref="T105:U105"/>
    <mergeCell ref="P109:S109"/>
    <mergeCell ref="AG323:AI323"/>
    <mergeCell ref="AJ323:AL323"/>
    <mergeCell ref="F345:P345"/>
    <mergeCell ref="F350:P350"/>
    <mergeCell ref="F349:P349"/>
    <mergeCell ref="AP213:AR213"/>
    <mergeCell ref="AP312:AR312"/>
    <mergeCell ref="AR145:AT146"/>
  </mergeCells>
  <phoneticPr fontId="22"/>
  <conditionalFormatting sqref="AJ659:AR659 AJ597:AR597 AJ537:AR537 AJ460:AR460 AJ370:AR370 AJ244:AR244 AJ273:AR273 AJ304:AR304 AJ215:AR215">
    <cfRule type="cellIs" dxfId="48" priority="23" stopIfTrue="1" operator="equal">
      <formula>"補助票と面積が違います！"</formula>
    </cfRule>
  </conditionalFormatting>
  <conditionalFormatting sqref="AL25">
    <cfRule type="cellIs" dxfId="47" priority="25" stopIfTrue="1" operator="notBetween">
      <formula>$AL$31</formula>
      <formula>$AL$35</formula>
    </cfRule>
  </conditionalFormatting>
  <conditionalFormatting sqref="R20:U20 R22:U29">
    <cfRule type="cellIs" dxfId="46" priority="22" operator="equal">
      <formula>0</formula>
    </cfRule>
  </conditionalFormatting>
  <conditionalFormatting sqref="R52:U53">
    <cfRule type="cellIs" dxfId="45" priority="21" operator="equal">
      <formula>0</formula>
    </cfRule>
  </conditionalFormatting>
  <conditionalFormatting sqref="R59:U59 R62:U62 R65:U68">
    <cfRule type="cellIs" dxfId="44" priority="20" operator="equal">
      <formula>0</formula>
    </cfRule>
  </conditionalFormatting>
  <conditionalFormatting sqref="AF107:AI107">
    <cfRule type="expression" dxfId="43" priority="16">
      <formula>ISNUMBER($AH$103)</formula>
    </cfRule>
  </conditionalFormatting>
  <conditionalFormatting sqref="AF106:AI106">
    <cfRule type="expression" dxfId="42" priority="14">
      <formula>ISNUMBER($AH$103)</formula>
    </cfRule>
  </conditionalFormatting>
  <conditionalFormatting sqref="AM7:AO8">
    <cfRule type="expression" dxfId="41" priority="12">
      <formula>AND($AD$8="住宅・アパート",$AM$7="ＬＧＳ")</formula>
    </cfRule>
  </conditionalFormatting>
  <conditionalFormatting sqref="R60:U61">
    <cfRule type="cellIs" dxfId="40" priority="11" operator="equal">
      <formula>0</formula>
    </cfRule>
  </conditionalFormatting>
  <conditionalFormatting sqref="R63:U64">
    <cfRule type="cellIs" dxfId="39" priority="10" operator="equal">
      <formula>0</formula>
    </cfRule>
  </conditionalFormatting>
  <conditionalFormatting sqref="R69:U69">
    <cfRule type="cellIs" dxfId="38" priority="9" operator="equal">
      <formula>0</formula>
    </cfRule>
  </conditionalFormatting>
  <conditionalFormatting sqref="R21:U21">
    <cfRule type="cellIs" dxfId="37" priority="8" operator="equal">
      <formula>0</formula>
    </cfRule>
  </conditionalFormatting>
  <conditionalFormatting sqref="R38 R41 R44 R47">
    <cfRule type="cellIs" dxfId="36" priority="5" operator="equal">
      <formula>0</formula>
    </cfRule>
  </conditionalFormatting>
  <conditionalFormatting sqref="R39:R40">
    <cfRule type="cellIs" dxfId="35" priority="4" operator="equal">
      <formula>0</formula>
    </cfRule>
  </conditionalFormatting>
  <conditionalFormatting sqref="R42:R43">
    <cfRule type="cellIs" dxfId="34" priority="3" operator="equal">
      <formula>0</formula>
    </cfRule>
  </conditionalFormatting>
  <conditionalFormatting sqref="R45:R46">
    <cfRule type="cellIs" dxfId="33" priority="2" operator="equal">
      <formula>0</formula>
    </cfRule>
  </conditionalFormatting>
  <conditionalFormatting sqref="R48:R49">
    <cfRule type="cellIs" dxfId="32" priority="1" operator="equal">
      <formula>0</formula>
    </cfRule>
  </conditionalFormatting>
  <dataValidations disablePrompts="1" count="35">
    <dataValidation type="list" allowBlank="1" showInputMessage="1" showErrorMessage="1" sqref="G652:G654">
      <formula1>$G$655:$G$656</formula1>
    </dataValidation>
    <dataValidation type="list" allowBlank="1" showInputMessage="1" showErrorMessage="1" sqref="AD652:AF654">
      <formula1>$AD$655:$AD$657</formula1>
    </dataValidation>
    <dataValidation type="list" allowBlank="1" showInputMessage="1" showErrorMessage="1" sqref="R674">
      <formula1>$R$676:$R$679</formula1>
    </dataValidation>
    <dataValidation type="list" allowBlank="1" showInputMessage="1" showErrorMessage="1" sqref="AD675">
      <formula1>$AD$676:$AD$679</formula1>
    </dataValidation>
    <dataValidation type="list" allowBlank="1" showInputMessage="1" showErrorMessage="1" sqref="X675:Z675">
      <formula1>$X$676:$X$678</formula1>
    </dataValidation>
    <dataValidation type="list" allowBlank="1" showInputMessage="1" showErrorMessage="1" sqref="P148:S148">
      <formula1>$P$150:$P$152</formula1>
    </dataValidation>
    <dataValidation type="list" allowBlank="1" showInputMessage="1" showErrorMessage="1" sqref="AB137:AE137">
      <formula1>$AB$139:$AB$140</formula1>
    </dataValidation>
    <dataValidation type="list" allowBlank="1" showInputMessage="1" showErrorMessage="1" sqref="T137:W137">
      <formula1>$T$139:$T$142</formula1>
    </dataValidation>
    <dataValidation type="list" allowBlank="1" showInputMessage="1" showErrorMessage="1" sqref="X137:AA137">
      <formula1>$X$139:$X$141</formula1>
    </dataValidation>
    <dataValidation type="list" allowBlank="1" showInputMessage="1" showErrorMessage="1" sqref="AF128:AI128">
      <formula1>$AF$130:$AF$131</formula1>
    </dataValidation>
    <dataValidation type="list" allowBlank="1" showInputMessage="1" showErrorMessage="1" sqref="AB128:AE128">
      <formula1>$AB$130:$AB$132</formula1>
    </dataValidation>
    <dataValidation type="list" allowBlank="1" showInputMessage="1" showErrorMessage="1" sqref="T128:W128">
      <formula1>$T$130:$T$133</formula1>
    </dataValidation>
    <dataValidation type="list" allowBlank="1" showInputMessage="1" showErrorMessage="1" sqref="AB100:AE100">
      <formula1>$AB$102:$AB$104</formula1>
    </dataValidation>
    <dataValidation type="list" allowBlank="1" showInputMessage="1" showErrorMessage="1" sqref="AV100:AY100">
      <formula1>$AV$102:$AV$104</formula1>
    </dataValidation>
    <dataValidation type="list" allowBlank="1" showInputMessage="1" showErrorMessage="1" sqref="AJ100:AM100">
      <formula1>$AJ$102:$AJ$104</formula1>
    </dataValidation>
    <dataValidation type="list" allowBlank="1" showInputMessage="1" showErrorMessage="1" sqref="AR100:AU100">
      <formula1>$AR$102:$AR$104</formula1>
    </dataValidation>
    <dataValidation type="list" allowBlank="1" showInputMessage="1" sqref="AM7:AO8">
      <formula1>構造名称</formula1>
    </dataValidation>
    <dataValidation type="list" allowBlank="1" showInputMessage="1" showErrorMessage="1" sqref="AD8:AJ8">
      <formula1>評価基準名称</formula1>
    </dataValidation>
    <dataValidation type="list" allowBlank="1" showInputMessage="1" showErrorMessage="1" sqref="AN52:AO53">
      <formula1>$AN$54:$AN$56</formula1>
    </dataValidation>
    <dataValidation type="list" allowBlank="1" showInputMessage="1" showErrorMessage="1" sqref="X100:AA100">
      <formula1>$X$102:$X$107</formula1>
    </dataValidation>
    <dataValidation type="list" allowBlank="1" showInputMessage="1" showErrorMessage="1" sqref="F85:Q86">
      <formula1>H$89:H$97</formula1>
    </dataValidation>
    <dataValidation type="list" allowBlank="1" showInputMessage="1" showErrorMessage="1" sqref="F28:K28">
      <formula1>"胴縁控除必要,胴縁控除不要,控除なし"</formula1>
    </dataValidation>
    <dataValidation type="list" allowBlank="1" showInputMessage="1" showErrorMessage="1" sqref="F29:K29">
      <formula1>"母屋控除必要,母屋控除不要,控除なし"</formula1>
    </dataValidation>
    <dataValidation type="whole" operator="greaterThanOrEqual" allowBlank="1" showInputMessage="1" showErrorMessage="1" sqref="AU7:AW8">
      <formula1>1</formula1>
    </dataValidation>
    <dataValidation type="whole" operator="greaterThanOrEqual" allowBlank="1" showInputMessage="1" showErrorMessage="1" sqref="AX7:AZ8">
      <formula1>0</formula1>
    </dataValidation>
    <dataValidation type="list" allowBlank="1" showInputMessage="1" showErrorMessage="1" sqref="R28:U29">
      <formula1>$R$25:$R$27</formula1>
    </dataValidation>
    <dataValidation type="list" allowBlank="1" showInputMessage="1" showErrorMessage="1" sqref="T100:V100">
      <formula1>$T$102:$T$107</formula1>
    </dataValidation>
    <dataValidation type="list" allowBlank="1" showInputMessage="1" showErrorMessage="1" sqref="R7:U7">
      <formula1>"取得年月日,建築年月日"</formula1>
    </dataValidation>
    <dataValidation type="list" allowBlank="1" showInputMessage="1" sqref="AQ684:AR684">
      <formula1>"1.07,1.1342"</formula1>
    </dataValidation>
    <dataValidation type="list" allowBlank="1" showInputMessage="1" sqref="AQ7:AS8">
      <formula1>"陸,鋼板,スレート,瓦"</formula1>
    </dataValidation>
    <dataValidation type="list" allowBlank="1" showInputMessage="1" showErrorMessage="1" sqref="AJ59:AJ69">
      <formula1>$AJ$70:$AJ$72</formula1>
    </dataValidation>
    <dataValidation type="list" allowBlank="1" showInputMessage="1" showErrorMessage="1" sqref="AB118:AE118">
      <formula1>$AB$120:$AB$121</formula1>
    </dataValidation>
    <dataValidation type="list" allowBlank="1" showInputMessage="1" showErrorMessage="1" sqref="L674:N674">
      <formula1>$L$676:$L$679</formula1>
    </dataValidation>
    <dataValidation type="list" allowBlank="1" showInputMessage="1" showErrorMessage="1" sqref="AN25">
      <formula1>$AN$30:$AN$32</formula1>
    </dataValidation>
    <dataValidation type="list" allowBlank="1" showInputMessage="1" showErrorMessage="1" sqref="AJ25">
      <formula1>$AJ$30:$AJ$35</formula1>
    </dataValidation>
  </dataValidations>
  <pageMargins left="0.59055118110236227" right="0.19685039370078741" top="0.51181102362204722" bottom="0.39370078740157483" header="0.31496062992125984" footer="0.19685039370078741"/>
  <pageSetup paperSize="9" scale="67" fitToHeight="0" orientation="portrait" r:id="rId1"/>
  <headerFooter alignWithMargins="0">
    <oddHeader>&amp;L&amp;"HG創英角ｺﾞｼｯｸUB,標準"&amp;10【様式第３号】&amp;C&amp;"HG創英角ｺﾞｼｯｸUB,標準"&amp;12非木造家屋評価計算書&amp;R&amp;"HG創英角ｺﾞｼｯｸUB,標準"&amp;10令和３年基準</oddHeader>
    <oddFooter>&amp;R&amp;"ＭＳ ゴシック,標準"&amp;D　&amp;T</oddFooter>
  </headerFooter>
  <rowBreaks count="1" manualBreakCount="1">
    <brk id="113" min="1" max="51" man="1"/>
  </rowBreak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x14:formula1>
            <xm:f>#REF!</xm:f>
          </x14:formula1>
          <xm:sqref>AD7:AJ7</xm:sqref>
        </x14:dataValidation>
        <x14:dataValidation type="list" allowBlank="1" showInputMessage="1">
          <x14:formula1>
            <xm:f>#REF!</xm:f>
          </x14:formula1>
          <xm:sqref>AD6:AJ6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Z600"/>
  <sheetViews>
    <sheetView zoomScaleNormal="100" workbookViewId="0">
      <pane xSplit="3" ySplit="1" topLeftCell="D136" activePane="bottomRight" state="frozen"/>
      <selection pane="topRight" activeCell="D1" sqref="D1"/>
      <selection pane="bottomLeft" activeCell="A2" sqref="A2"/>
      <selection pane="bottomRight" activeCell="M186" sqref="M186"/>
    </sheetView>
  </sheetViews>
  <sheetFormatPr defaultRowHeight="12.75" customHeight="1"/>
  <cols>
    <col min="1" max="1" width="1.33203125" customWidth="1"/>
    <col min="2" max="2" width="31" customWidth="1"/>
    <col min="3" max="3" width="19.33203125" customWidth="1"/>
    <col min="4" max="4" width="10.1640625" customWidth="1"/>
    <col min="10" max="10" width="9.6640625" bestFit="1" customWidth="1"/>
    <col min="12" max="12" width="9.6640625" bestFit="1" customWidth="1"/>
    <col min="14" max="14" width="10.6640625" bestFit="1" customWidth="1"/>
    <col min="24" max="24" width="10.6640625" bestFit="1" customWidth="1"/>
    <col min="42" max="42" width="10.33203125" bestFit="1" customWidth="1"/>
  </cols>
  <sheetData>
    <row r="1" spans="1:67" ht="12.75" customHeight="1">
      <c r="A1" s="1004" t="s">
        <v>71</v>
      </c>
      <c r="B1" s="5"/>
      <c r="C1" s="1">
        <v>2</v>
      </c>
      <c r="D1" s="1005">
        <v>3</v>
      </c>
      <c r="E1" s="551">
        <v>4</v>
      </c>
      <c r="F1">
        <v>5</v>
      </c>
      <c r="G1" s="1">
        <v>6</v>
      </c>
      <c r="H1" s="1005">
        <v>7</v>
      </c>
      <c r="I1" s="551">
        <v>8</v>
      </c>
      <c r="J1">
        <v>9</v>
      </c>
      <c r="K1" s="1">
        <v>10</v>
      </c>
      <c r="L1" s="1005">
        <v>11</v>
      </c>
      <c r="M1" s="551">
        <v>12</v>
      </c>
      <c r="N1">
        <v>13</v>
      </c>
      <c r="O1" s="1">
        <v>14</v>
      </c>
      <c r="P1" s="1005">
        <v>15</v>
      </c>
      <c r="Q1" s="551">
        <v>16</v>
      </c>
      <c r="R1">
        <v>17</v>
      </c>
      <c r="S1" s="1">
        <v>18</v>
      </c>
      <c r="T1" s="1005">
        <v>19</v>
      </c>
      <c r="U1" s="551">
        <v>20</v>
      </c>
      <c r="V1">
        <v>21</v>
      </c>
      <c r="W1" s="1">
        <v>22</v>
      </c>
      <c r="X1" s="1005">
        <v>23</v>
      </c>
      <c r="Y1" s="551">
        <v>24</v>
      </c>
      <c r="Z1">
        <v>25</v>
      </c>
      <c r="AA1" s="1">
        <v>26</v>
      </c>
      <c r="AB1" s="1005">
        <v>27</v>
      </c>
      <c r="AC1" s="551">
        <v>28</v>
      </c>
      <c r="AD1">
        <v>29</v>
      </c>
      <c r="AE1" s="1">
        <v>30</v>
      </c>
      <c r="AF1" s="1005">
        <v>31</v>
      </c>
      <c r="AG1" s="551">
        <v>32</v>
      </c>
      <c r="AH1">
        <v>33</v>
      </c>
      <c r="AI1" s="1">
        <v>34</v>
      </c>
      <c r="AJ1" s="1005">
        <v>35</v>
      </c>
      <c r="AK1" s="551">
        <v>36</v>
      </c>
      <c r="AL1">
        <v>37</v>
      </c>
      <c r="AM1" s="1">
        <v>38</v>
      </c>
      <c r="AN1" s="1005">
        <v>39</v>
      </c>
      <c r="AO1" s="551">
        <v>40</v>
      </c>
      <c r="AP1">
        <v>41</v>
      </c>
      <c r="AQ1" s="1">
        <v>42</v>
      </c>
      <c r="AR1" s="1005">
        <v>43</v>
      </c>
      <c r="AS1" s="551">
        <v>44</v>
      </c>
      <c r="AT1">
        <v>45</v>
      </c>
      <c r="AU1" s="1">
        <v>46</v>
      </c>
      <c r="AV1" s="1005">
        <v>47</v>
      </c>
      <c r="AW1" s="551">
        <v>48</v>
      </c>
      <c r="AX1">
        <v>49</v>
      </c>
      <c r="AY1" s="1">
        <v>50</v>
      </c>
      <c r="BA1" s="551"/>
      <c r="BC1" s="551"/>
      <c r="BE1" s="551"/>
      <c r="BG1" s="551"/>
      <c r="BI1" s="551"/>
      <c r="BK1" s="551"/>
      <c r="BM1" s="551"/>
      <c r="BO1" s="551"/>
    </row>
    <row r="2" spans="1:67" ht="11.25" customHeight="1">
      <c r="A2" s="1004"/>
      <c r="B2" s="1006" t="s">
        <v>357</v>
      </c>
      <c r="C2" s="2102" t="s">
        <v>2299</v>
      </c>
      <c r="D2" s="551"/>
    </row>
    <row r="3" spans="1:67" ht="12.75" customHeight="1">
      <c r="B3" s="971" t="s">
        <v>358</v>
      </c>
      <c r="C3" s="1007"/>
      <c r="D3" s="1007"/>
      <c r="E3" s="1007"/>
      <c r="F3" s="1007"/>
      <c r="G3" s="1007"/>
      <c r="H3" s="1007"/>
      <c r="I3" s="1007"/>
      <c r="J3" s="1007"/>
      <c r="K3" s="1007"/>
      <c r="L3" s="1007"/>
      <c r="M3" s="1007"/>
      <c r="N3" s="1007"/>
      <c r="O3" s="1007"/>
      <c r="P3" s="1007"/>
      <c r="Q3" s="1007"/>
      <c r="R3" s="1007"/>
      <c r="S3" s="1007"/>
      <c r="T3" s="1007"/>
      <c r="U3" s="1007"/>
      <c r="V3" s="1007"/>
      <c r="W3" s="1007"/>
      <c r="X3" s="1007"/>
      <c r="Y3" s="1007"/>
      <c r="Z3" s="1007"/>
      <c r="AA3" s="1007"/>
      <c r="AB3" s="1007"/>
      <c r="AC3" s="1007"/>
      <c r="AD3" s="1007"/>
      <c r="AE3" s="1007"/>
      <c r="AF3" s="1007"/>
      <c r="AG3" s="1007"/>
      <c r="AH3" s="1007"/>
      <c r="AI3" s="1007"/>
      <c r="AJ3" s="1007"/>
      <c r="AK3" s="1007"/>
      <c r="AL3" s="1007"/>
      <c r="AM3" s="1007"/>
      <c r="AN3" s="1007"/>
      <c r="AO3" s="1007"/>
      <c r="AP3" s="1007"/>
      <c r="AQ3" s="1007"/>
      <c r="AR3" s="1007"/>
      <c r="AS3" s="1007"/>
      <c r="AT3" s="1007"/>
      <c r="AU3" s="1007"/>
      <c r="AV3" s="1007"/>
      <c r="AW3" s="1007"/>
      <c r="AX3" s="1007"/>
      <c r="AY3" s="1007"/>
    </row>
    <row r="4" spans="1:67" ht="12.75" customHeight="1">
      <c r="B4" s="1008" t="s">
        <v>359</v>
      </c>
      <c r="C4" s="1009" t="s">
        <v>792</v>
      </c>
      <c r="D4" s="1010" t="s">
        <v>360</v>
      </c>
      <c r="E4" s="1011"/>
      <c r="F4" s="1011"/>
      <c r="G4" s="1011"/>
      <c r="H4" s="1011"/>
      <c r="I4" s="1011"/>
      <c r="J4" s="1011"/>
      <c r="K4" s="1012"/>
      <c r="L4" s="1013" t="s">
        <v>361</v>
      </c>
      <c r="M4" s="1014"/>
      <c r="N4" s="1015"/>
      <c r="O4" s="1015"/>
      <c r="P4" s="1015"/>
      <c r="Q4" s="1015"/>
      <c r="R4" s="1015"/>
      <c r="S4" s="1016"/>
      <c r="T4" s="1017"/>
      <c r="U4" s="1010" t="s">
        <v>362</v>
      </c>
      <c r="V4" s="1011"/>
      <c r="W4" s="1011"/>
      <c r="X4" s="1011"/>
      <c r="Y4" s="1011"/>
      <c r="Z4" s="1018"/>
      <c r="AA4" s="1019" t="s">
        <v>363</v>
      </c>
      <c r="AB4" s="1010"/>
      <c r="AC4" s="1011"/>
      <c r="AD4" s="1011"/>
      <c r="AE4" s="1011"/>
      <c r="AF4" s="1011"/>
      <c r="AG4" s="1011"/>
      <c r="AH4" s="1018"/>
      <c r="AI4" s="1012"/>
      <c r="AJ4" s="1014" t="s">
        <v>364</v>
      </c>
      <c r="AK4" s="1015"/>
      <c r="AL4" s="1015"/>
      <c r="AM4" s="1015"/>
      <c r="AN4" s="1015"/>
      <c r="AO4" s="1017"/>
      <c r="AP4" s="1020"/>
      <c r="AQ4" s="1021"/>
      <c r="AR4" s="1021"/>
      <c r="AS4" s="1021"/>
      <c r="AT4" s="1021"/>
      <c r="AU4" s="1021"/>
      <c r="AV4" s="1021"/>
      <c r="AW4" s="1021"/>
      <c r="AX4" s="1021"/>
      <c r="AY4" s="1021"/>
      <c r="AZ4" s="1021"/>
      <c r="BA4" s="1022"/>
    </row>
    <row r="5" spans="1:67" ht="12.75" customHeight="1">
      <c r="B5" s="1023"/>
      <c r="C5" s="1024" t="s">
        <v>365</v>
      </c>
      <c r="D5" s="1025" t="s">
        <v>366</v>
      </c>
      <c r="E5" s="1026"/>
      <c r="F5" s="1026" t="s">
        <v>367</v>
      </c>
      <c r="G5" s="1026"/>
      <c r="H5" s="1026" t="s">
        <v>368</v>
      </c>
      <c r="I5" s="1026"/>
      <c r="J5" s="1026" t="s">
        <v>368</v>
      </c>
      <c r="K5" s="1027"/>
      <c r="L5" s="1028" t="s">
        <v>366</v>
      </c>
      <c r="M5" s="1029"/>
      <c r="N5" s="1030"/>
      <c r="O5" s="1030" t="s">
        <v>367</v>
      </c>
      <c r="P5" s="1030"/>
      <c r="Q5" s="1030"/>
      <c r="R5" s="1030" t="s">
        <v>368</v>
      </c>
      <c r="S5" s="1031"/>
      <c r="T5" s="1032"/>
      <c r="U5" s="1025" t="s">
        <v>366</v>
      </c>
      <c r="V5" s="1026"/>
      <c r="W5" s="1026" t="s">
        <v>367</v>
      </c>
      <c r="X5" s="1026"/>
      <c r="Y5" s="1026" t="s">
        <v>368</v>
      </c>
      <c r="Z5" s="1033"/>
      <c r="AA5" s="1034" t="s">
        <v>366</v>
      </c>
      <c r="AB5" s="1025"/>
      <c r="AC5" s="1026"/>
      <c r="AD5" s="1026" t="s">
        <v>367</v>
      </c>
      <c r="AE5" s="1026"/>
      <c r="AF5" s="1026"/>
      <c r="AG5" s="1026" t="s">
        <v>368</v>
      </c>
      <c r="AH5" s="1033"/>
      <c r="AI5" s="1027"/>
      <c r="AJ5" s="1029" t="s">
        <v>366</v>
      </c>
      <c r="AK5" s="1030"/>
      <c r="AL5" s="1030" t="s">
        <v>367</v>
      </c>
      <c r="AM5" s="1030"/>
      <c r="AN5" s="1444" t="s">
        <v>1298</v>
      </c>
      <c r="AO5" s="1032"/>
      <c r="AP5" s="1035"/>
      <c r="AQ5" s="1036"/>
      <c r="AR5" s="1036"/>
      <c r="AS5" s="1036"/>
      <c r="AT5" s="1036"/>
      <c r="AU5" s="1036"/>
      <c r="AV5" s="1036"/>
      <c r="AW5" s="1036"/>
      <c r="AX5" s="1036"/>
      <c r="AY5" s="1036"/>
      <c r="AZ5" s="1036"/>
      <c r="BA5" s="1037"/>
    </row>
    <row r="6" spans="1:67" ht="12.75" customHeight="1">
      <c r="B6" s="2105" t="str">
        <f>+$C$575</f>
        <v>事務所・店舗・百貨店</v>
      </c>
      <c r="C6" s="2258">
        <v>2390</v>
      </c>
      <c r="D6" s="1038"/>
      <c r="E6" s="1039"/>
      <c r="F6" s="1039" t="s">
        <v>369</v>
      </c>
      <c r="G6" s="1039">
        <v>1</v>
      </c>
      <c r="H6" s="1470" t="s">
        <v>2314</v>
      </c>
      <c r="I6" s="1039">
        <v>0.85</v>
      </c>
      <c r="J6" s="1039" t="s">
        <v>370</v>
      </c>
      <c r="K6" s="1040">
        <v>0.75</v>
      </c>
      <c r="L6" s="1568" t="s">
        <v>1453</v>
      </c>
      <c r="M6" s="1472" t="s">
        <v>1453</v>
      </c>
      <c r="N6" s="1470" t="s">
        <v>1453</v>
      </c>
      <c r="O6" s="1470" t="s">
        <v>1453</v>
      </c>
      <c r="P6" s="1470" t="s">
        <v>1453</v>
      </c>
      <c r="Q6" s="1470" t="s">
        <v>1453</v>
      </c>
      <c r="R6" s="1470" t="s">
        <v>1453</v>
      </c>
      <c r="S6" s="1635" t="s">
        <v>1453</v>
      </c>
      <c r="T6" s="1558" t="s">
        <v>1453</v>
      </c>
      <c r="U6" s="1038" t="s">
        <v>371</v>
      </c>
      <c r="V6" s="1039">
        <v>1.05</v>
      </c>
      <c r="W6" s="1039" t="s">
        <v>372</v>
      </c>
      <c r="X6" s="1039">
        <v>1</v>
      </c>
      <c r="Y6" s="1039" t="s">
        <v>373</v>
      </c>
      <c r="Z6" s="1042">
        <v>0.95</v>
      </c>
      <c r="AA6" s="1041" t="s">
        <v>374</v>
      </c>
      <c r="AB6" s="1038">
        <v>6.5</v>
      </c>
      <c r="AC6" s="1039">
        <v>1.3</v>
      </c>
      <c r="AD6" s="1039" t="s">
        <v>375</v>
      </c>
      <c r="AE6" s="1039">
        <v>5</v>
      </c>
      <c r="AF6" s="1039">
        <v>1</v>
      </c>
      <c r="AG6" s="1039" t="s">
        <v>376</v>
      </c>
      <c r="AH6" s="1042">
        <v>3</v>
      </c>
      <c r="AI6" s="1040">
        <v>0.6</v>
      </c>
      <c r="AJ6" s="1043">
        <v>1000</v>
      </c>
      <c r="AK6" s="1039">
        <v>1.05</v>
      </c>
      <c r="AL6" s="1044">
        <v>3000</v>
      </c>
      <c r="AM6" s="1039">
        <v>1</v>
      </c>
      <c r="AN6" s="1044">
        <v>10000</v>
      </c>
      <c r="AO6" s="1040">
        <v>0.93</v>
      </c>
      <c r="AP6" s="1035"/>
      <c r="AQ6" s="1036"/>
      <c r="AR6" s="1036"/>
      <c r="AS6" s="1036"/>
      <c r="AT6" s="1036"/>
      <c r="AU6" s="1036"/>
      <c r="AV6" s="1036"/>
      <c r="AW6" s="1036"/>
      <c r="AX6" s="1036" t="s">
        <v>383</v>
      </c>
      <c r="AY6" s="1036"/>
      <c r="AZ6" s="1036"/>
      <c r="BA6" s="1037"/>
    </row>
    <row r="7" spans="1:67" ht="12.75" customHeight="1">
      <c r="B7" s="2106" t="str">
        <f>+$C$576</f>
        <v>住宅・アパート</v>
      </c>
      <c r="C7" s="1045">
        <v>49200</v>
      </c>
      <c r="D7" s="1046"/>
      <c r="E7" s="1047"/>
      <c r="F7" s="1047"/>
      <c r="G7" s="1047"/>
      <c r="H7" s="1047"/>
      <c r="I7" s="1047"/>
      <c r="J7" s="1047"/>
      <c r="K7" s="1048"/>
      <c r="L7" s="1049" t="s">
        <v>378</v>
      </c>
      <c r="M7" s="1050">
        <v>5</v>
      </c>
      <c r="N7" s="1047">
        <v>1.25</v>
      </c>
      <c r="O7" s="1051" t="s">
        <v>379</v>
      </c>
      <c r="P7" s="1051">
        <v>25</v>
      </c>
      <c r="Q7" s="1047">
        <v>1</v>
      </c>
      <c r="R7" s="1051" t="s">
        <v>380</v>
      </c>
      <c r="S7" s="1052">
        <v>50</v>
      </c>
      <c r="T7" s="1048">
        <v>0.9</v>
      </c>
      <c r="U7" s="1046" t="s">
        <v>381</v>
      </c>
      <c r="V7" s="1047">
        <v>1.5</v>
      </c>
      <c r="W7" s="1047" t="s">
        <v>375</v>
      </c>
      <c r="X7" s="1047">
        <v>1</v>
      </c>
      <c r="Y7" s="1047" t="s">
        <v>382</v>
      </c>
      <c r="Z7" s="1053">
        <v>0.7</v>
      </c>
      <c r="AA7" s="1049"/>
      <c r="AB7" s="1050"/>
      <c r="AC7" s="1047"/>
      <c r="AD7" s="1051"/>
      <c r="AE7" s="1051"/>
      <c r="AF7" s="1047"/>
      <c r="AG7" s="1051"/>
      <c r="AH7" s="1052"/>
      <c r="AI7" s="1048"/>
      <c r="AJ7" s="1054"/>
      <c r="AK7" s="1047"/>
      <c r="AL7" s="1055"/>
      <c r="AM7" s="1047"/>
      <c r="AN7" s="1055"/>
      <c r="AO7" s="1048"/>
      <c r="AP7" s="1035"/>
      <c r="AQ7" s="1036"/>
      <c r="AR7" s="1036"/>
      <c r="AS7" s="1036"/>
      <c r="AT7" s="1036"/>
      <c r="AU7" s="1036"/>
      <c r="AV7" s="1036"/>
      <c r="AW7" s="1036"/>
      <c r="AX7" s="2116" t="s">
        <v>1628</v>
      </c>
      <c r="AY7" s="2117"/>
      <c r="AZ7" s="2118"/>
      <c r="BA7" s="1037"/>
    </row>
    <row r="8" spans="1:67" ht="12.75" customHeight="1">
      <c r="B8" s="2106" t="str">
        <f>+$C$577</f>
        <v>病院・ホテル</v>
      </c>
      <c r="C8" s="1045">
        <v>2390</v>
      </c>
      <c r="D8" s="1046"/>
      <c r="E8" s="1047"/>
      <c r="F8" s="1047" t="s">
        <v>369</v>
      </c>
      <c r="G8" s="1047">
        <v>1</v>
      </c>
      <c r="H8" s="1047" t="s">
        <v>2315</v>
      </c>
      <c r="I8" s="1047">
        <v>0.85</v>
      </c>
      <c r="J8" s="1047" t="s">
        <v>370</v>
      </c>
      <c r="K8" s="1048">
        <v>0.75</v>
      </c>
      <c r="L8" s="1056" t="s">
        <v>1195</v>
      </c>
      <c r="M8" s="1046" t="s">
        <v>1195</v>
      </c>
      <c r="N8" s="1047" t="s">
        <v>1195</v>
      </c>
      <c r="O8" s="1047" t="s">
        <v>1195</v>
      </c>
      <c r="P8" s="1047" t="s">
        <v>1195</v>
      </c>
      <c r="Q8" s="1047" t="s">
        <v>1195</v>
      </c>
      <c r="R8" s="1047" t="s">
        <v>1195</v>
      </c>
      <c r="S8" s="1053" t="s">
        <v>1195</v>
      </c>
      <c r="T8" s="1048" t="s">
        <v>1195</v>
      </c>
      <c r="U8" s="1046" t="s">
        <v>371</v>
      </c>
      <c r="V8" s="1047">
        <v>1.05</v>
      </c>
      <c r="W8" s="1047" t="s">
        <v>372</v>
      </c>
      <c r="X8" s="1047">
        <v>1</v>
      </c>
      <c r="Y8" s="1047" t="s">
        <v>373</v>
      </c>
      <c r="Z8" s="1053">
        <v>0.95</v>
      </c>
      <c r="AA8" s="1056" t="s">
        <v>374</v>
      </c>
      <c r="AB8" s="1046">
        <v>6.5</v>
      </c>
      <c r="AC8" s="1047">
        <v>1.3</v>
      </c>
      <c r="AD8" s="1047" t="s">
        <v>375</v>
      </c>
      <c r="AE8" s="1047">
        <v>5</v>
      </c>
      <c r="AF8" s="1047">
        <v>1</v>
      </c>
      <c r="AG8" s="1047" t="s">
        <v>376</v>
      </c>
      <c r="AH8" s="1053">
        <v>3</v>
      </c>
      <c r="AI8" s="1048">
        <v>0.6</v>
      </c>
      <c r="AJ8" s="1054">
        <v>1000</v>
      </c>
      <c r="AK8" s="1047">
        <v>1.05</v>
      </c>
      <c r="AL8" s="1055">
        <v>3000</v>
      </c>
      <c r="AM8" s="1047">
        <v>1</v>
      </c>
      <c r="AN8" s="1055">
        <v>10000</v>
      </c>
      <c r="AO8" s="1048">
        <v>0.93</v>
      </c>
      <c r="AP8" s="1035"/>
      <c r="AQ8" s="1036"/>
      <c r="AR8" s="1036"/>
      <c r="AS8" s="1036"/>
      <c r="AT8" s="1036"/>
      <c r="AU8" s="1036"/>
      <c r="AV8" s="1036"/>
      <c r="AW8" s="1036"/>
      <c r="AX8" s="2261" t="s">
        <v>385</v>
      </c>
      <c r="AY8" s="2262"/>
      <c r="AZ8" s="2263"/>
      <c r="BA8" s="1037"/>
    </row>
    <row r="9" spans="1:67" ht="12.75" customHeight="1">
      <c r="B9" s="2106" t="str">
        <f>+$C$578</f>
        <v>工場・倉庫・市場</v>
      </c>
      <c r="C9" s="1045">
        <v>2280</v>
      </c>
      <c r="D9" s="1046"/>
      <c r="E9" s="1047"/>
      <c r="F9" s="1047" t="s">
        <v>369</v>
      </c>
      <c r="G9" s="1047">
        <v>1</v>
      </c>
      <c r="H9" s="1047" t="s">
        <v>2315</v>
      </c>
      <c r="I9" s="1047">
        <v>0.85</v>
      </c>
      <c r="J9" s="1047" t="s">
        <v>370</v>
      </c>
      <c r="K9" s="1048">
        <v>0.75</v>
      </c>
      <c r="L9" s="1056" t="s">
        <v>1195</v>
      </c>
      <c r="M9" s="1046" t="s">
        <v>1195</v>
      </c>
      <c r="N9" s="1047" t="s">
        <v>1195</v>
      </c>
      <c r="O9" s="1047" t="s">
        <v>1195</v>
      </c>
      <c r="P9" s="1047" t="s">
        <v>1195</v>
      </c>
      <c r="Q9" s="1047" t="s">
        <v>1195</v>
      </c>
      <c r="R9" s="1047" t="s">
        <v>1195</v>
      </c>
      <c r="S9" s="1053" t="s">
        <v>1195</v>
      </c>
      <c r="T9" s="1048" t="s">
        <v>1195</v>
      </c>
      <c r="U9" s="1046" t="s">
        <v>381</v>
      </c>
      <c r="V9" s="1047">
        <v>1.4</v>
      </c>
      <c r="W9" s="1047" t="s">
        <v>375</v>
      </c>
      <c r="X9" s="1047">
        <v>1</v>
      </c>
      <c r="Y9" s="1047" t="s">
        <v>382</v>
      </c>
      <c r="Z9" s="1053">
        <v>0.8</v>
      </c>
      <c r="AA9" s="1056" t="s">
        <v>374</v>
      </c>
      <c r="AB9" s="1046">
        <v>6.5</v>
      </c>
      <c r="AC9" s="1047">
        <v>1.3</v>
      </c>
      <c r="AD9" s="1047" t="s">
        <v>375</v>
      </c>
      <c r="AE9" s="1047">
        <v>5</v>
      </c>
      <c r="AF9" s="1047">
        <v>1</v>
      </c>
      <c r="AG9" s="1047" t="s">
        <v>376</v>
      </c>
      <c r="AH9" s="1053">
        <v>3</v>
      </c>
      <c r="AI9" s="1048">
        <v>0.6</v>
      </c>
      <c r="AJ9" s="1054">
        <v>1000</v>
      </c>
      <c r="AK9" s="1047">
        <v>1.05</v>
      </c>
      <c r="AL9" s="1055">
        <v>3000</v>
      </c>
      <c r="AM9" s="1047">
        <v>1</v>
      </c>
      <c r="AN9" s="1055">
        <v>10000</v>
      </c>
      <c r="AO9" s="1048">
        <v>0.93</v>
      </c>
      <c r="AP9" s="1035"/>
      <c r="AQ9" s="1036"/>
      <c r="AR9" s="1036"/>
      <c r="AS9" s="1036"/>
      <c r="AT9" s="1036"/>
      <c r="AU9" s="1036"/>
      <c r="AV9" s="1036"/>
      <c r="AW9" s="1036"/>
      <c r="AX9" s="1057" t="s">
        <v>387</v>
      </c>
      <c r="AY9" s="1058"/>
      <c r="AZ9" s="1059"/>
      <c r="BA9" s="1037"/>
    </row>
    <row r="10" spans="1:67" ht="12.75" customHeight="1">
      <c r="B10" s="2107" t="str">
        <f>+$C$579</f>
        <v>劇場型建物</v>
      </c>
      <c r="C10" s="2463">
        <v>2390</v>
      </c>
      <c r="D10" s="1060"/>
      <c r="E10" s="1061"/>
      <c r="F10" s="1061" t="s">
        <v>369</v>
      </c>
      <c r="G10" s="1061">
        <v>1</v>
      </c>
      <c r="H10" s="1061" t="s">
        <v>2315</v>
      </c>
      <c r="I10" s="1047">
        <v>0.85</v>
      </c>
      <c r="J10" s="1047" t="s">
        <v>370</v>
      </c>
      <c r="K10" s="1048">
        <v>0.75</v>
      </c>
      <c r="L10" s="1075" t="s">
        <v>1195</v>
      </c>
      <c r="M10" s="2021" t="s">
        <v>1195</v>
      </c>
      <c r="N10" s="1076" t="s">
        <v>1195</v>
      </c>
      <c r="O10" s="1076" t="s">
        <v>1195</v>
      </c>
      <c r="P10" s="1076" t="s">
        <v>1195</v>
      </c>
      <c r="Q10" s="1076" t="s">
        <v>1195</v>
      </c>
      <c r="R10" s="1076" t="s">
        <v>1195</v>
      </c>
      <c r="S10" s="1159" t="s">
        <v>1195</v>
      </c>
      <c r="T10" s="1077" t="s">
        <v>1195</v>
      </c>
      <c r="U10" s="1060" t="s">
        <v>381</v>
      </c>
      <c r="V10" s="1061">
        <v>1.5</v>
      </c>
      <c r="W10" s="1061" t="s">
        <v>375</v>
      </c>
      <c r="X10" s="1061">
        <v>1</v>
      </c>
      <c r="Y10" s="1061" t="s">
        <v>382</v>
      </c>
      <c r="Z10" s="1064">
        <v>0.9</v>
      </c>
      <c r="AA10" s="1063" t="s">
        <v>374</v>
      </c>
      <c r="AB10" s="1060">
        <v>6.5</v>
      </c>
      <c r="AC10" s="1061">
        <v>1.3</v>
      </c>
      <c r="AD10" s="1061" t="s">
        <v>375</v>
      </c>
      <c r="AE10" s="1061">
        <v>5</v>
      </c>
      <c r="AF10" s="1061">
        <v>1</v>
      </c>
      <c r="AG10" s="1061" t="s">
        <v>376</v>
      </c>
      <c r="AH10" s="1064">
        <v>3</v>
      </c>
      <c r="AI10" s="1062">
        <v>0.6</v>
      </c>
      <c r="AJ10" s="1065">
        <v>900</v>
      </c>
      <c r="AK10" s="1061">
        <v>1.05</v>
      </c>
      <c r="AL10" s="1066">
        <v>1800</v>
      </c>
      <c r="AM10" s="1061">
        <v>1</v>
      </c>
      <c r="AN10" s="1066">
        <v>3600</v>
      </c>
      <c r="AO10" s="1062">
        <v>0.93</v>
      </c>
      <c r="AP10" s="1035"/>
      <c r="AQ10" s="1036"/>
      <c r="AR10" s="1036"/>
      <c r="AS10" s="1036"/>
      <c r="AT10" s="1036"/>
      <c r="AU10" s="1036"/>
      <c r="AV10" s="1036"/>
      <c r="AW10" s="1036"/>
      <c r="AX10" s="1036"/>
      <c r="AY10" s="1036"/>
      <c r="AZ10" s="1036"/>
      <c r="BA10" s="1037"/>
    </row>
    <row r="11" spans="1:67" ht="12.75" customHeight="1">
      <c r="B11" s="1008" t="s">
        <v>359</v>
      </c>
      <c r="C11" s="1480" t="s">
        <v>2086</v>
      </c>
      <c r="D11" s="3902" t="s">
        <v>2088</v>
      </c>
      <c r="E11" s="3903"/>
      <c r="F11" s="3903"/>
      <c r="G11" s="3903"/>
      <c r="H11" s="3903"/>
      <c r="I11" s="3904"/>
      <c r="J11" s="2008"/>
      <c r="K11" s="2009"/>
      <c r="L11" s="2009"/>
      <c r="S11" s="1445"/>
      <c r="T11" s="1446"/>
      <c r="U11" s="1446"/>
      <c r="V11" s="1446"/>
      <c r="W11" s="1446"/>
      <c r="X11" s="1446"/>
      <c r="Y11" s="1447"/>
      <c r="Z11" s="1447"/>
      <c r="AA11" s="1447"/>
      <c r="AB11" s="1447"/>
      <c r="AC11" s="1447"/>
      <c r="AD11" s="1447"/>
      <c r="AE11" s="1448"/>
      <c r="AF11" s="1448"/>
      <c r="AG11" s="1448"/>
      <c r="AH11" s="1448"/>
      <c r="AI11" s="1448"/>
      <c r="AJ11" s="1448"/>
      <c r="AK11" s="1020"/>
      <c r="AL11" s="1021"/>
      <c r="AM11" s="1021"/>
      <c r="AN11" s="1021"/>
      <c r="AO11" s="1021"/>
      <c r="AP11" s="1021"/>
      <c r="AQ11" s="1021"/>
      <c r="AR11" s="1021"/>
      <c r="AS11" s="1021"/>
      <c r="AT11" s="1021"/>
      <c r="AU11" s="1021"/>
      <c r="AV11" s="1021"/>
      <c r="AW11" s="1021"/>
      <c r="AX11" s="1021"/>
      <c r="AY11" s="1022"/>
    </row>
    <row r="12" spans="1:67" ht="12.75" customHeight="1">
      <c r="B12" s="1023"/>
      <c r="C12" s="1024" t="s">
        <v>2087</v>
      </c>
      <c r="D12" s="1070" t="s">
        <v>366</v>
      </c>
      <c r="E12" s="1029"/>
      <c r="F12" s="1031" t="s">
        <v>366</v>
      </c>
      <c r="G12" s="1029"/>
      <c r="H12" s="3900" t="s">
        <v>161</v>
      </c>
      <c r="I12" s="3905"/>
      <c r="J12" s="2008"/>
      <c r="K12" s="2009"/>
      <c r="L12" s="2009"/>
      <c r="S12" s="1449"/>
      <c r="T12" s="1450"/>
      <c r="U12" s="1450"/>
      <c r="V12" s="1450"/>
      <c r="W12" s="1450"/>
      <c r="X12" s="1450"/>
      <c r="Y12" s="1134"/>
      <c r="Z12" s="1134"/>
      <c r="AA12" s="1134"/>
      <c r="AB12" s="1134"/>
      <c r="AC12" s="1134"/>
      <c r="AD12" s="1134"/>
      <c r="AE12" s="1450"/>
      <c r="AF12" s="1450"/>
      <c r="AG12" s="1450"/>
      <c r="AH12" s="1450"/>
      <c r="AI12" s="1450"/>
      <c r="AJ12" s="1450"/>
      <c r="AK12" s="1035"/>
      <c r="AL12" s="1036"/>
      <c r="AM12" s="1036"/>
      <c r="AN12" s="1036"/>
      <c r="AO12" s="1036"/>
      <c r="AP12" s="1036"/>
      <c r="AQ12" s="1036"/>
      <c r="AR12" s="1036"/>
      <c r="AS12" s="1036"/>
      <c r="AT12" s="1036"/>
      <c r="AU12" s="1036"/>
      <c r="AV12" s="1036"/>
      <c r="AW12" s="1036"/>
      <c r="AX12" s="1036"/>
      <c r="AY12" s="1037"/>
    </row>
    <row r="13" spans="1:67" ht="12.75" customHeight="1">
      <c r="B13" s="2108" t="str">
        <f>+$B$6</f>
        <v>事務所・店舗・百貨店</v>
      </c>
      <c r="C13" s="2258">
        <v>5940</v>
      </c>
      <c r="D13" s="1041" t="s">
        <v>1195</v>
      </c>
      <c r="E13" s="1039" t="s">
        <v>1195</v>
      </c>
      <c r="F13" s="1039" t="s">
        <v>1195</v>
      </c>
      <c r="G13" s="1039" t="s">
        <v>1195</v>
      </c>
      <c r="H13" s="1039" t="s">
        <v>1195</v>
      </c>
      <c r="I13" s="1040" t="s">
        <v>1195</v>
      </c>
      <c r="J13" s="1081"/>
      <c r="K13" s="2005"/>
      <c r="L13" s="1082"/>
      <c r="S13" s="1478"/>
      <c r="T13" s="1082"/>
      <c r="U13" s="1082"/>
      <c r="V13" s="1082"/>
      <c r="W13" s="1082"/>
      <c r="X13" s="1082"/>
      <c r="Y13" s="1082"/>
      <c r="Z13" s="1082"/>
      <c r="AA13" s="1082"/>
      <c r="AB13" s="1082"/>
      <c r="AC13" s="1082"/>
      <c r="AD13" s="1082"/>
      <c r="AE13" s="1451"/>
      <c r="AF13" s="1452"/>
      <c r="AG13" s="1451"/>
      <c r="AH13" s="1452"/>
      <c r="AI13" s="1451"/>
      <c r="AJ13" s="1452"/>
      <c r="AK13" s="1035"/>
      <c r="AL13" s="1036"/>
      <c r="AM13" s="1036"/>
      <c r="AN13" s="1036"/>
      <c r="AO13" s="1036"/>
      <c r="AP13" s="1036"/>
      <c r="AQ13" s="1036"/>
      <c r="AR13" s="1036"/>
      <c r="AS13" s="1036"/>
      <c r="AT13" s="1036"/>
      <c r="AU13" s="1036"/>
      <c r="AV13" s="1036"/>
      <c r="AW13" s="1036"/>
      <c r="AX13" s="1036"/>
      <c r="AY13" s="1037"/>
    </row>
    <row r="14" spans="1:67" ht="12.75" customHeight="1">
      <c r="B14" s="2109" t="str">
        <f>+$B$7</f>
        <v>住宅・アパート</v>
      </c>
      <c r="C14" s="1045">
        <v>4180</v>
      </c>
      <c r="D14" s="1056" t="s">
        <v>1195</v>
      </c>
      <c r="E14" s="1047" t="s">
        <v>1195</v>
      </c>
      <c r="F14" s="1047" t="s">
        <v>1195</v>
      </c>
      <c r="G14" s="1047" t="s">
        <v>1195</v>
      </c>
      <c r="H14" s="1047" t="s">
        <v>1195</v>
      </c>
      <c r="I14" s="1048" t="s">
        <v>1195</v>
      </c>
      <c r="J14" s="1081"/>
      <c r="K14" s="2005"/>
      <c r="L14" s="1082"/>
      <c r="S14" s="1081"/>
      <c r="T14" s="1082"/>
      <c r="U14" s="1082"/>
      <c r="V14" s="1082"/>
      <c r="W14" s="1082"/>
      <c r="X14" s="1082"/>
      <c r="Y14" s="1082"/>
      <c r="Z14" s="1082"/>
      <c r="AA14" s="1082"/>
      <c r="AB14" s="1082"/>
      <c r="AC14" s="1082"/>
      <c r="AD14" s="1082"/>
      <c r="AE14" s="1451"/>
      <c r="AF14" s="1452"/>
      <c r="AG14" s="1451"/>
      <c r="AH14" s="1452"/>
      <c r="AI14" s="1451"/>
      <c r="AJ14" s="1452"/>
      <c r="AK14" s="1035"/>
      <c r="AL14" s="1036"/>
      <c r="AM14" s="1036"/>
      <c r="AN14" s="1036"/>
      <c r="AO14" s="1036"/>
      <c r="AP14" s="1036"/>
      <c r="AQ14" s="1036"/>
      <c r="AR14" s="1036"/>
      <c r="AS14" s="1036"/>
      <c r="AT14" s="1036"/>
      <c r="AU14" s="1036"/>
      <c r="AV14" s="1036"/>
      <c r="AW14" s="1036"/>
      <c r="AX14" s="1036"/>
      <c r="AY14" s="1037"/>
    </row>
    <row r="15" spans="1:67" ht="12.75" customHeight="1">
      <c r="B15" s="2109" t="str">
        <f>+$B$8</f>
        <v>病院・ホテル</v>
      </c>
      <c r="C15" s="1045">
        <v>5170</v>
      </c>
      <c r="D15" s="1056" t="s">
        <v>1195</v>
      </c>
      <c r="E15" s="1047" t="s">
        <v>1195</v>
      </c>
      <c r="F15" s="1047" t="s">
        <v>1195</v>
      </c>
      <c r="G15" s="1047" t="s">
        <v>1195</v>
      </c>
      <c r="H15" s="1047" t="s">
        <v>1195</v>
      </c>
      <c r="I15" s="1048" t="s">
        <v>1195</v>
      </c>
      <c r="J15" s="1081"/>
      <c r="K15" s="2005"/>
      <c r="L15" s="1082"/>
      <c r="S15" s="1081"/>
      <c r="T15" s="1082"/>
      <c r="U15" s="1082"/>
      <c r="V15" s="1082"/>
      <c r="W15" s="1082"/>
      <c r="X15" s="1082"/>
      <c r="Y15" s="1082"/>
      <c r="Z15" s="1082"/>
      <c r="AA15" s="1082"/>
      <c r="AB15" s="1082"/>
      <c r="AC15" s="1082"/>
      <c r="AD15" s="1082"/>
      <c r="AE15" s="1451"/>
      <c r="AF15" s="1452"/>
      <c r="AG15" s="1451"/>
      <c r="AH15" s="1452"/>
      <c r="AI15" s="1451"/>
      <c r="AJ15" s="1452"/>
      <c r="AK15" s="1035"/>
      <c r="AL15" s="1036"/>
      <c r="AM15" s="1036"/>
      <c r="AN15" s="1036"/>
      <c r="AO15" s="1036"/>
      <c r="AP15" s="1036"/>
      <c r="AQ15" s="1036"/>
      <c r="AR15" s="1036"/>
      <c r="AS15" s="1036"/>
      <c r="AT15" s="1036"/>
      <c r="AU15" s="1036"/>
      <c r="AV15" s="1036"/>
      <c r="AW15" s="1036"/>
      <c r="AX15" s="1036"/>
      <c r="AY15" s="1037"/>
    </row>
    <row r="16" spans="1:67" ht="12.75" customHeight="1">
      <c r="B16" s="2109" t="str">
        <f>+$B$9</f>
        <v>工場・倉庫・市場</v>
      </c>
      <c r="C16" s="1045">
        <v>4270</v>
      </c>
      <c r="D16" s="1516" t="s">
        <v>2089</v>
      </c>
      <c r="E16" s="1047">
        <v>2</v>
      </c>
      <c r="F16" s="1467" t="s">
        <v>375</v>
      </c>
      <c r="G16" s="1047">
        <v>1</v>
      </c>
      <c r="H16" s="1467" t="s">
        <v>2090</v>
      </c>
      <c r="I16" s="1048">
        <v>0.5</v>
      </c>
      <c r="J16" s="2006"/>
      <c r="K16" s="2005"/>
      <c r="L16" s="1082"/>
      <c r="S16" s="1081"/>
      <c r="T16" s="1082"/>
      <c r="U16" s="1082"/>
      <c r="V16" s="1082"/>
      <c r="W16" s="1082"/>
      <c r="X16" s="1082"/>
      <c r="Y16" s="1082"/>
      <c r="Z16" s="1082"/>
      <c r="AA16" s="1082"/>
      <c r="AB16" s="1082"/>
      <c r="AC16" s="1082"/>
      <c r="AD16" s="1082"/>
      <c r="AE16" s="1451"/>
      <c r="AF16" s="1452"/>
      <c r="AG16" s="1451"/>
      <c r="AH16" s="1452"/>
      <c r="AI16" s="1451"/>
      <c r="AJ16" s="1452"/>
      <c r="AK16" s="1035"/>
      <c r="AL16" s="1036"/>
      <c r="AM16" s="1036"/>
      <c r="AN16" s="1036"/>
      <c r="AO16" s="1036"/>
      <c r="AP16" s="1036"/>
      <c r="AQ16" s="1036"/>
      <c r="AR16" s="1036"/>
      <c r="AS16" s="1036"/>
      <c r="AT16" s="1036"/>
      <c r="AU16" s="1036"/>
      <c r="AV16" s="1036"/>
      <c r="AW16" s="1036"/>
      <c r="AX16" s="1036"/>
      <c r="AY16" s="1037"/>
    </row>
    <row r="17" spans="2:51" ht="12.75" customHeight="1">
      <c r="B17" s="2110" t="str">
        <f>+$B$10</f>
        <v>劇場型建物</v>
      </c>
      <c r="C17" s="2463">
        <v>4510</v>
      </c>
      <c r="D17" s="1063" t="s">
        <v>1195</v>
      </c>
      <c r="E17" s="1061" t="s">
        <v>1195</v>
      </c>
      <c r="F17" s="1061" t="s">
        <v>1195</v>
      </c>
      <c r="G17" s="1061" t="s">
        <v>1195</v>
      </c>
      <c r="H17" s="1061" t="s">
        <v>1195</v>
      </c>
      <c r="I17" s="1062" t="s">
        <v>1195</v>
      </c>
      <c r="J17" s="1857"/>
      <c r="K17" s="2007"/>
      <c r="L17" s="1858"/>
      <c r="S17" s="1453"/>
      <c r="T17" s="1139"/>
      <c r="U17" s="1139"/>
      <c r="V17" s="1139"/>
      <c r="W17" s="1139"/>
      <c r="X17" s="1139"/>
      <c r="Y17" s="1139"/>
      <c r="Z17" s="1139"/>
      <c r="AA17" s="1139"/>
      <c r="AB17" s="1139"/>
      <c r="AC17" s="1139"/>
      <c r="AD17" s="1139"/>
      <c r="AE17" s="1454"/>
      <c r="AF17" s="1455"/>
      <c r="AG17" s="1454"/>
      <c r="AH17" s="1455"/>
      <c r="AI17" s="1454"/>
      <c r="AJ17" s="1455"/>
      <c r="AK17" s="1088"/>
      <c r="AL17" s="1036"/>
      <c r="AM17" s="1036"/>
      <c r="AN17" s="1036"/>
      <c r="AO17" s="1036"/>
      <c r="AP17" s="1036"/>
      <c r="AQ17" s="1036"/>
      <c r="AR17" s="1036"/>
      <c r="AS17" s="1036"/>
      <c r="AT17" s="1036"/>
      <c r="AU17" s="1036"/>
      <c r="AV17" s="1036"/>
      <c r="AW17" s="1036"/>
      <c r="AX17" s="1036"/>
      <c r="AY17" s="1037"/>
    </row>
    <row r="18" spans="2:51" ht="12.75" customHeight="1">
      <c r="B18" s="1008" t="s">
        <v>359</v>
      </c>
      <c r="C18" s="1009" t="s">
        <v>169</v>
      </c>
      <c r="D18" s="1013" t="s">
        <v>394</v>
      </c>
      <c r="E18" s="1014"/>
      <c r="F18" s="1015"/>
      <c r="G18" s="1015"/>
      <c r="H18" s="1015"/>
      <c r="I18" s="1015"/>
      <c r="J18" s="1015"/>
      <c r="K18" s="1016"/>
      <c r="L18" s="1017"/>
      <c r="M18" s="1456"/>
      <c r="N18" s="1448"/>
      <c r="O18" s="1448"/>
      <c r="P18" s="1448"/>
      <c r="Q18" s="1448"/>
      <c r="R18" s="1448"/>
      <c r="S18" s="1448"/>
      <c r="T18" s="1448"/>
      <c r="U18" s="1448"/>
      <c r="V18" s="1448"/>
      <c r="W18" s="1448"/>
      <c r="X18" s="1448"/>
      <c r="Y18" s="1020"/>
      <c r="Z18" s="1020"/>
      <c r="AA18" s="1020"/>
      <c r="AB18" s="1020"/>
      <c r="AC18" s="1020"/>
      <c r="AD18" s="1020"/>
      <c r="AE18" s="1020"/>
      <c r="AF18" s="1020"/>
      <c r="AG18" s="1020"/>
      <c r="AH18" s="1020"/>
      <c r="AI18" s="1020"/>
      <c r="AJ18" s="1020"/>
      <c r="AK18" s="1020"/>
      <c r="AL18" s="1020"/>
      <c r="AM18" s="1021"/>
      <c r="AN18" s="1021"/>
      <c r="AO18" s="1021"/>
      <c r="AP18" s="1021"/>
      <c r="AQ18" s="1021"/>
      <c r="AR18" s="1021"/>
      <c r="AS18" s="1021"/>
      <c r="AT18" s="1021"/>
      <c r="AU18" s="1021"/>
      <c r="AV18" s="1021"/>
      <c r="AW18" s="1021"/>
      <c r="AX18" s="1021"/>
      <c r="AY18" s="1022"/>
    </row>
    <row r="19" spans="2:51" ht="12.75" customHeight="1">
      <c r="B19" s="1023"/>
      <c r="C19" s="1024" t="s">
        <v>395</v>
      </c>
      <c r="D19" s="1028" t="s">
        <v>366</v>
      </c>
      <c r="E19" s="1029"/>
      <c r="F19" s="1030"/>
      <c r="G19" s="1030" t="s">
        <v>367</v>
      </c>
      <c r="H19" s="1030"/>
      <c r="I19" s="1030"/>
      <c r="J19" s="1030" t="s">
        <v>368</v>
      </c>
      <c r="K19" s="1031"/>
      <c r="L19" s="1032"/>
      <c r="M19" s="1449"/>
      <c r="N19" s="1450"/>
      <c r="O19" s="1450"/>
      <c r="P19" s="1450"/>
      <c r="Q19" s="1450"/>
      <c r="R19" s="1450"/>
      <c r="S19" s="1450"/>
      <c r="T19" s="1450"/>
      <c r="U19" s="1450"/>
      <c r="V19" s="1450"/>
      <c r="W19" s="1450"/>
      <c r="X19" s="1450"/>
      <c r="Y19" s="1035"/>
      <c r="Z19" s="1035"/>
      <c r="AA19" s="1035"/>
      <c r="AB19" s="1035"/>
      <c r="AC19" s="1035"/>
      <c r="AD19" s="1035"/>
      <c r="AE19" s="1035"/>
      <c r="AF19" s="1035"/>
      <c r="AG19" s="1035"/>
      <c r="AH19" s="1035"/>
      <c r="AI19" s="1035"/>
      <c r="AJ19" s="1035"/>
      <c r="AK19" s="1035"/>
      <c r="AL19" s="1035"/>
      <c r="AM19" s="1036"/>
      <c r="AN19" s="1036"/>
      <c r="AO19" s="1036"/>
      <c r="AP19" s="1036"/>
      <c r="AQ19" s="1036"/>
      <c r="AR19" s="1036"/>
      <c r="AS19" s="1036"/>
      <c r="AT19" s="1036"/>
      <c r="AU19" s="1036"/>
      <c r="AV19" s="1036"/>
      <c r="AW19" s="1036"/>
      <c r="AX19" s="1036"/>
      <c r="AY19" s="1037"/>
    </row>
    <row r="20" spans="2:51" ht="12.75" customHeight="1">
      <c r="B20" s="2108" t="str">
        <f>+$B$6</f>
        <v>事務所・店舗・百貨店</v>
      </c>
      <c r="C20" s="2258">
        <v>1220</v>
      </c>
      <c r="D20" s="1072" t="s">
        <v>388</v>
      </c>
      <c r="E20" s="2111">
        <f>1/7</f>
        <v>0.14285714285714285</v>
      </c>
      <c r="F20" s="1073">
        <v>1.1499999999999999</v>
      </c>
      <c r="G20" s="1073" t="s">
        <v>375</v>
      </c>
      <c r="H20" s="2111">
        <f>1/10</f>
        <v>0.1</v>
      </c>
      <c r="I20" s="1073">
        <v>1</v>
      </c>
      <c r="J20" s="1073" t="s">
        <v>389</v>
      </c>
      <c r="K20" s="2111">
        <f>1/20</f>
        <v>0.05</v>
      </c>
      <c r="L20" s="1074">
        <v>0.5</v>
      </c>
      <c r="M20" s="2464" t="s">
        <v>2300</v>
      </c>
      <c r="N20" s="2103"/>
      <c r="O20" s="1452"/>
      <c r="P20" s="1452"/>
      <c r="Q20" s="1452"/>
      <c r="R20" s="1452"/>
      <c r="S20" s="1451"/>
      <c r="T20" s="1452"/>
      <c r="U20" s="1451"/>
      <c r="V20" s="1452"/>
      <c r="W20" s="1451"/>
      <c r="X20" s="1452"/>
      <c r="Y20" s="1035"/>
      <c r="Z20" s="1035"/>
      <c r="AA20" s="1035"/>
      <c r="AB20" s="1035"/>
      <c r="AC20" s="1035"/>
      <c r="AD20" s="1035"/>
      <c r="AE20" s="1035"/>
      <c r="AF20" s="1035"/>
      <c r="AG20" s="1035"/>
      <c r="AH20" s="1035"/>
      <c r="AI20" s="1035"/>
      <c r="AJ20" s="1035"/>
      <c r="AK20" s="1035"/>
      <c r="AL20" s="1035"/>
      <c r="AM20" s="1036"/>
      <c r="AN20" s="1036"/>
      <c r="AO20" s="1036"/>
      <c r="AP20" s="1036"/>
      <c r="AQ20" s="1036"/>
      <c r="AR20" s="1036"/>
      <c r="AS20" s="1036"/>
      <c r="AT20" s="1036"/>
      <c r="AU20" s="1036"/>
      <c r="AV20" s="1036"/>
      <c r="AW20" s="1036"/>
      <c r="AX20" s="1036"/>
      <c r="AY20" s="1037"/>
    </row>
    <row r="21" spans="2:51" ht="12.75" customHeight="1">
      <c r="B21" s="2109" t="str">
        <f>+$B$7</f>
        <v>住宅・アパート</v>
      </c>
      <c r="C21" s="1045">
        <v>1060</v>
      </c>
      <c r="D21" s="1056" t="s">
        <v>390</v>
      </c>
      <c r="E21" s="1813">
        <v>0.04</v>
      </c>
      <c r="F21" s="1047">
        <v>1.1499999999999999</v>
      </c>
      <c r="G21" s="1047" t="s">
        <v>822</v>
      </c>
      <c r="H21" s="1813">
        <v>0.03</v>
      </c>
      <c r="I21" s="1047">
        <v>1</v>
      </c>
      <c r="J21" s="1047" t="s">
        <v>391</v>
      </c>
      <c r="K21" s="1813">
        <v>0.02</v>
      </c>
      <c r="L21" s="1048">
        <v>0.5</v>
      </c>
      <c r="M21" s="2464" t="s">
        <v>2301</v>
      </c>
      <c r="N21" s="1452"/>
      <c r="O21" s="1452"/>
      <c r="P21" s="1452"/>
      <c r="Q21" s="1452"/>
      <c r="R21" s="1452"/>
      <c r="S21" s="1451"/>
      <c r="T21" s="1452"/>
      <c r="U21" s="1451"/>
      <c r="V21" s="1452"/>
      <c r="W21" s="1451"/>
      <c r="X21" s="1452"/>
      <c r="Y21" s="1035"/>
      <c r="Z21" s="1035"/>
      <c r="AA21" s="1035"/>
      <c r="AB21" s="1035"/>
      <c r="AC21" s="1035"/>
      <c r="AD21" s="1035"/>
      <c r="AE21" s="1035"/>
      <c r="AF21" s="1035"/>
      <c r="AG21" s="1035"/>
      <c r="AH21" s="1035"/>
      <c r="AI21" s="1035"/>
      <c r="AJ21" s="1035"/>
      <c r="AK21" s="1035"/>
      <c r="AL21" s="1035"/>
      <c r="AM21" s="1036"/>
      <c r="AN21" s="1036"/>
      <c r="AO21" s="1036"/>
      <c r="AP21" s="1036"/>
      <c r="AQ21" s="1036"/>
      <c r="AR21" s="1036"/>
      <c r="AS21" s="1036"/>
      <c r="AT21" s="1036"/>
      <c r="AU21" s="1036"/>
      <c r="AV21" s="1036"/>
      <c r="AW21" s="1036"/>
      <c r="AX21" s="1036"/>
      <c r="AY21" s="1037"/>
    </row>
    <row r="22" spans="2:51" ht="12.75" customHeight="1">
      <c r="B22" s="2109" t="str">
        <f>+$B$8</f>
        <v>病院・ホテル</v>
      </c>
      <c r="C22" s="1045">
        <v>520</v>
      </c>
      <c r="D22" s="1056" t="s">
        <v>390</v>
      </c>
      <c r="E22" s="2112">
        <f>ROUNDUP(($C22*F22)/($C$20*F$20)*E$20,3)</f>
        <v>6.0999999999999999E-2</v>
      </c>
      <c r="F22" s="1047">
        <v>1.1499999999999999</v>
      </c>
      <c r="G22" s="1047" t="s">
        <v>822</v>
      </c>
      <c r="H22" s="2112">
        <f>ROUNDUP(($C22*I22)/($C$20*I$20)*H$20,3)</f>
        <v>4.3000000000000003E-2</v>
      </c>
      <c r="I22" s="1047">
        <v>1</v>
      </c>
      <c r="J22" s="1047" t="s">
        <v>391</v>
      </c>
      <c r="K22" s="2112">
        <f>ROUNDUP(($C22*L22)/($C$20*L$20)*K$20,3)</f>
        <v>2.2000000000000002E-2</v>
      </c>
      <c r="L22" s="1048">
        <v>0.5</v>
      </c>
      <c r="M22" s="2464" t="s">
        <v>2302</v>
      </c>
      <c r="N22" s="1452"/>
      <c r="O22" s="1452"/>
      <c r="P22" s="1452"/>
      <c r="Q22" s="1452"/>
      <c r="R22" s="1452"/>
      <c r="S22" s="1451"/>
      <c r="T22" s="1452"/>
      <c r="U22" s="1451"/>
      <c r="V22" s="1452"/>
      <c r="W22" s="1451"/>
      <c r="X22" s="1452"/>
      <c r="Y22" s="1035"/>
      <c r="Z22" s="1035"/>
      <c r="AA22" s="1035"/>
      <c r="AB22" s="1035"/>
      <c r="AC22" s="1035"/>
      <c r="AD22" s="1035"/>
      <c r="AE22" s="1035"/>
      <c r="AF22" s="1035"/>
      <c r="AG22" s="1035"/>
      <c r="AH22" s="1035"/>
      <c r="AI22" s="1035"/>
      <c r="AJ22" s="1035"/>
      <c r="AK22" s="1035"/>
      <c r="AL22" s="1035"/>
      <c r="AM22" s="1036"/>
      <c r="AN22" s="1036"/>
      <c r="AO22" s="1036"/>
      <c r="AP22" s="1036"/>
      <c r="AQ22" s="1036"/>
      <c r="AR22" s="1036"/>
      <c r="AS22" s="1036"/>
      <c r="AT22" s="1036"/>
      <c r="AU22" s="1036"/>
      <c r="AV22" s="1036"/>
      <c r="AW22" s="1036"/>
      <c r="AX22" s="1036"/>
      <c r="AY22" s="1037"/>
    </row>
    <row r="23" spans="2:51" ht="12.75" customHeight="1">
      <c r="B23" s="2109" t="str">
        <f>+$B$9</f>
        <v>工場・倉庫・市場</v>
      </c>
      <c r="C23" s="1045">
        <v>430</v>
      </c>
      <c r="D23" s="1056" t="s">
        <v>390</v>
      </c>
      <c r="E23" s="2112">
        <f t="shared" ref="E23:E24" si="0">ROUNDUP(($C23*F23)/($C$20*F$20)*E$20,3)</f>
        <v>5.1000000000000004E-2</v>
      </c>
      <c r="F23" s="1047">
        <v>1.1499999999999999</v>
      </c>
      <c r="G23" s="1047" t="s">
        <v>822</v>
      </c>
      <c r="H23" s="2112">
        <f t="shared" ref="H23:H24" si="1">ROUNDUP(($C23*I23)/($C$20*I$20)*H$20,3)</f>
        <v>3.6000000000000004E-2</v>
      </c>
      <c r="I23" s="1047">
        <v>1</v>
      </c>
      <c r="J23" s="1047" t="s">
        <v>391</v>
      </c>
      <c r="K23" s="2112">
        <f t="shared" ref="K23:K24" si="2">ROUNDUP(($C23*L23)/($C$20*L$20)*K$20,3)</f>
        <v>1.8000000000000002E-2</v>
      </c>
      <c r="L23" s="1048">
        <v>0.5</v>
      </c>
      <c r="M23" s="2464" t="s">
        <v>2302</v>
      </c>
      <c r="N23" s="1452"/>
      <c r="O23" s="1452"/>
      <c r="P23" s="1452"/>
      <c r="Q23" s="1452"/>
      <c r="R23" s="1452"/>
      <c r="S23" s="1451"/>
      <c r="T23" s="1452"/>
      <c r="U23" s="1451"/>
      <c r="V23" s="1452"/>
      <c r="W23" s="1451"/>
      <c r="X23" s="1452"/>
      <c r="Y23" s="1035"/>
      <c r="Z23" s="1035"/>
      <c r="AA23" s="1035"/>
      <c r="AB23" s="1035"/>
      <c r="AC23" s="1035"/>
      <c r="AD23" s="1035"/>
      <c r="AE23" s="1035"/>
      <c r="AF23" s="1035"/>
      <c r="AG23" s="1035"/>
      <c r="AH23" s="1035"/>
      <c r="AI23" s="1035"/>
      <c r="AJ23" s="1035"/>
      <c r="AK23" s="1035"/>
      <c r="AL23" s="1035"/>
      <c r="AM23" s="1036"/>
      <c r="AN23" s="1036"/>
      <c r="AO23" s="1036"/>
      <c r="AP23" s="1036"/>
      <c r="AQ23" s="1036"/>
      <c r="AR23" s="1036"/>
      <c r="AS23" s="1036"/>
      <c r="AT23" s="1036"/>
      <c r="AU23" s="1036"/>
      <c r="AV23" s="1036"/>
      <c r="AW23" s="1036"/>
      <c r="AX23" s="1036"/>
      <c r="AY23" s="1037"/>
    </row>
    <row r="24" spans="2:51" ht="12.75" customHeight="1">
      <c r="B24" s="2110" t="str">
        <f>+$B$10</f>
        <v>劇場型建物</v>
      </c>
      <c r="C24" s="2463">
        <v>430</v>
      </c>
      <c r="D24" s="1075" t="s">
        <v>390</v>
      </c>
      <c r="E24" s="2112">
        <f t="shared" si="0"/>
        <v>5.1000000000000004E-2</v>
      </c>
      <c r="F24" s="1076">
        <v>1.1499999999999999</v>
      </c>
      <c r="G24" s="1076" t="s">
        <v>822</v>
      </c>
      <c r="H24" s="2112">
        <f t="shared" si="1"/>
        <v>3.6000000000000004E-2</v>
      </c>
      <c r="I24" s="1076">
        <v>1</v>
      </c>
      <c r="J24" s="1076" t="s">
        <v>391</v>
      </c>
      <c r="K24" s="2112">
        <f t="shared" si="2"/>
        <v>1.8000000000000002E-2</v>
      </c>
      <c r="L24" s="1077">
        <v>0.5</v>
      </c>
      <c r="M24" s="2464" t="s">
        <v>2302</v>
      </c>
      <c r="N24" s="2104"/>
      <c r="O24" s="1455"/>
      <c r="P24" s="1455"/>
      <c r="Q24" s="1455"/>
      <c r="R24" s="1455"/>
      <c r="S24" s="1454"/>
      <c r="T24" s="1455"/>
      <c r="U24" s="1454"/>
      <c r="V24" s="1455"/>
      <c r="W24" s="1454"/>
      <c r="X24" s="1455"/>
      <c r="Y24" s="1088"/>
      <c r="Z24" s="1088"/>
      <c r="AA24" s="1088"/>
      <c r="AB24" s="1088"/>
      <c r="AC24" s="1088"/>
      <c r="AD24" s="1088"/>
      <c r="AE24" s="1088"/>
      <c r="AF24" s="1088"/>
      <c r="AG24" s="1088"/>
      <c r="AH24" s="1088"/>
      <c r="AI24" s="1088"/>
      <c r="AJ24" s="1088"/>
      <c r="AK24" s="1088"/>
      <c r="AL24" s="1088"/>
      <c r="AM24" s="1089"/>
      <c r="AN24" s="1089"/>
      <c r="AO24" s="1089"/>
      <c r="AP24" s="1089"/>
      <c r="AQ24" s="1089"/>
      <c r="AR24" s="1089"/>
      <c r="AS24" s="1089"/>
      <c r="AT24" s="1089"/>
      <c r="AU24" s="1089"/>
      <c r="AV24" s="1089"/>
      <c r="AW24" s="1089"/>
      <c r="AX24" s="1089"/>
      <c r="AY24" s="1090"/>
    </row>
    <row r="25" spans="2:51" ht="12.75" customHeight="1">
      <c r="B25" s="1008" t="s">
        <v>359</v>
      </c>
      <c r="C25" s="1480" t="s">
        <v>2093</v>
      </c>
      <c r="D25" s="2017"/>
      <c r="E25" s="2018"/>
      <c r="F25" s="2018"/>
      <c r="G25" s="2018"/>
      <c r="H25" s="2018"/>
      <c r="I25" s="2018"/>
      <c r="J25" s="2018"/>
      <c r="K25" s="2018"/>
      <c r="L25" s="2018"/>
      <c r="M25" s="2018"/>
      <c r="N25" s="2018"/>
      <c r="O25" s="2018"/>
      <c r="P25" s="2018"/>
      <c r="Q25" s="2018"/>
      <c r="R25" s="2019"/>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0"/>
      <c r="AR25" s="1020"/>
      <c r="AS25" s="1021"/>
      <c r="AT25" s="1021"/>
      <c r="AU25" s="1021"/>
      <c r="AV25" s="1021"/>
      <c r="AW25" s="1021"/>
      <c r="AX25" s="1021"/>
      <c r="AY25" s="1022"/>
    </row>
    <row r="26" spans="2:51" ht="12.75" customHeight="1">
      <c r="B26" s="1023"/>
      <c r="C26" s="1024" t="s">
        <v>396</v>
      </c>
      <c r="D26" s="1133"/>
      <c r="E26" s="1134"/>
      <c r="F26" s="1134"/>
      <c r="G26" s="1134"/>
      <c r="H26" s="1134"/>
      <c r="I26" s="1134"/>
      <c r="J26" s="1134"/>
      <c r="K26" s="1134"/>
      <c r="L26" s="1134"/>
      <c r="M26" s="1134"/>
      <c r="N26" s="1134"/>
      <c r="O26" s="1134"/>
      <c r="P26" s="1134"/>
      <c r="Q26" s="1134"/>
      <c r="R26" s="2020"/>
      <c r="S26" s="1036"/>
      <c r="T26" s="1036"/>
      <c r="U26" s="1036"/>
      <c r="V26" s="1036"/>
      <c r="W26" s="1036"/>
      <c r="X26" s="1036"/>
      <c r="Y26" s="1036"/>
      <c r="Z26" s="1036"/>
      <c r="AA26" s="1036"/>
      <c r="AB26" s="1036"/>
      <c r="AC26" s="1036"/>
      <c r="AD26" s="1036"/>
      <c r="AE26" s="1036"/>
      <c r="AF26" s="1036"/>
      <c r="AG26" s="1036"/>
      <c r="AH26" s="1036"/>
      <c r="AI26" s="1036"/>
      <c r="AJ26" s="1036"/>
      <c r="AK26" s="1036"/>
      <c r="AL26" s="1036"/>
      <c r="AM26" s="1036"/>
      <c r="AN26" s="1036"/>
      <c r="AO26" s="1036"/>
      <c r="AP26" s="1036"/>
      <c r="AQ26" s="1035"/>
      <c r="AR26" s="1035"/>
      <c r="AS26" s="1036"/>
      <c r="AT26" s="1036"/>
      <c r="AU26" s="1036"/>
      <c r="AV26" s="1036"/>
      <c r="AW26" s="1036"/>
      <c r="AX26" s="1036"/>
      <c r="AY26" s="1037"/>
    </row>
    <row r="27" spans="2:51" ht="12.75" customHeight="1">
      <c r="B27" s="2108" t="str">
        <f>+$B$6</f>
        <v>事務所・店舗・百貨店</v>
      </c>
      <c r="C27" s="2258">
        <v>20180</v>
      </c>
      <c r="D27" s="1116"/>
      <c r="E27" s="1119"/>
      <c r="F27" s="1082"/>
      <c r="G27" s="1119"/>
      <c r="H27" s="1119"/>
      <c r="I27" s="1082"/>
      <c r="J27" s="1119"/>
      <c r="K27" s="1119"/>
      <c r="L27" s="1082"/>
      <c r="M27" s="1082"/>
      <c r="N27" s="1082"/>
      <c r="O27" s="1082"/>
      <c r="P27" s="1082"/>
      <c r="Q27" s="1082"/>
      <c r="R27" s="2013"/>
      <c r="S27" s="1036"/>
      <c r="T27" s="1036"/>
      <c r="U27" s="1036"/>
      <c r="V27" s="1036"/>
      <c r="W27" s="1036"/>
      <c r="X27" s="1036"/>
      <c r="Y27" s="1036"/>
      <c r="Z27" s="1036"/>
      <c r="AA27" s="1036"/>
      <c r="AB27" s="1036"/>
      <c r="AC27" s="1036"/>
      <c r="AD27" s="1036"/>
      <c r="AE27" s="1036"/>
      <c r="AF27" s="1036"/>
      <c r="AG27" s="1036"/>
      <c r="AH27" s="1036"/>
      <c r="AI27" s="1036"/>
      <c r="AJ27" s="1036"/>
      <c r="AK27" s="1036"/>
      <c r="AL27" s="1036"/>
      <c r="AM27" s="1036"/>
      <c r="AN27" s="1036"/>
      <c r="AO27" s="1036"/>
      <c r="AP27" s="1036"/>
      <c r="AQ27" s="1035"/>
      <c r="AR27" s="1035"/>
      <c r="AS27" s="1036"/>
      <c r="AT27" s="1036"/>
      <c r="AU27" s="1036"/>
      <c r="AV27" s="1036"/>
      <c r="AW27" s="1036"/>
      <c r="AX27" s="1036"/>
      <c r="AY27" s="1037"/>
    </row>
    <row r="28" spans="2:51" ht="12.75" customHeight="1">
      <c r="B28" s="2109" t="str">
        <f>+$B$7</f>
        <v>住宅・アパート</v>
      </c>
      <c r="C28" s="1045">
        <v>20180</v>
      </c>
      <c r="D28" s="1116"/>
      <c r="E28" s="1119"/>
      <c r="F28" s="1082"/>
      <c r="G28" s="1119"/>
      <c r="H28" s="1119"/>
      <c r="I28" s="1082"/>
      <c r="J28" s="1119"/>
      <c r="K28" s="1082"/>
      <c r="L28" s="1082"/>
      <c r="M28" s="1082"/>
      <c r="N28" s="1082"/>
      <c r="O28" s="1082"/>
      <c r="P28" s="1082"/>
      <c r="Q28" s="1082"/>
      <c r="R28" s="2013"/>
      <c r="S28" s="1036"/>
      <c r="T28" s="1036"/>
      <c r="U28" s="1036"/>
      <c r="V28" s="1036"/>
      <c r="W28" s="1036"/>
      <c r="X28" s="1036"/>
      <c r="Y28" s="1036"/>
      <c r="Z28" s="1036"/>
      <c r="AA28" s="1036"/>
      <c r="AB28" s="1036"/>
      <c r="AC28" s="1036"/>
      <c r="AD28" s="1036"/>
      <c r="AE28" s="1036"/>
      <c r="AF28" s="1036"/>
      <c r="AG28" s="1036"/>
      <c r="AH28" s="1036"/>
      <c r="AI28" s="1036"/>
      <c r="AJ28" s="1036"/>
      <c r="AK28" s="1036"/>
      <c r="AL28" s="1036"/>
      <c r="AM28" s="1036"/>
      <c r="AN28" s="1036"/>
      <c r="AO28" s="1036"/>
      <c r="AP28" s="1036"/>
      <c r="AQ28" s="1035"/>
      <c r="AR28" s="1035"/>
      <c r="AS28" s="1036"/>
      <c r="AT28" s="1036"/>
      <c r="AU28" s="1036"/>
      <c r="AV28" s="1036"/>
      <c r="AW28" s="1036"/>
      <c r="AX28" s="1036"/>
      <c r="AY28" s="1037"/>
    </row>
    <row r="29" spans="2:51" ht="12.75" customHeight="1">
      <c r="B29" s="2109" t="str">
        <f>+$B$8</f>
        <v>病院・ホテル</v>
      </c>
      <c r="C29" s="1045">
        <v>20180</v>
      </c>
      <c r="D29" s="1116"/>
      <c r="E29" s="1119"/>
      <c r="F29" s="1082"/>
      <c r="G29" s="1119"/>
      <c r="H29" s="1119"/>
      <c r="I29" s="1082"/>
      <c r="J29" s="1119"/>
      <c r="K29" s="1119"/>
      <c r="L29" s="1082"/>
      <c r="M29" s="1082"/>
      <c r="N29" s="1082"/>
      <c r="O29" s="1082"/>
      <c r="P29" s="1082"/>
      <c r="Q29" s="1082"/>
      <c r="R29" s="2013"/>
      <c r="S29" s="1036"/>
      <c r="T29" s="1036"/>
      <c r="U29" s="1036"/>
      <c r="V29" s="1036"/>
      <c r="W29" s="1036"/>
      <c r="X29" s="1036"/>
      <c r="Y29" s="1036"/>
      <c r="Z29" s="1036"/>
      <c r="AA29" s="1036"/>
      <c r="AB29" s="1036"/>
      <c r="AC29" s="1036"/>
      <c r="AD29" s="1036"/>
      <c r="AE29" s="1036"/>
      <c r="AF29" s="1036"/>
      <c r="AG29" s="1036"/>
      <c r="AH29" s="1036"/>
      <c r="AI29" s="1036"/>
      <c r="AJ29" s="1036"/>
      <c r="AK29" s="1036"/>
      <c r="AL29" s="1036"/>
      <c r="AM29" s="1036"/>
      <c r="AN29" s="1036"/>
      <c r="AO29" s="1036"/>
      <c r="AP29" s="1036"/>
      <c r="AQ29" s="1035"/>
      <c r="AR29" s="1035"/>
      <c r="AS29" s="1036"/>
      <c r="AT29" s="1036"/>
      <c r="AU29" s="1036"/>
      <c r="AV29" s="1036"/>
      <c r="AW29" s="1036"/>
      <c r="AX29" s="1036"/>
      <c r="AY29" s="1037"/>
    </row>
    <row r="30" spans="2:51" ht="12.75" customHeight="1">
      <c r="B30" s="2109" t="str">
        <f>+$B$9</f>
        <v>工場・倉庫・市場</v>
      </c>
      <c r="C30" s="1045">
        <v>20180</v>
      </c>
      <c r="D30" s="1116"/>
      <c r="E30" s="1119"/>
      <c r="F30" s="1082"/>
      <c r="G30" s="1119"/>
      <c r="H30" s="1119"/>
      <c r="I30" s="1082"/>
      <c r="J30" s="1119"/>
      <c r="K30" s="1119"/>
      <c r="L30" s="1082"/>
      <c r="M30" s="1082"/>
      <c r="N30" s="1082"/>
      <c r="O30" s="1082"/>
      <c r="P30" s="1082"/>
      <c r="Q30" s="1082"/>
      <c r="R30" s="2013"/>
      <c r="S30" s="1036"/>
      <c r="T30" s="1036"/>
      <c r="U30" s="1036"/>
      <c r="V30" s="1036"/>
      <c r="W30" s="1036"/>
      <c r="X30" s="1036"/>
      <c r="Y30" s="1036"/>
      <c r="Z30" s="1036"/>
      <c r="AA30" s="1036"/>
      <c r="AB30" s="1036"/>
      <c r="AC30" s="1036"/>
      <c r="AD30" s="1036"/>
      <c r="AE30" s="1036"/>
      <c r="AF30" s="1036"/>
      <c r="AG30" s="1036"/>
      <c r="AH30" s="1036"/>
      <c r="AI30" s="1036"/>
      <c r="AJ30" s="1036"/>
      <c r="AK30" s="1036"/>
      <c r="AL30" s="1036"/>
      <c r="AM30" s="1036"/>
      <c r="AN30" s="1036"/>
      <c r="AO30" s="1036"/>
      <c r="AP30" s="1036"/>
      <c r="AQ30" s="1035"/>
      <c r="AR30" s="1035"/>
      <c r="AS30" s="1036"/>
      <c r="AT30" s="1036"/>
      <c r="AU30" s="1036"/>
      <c r="AV30" s="1036"/>
      <c r="AW30" s="1036"/>
      <c r="AX30" s="1036"/>
      <c r="AY30" s="1037"/>
    </row>
    <row r="31" spans="2:51" ht="12.75" customHeight="1">
      <c r="B31" s="2110" t="str">
        <f>+$B$10</f>
        <v>劇場型建物</v>
      </c>
      <c r="C31" s="2463">
        <v>20180</v>
      </c>
      <c r="D31" s="2014"/>
      <c r="E31" s="2015"/>
      <c r="F31" s="1858"/>
      <c r="G31" s="2015"/>
      <c r="H31" s="2015"/>
      <c r="I31" s="1858"/>
      <c r="J31" s="2015"/>
      <c r="K31" s="2015"/>
      <c r="L31" s="1858"/>
      <c r="M31" s="1858"/>
      <c r="N31" s="1858"/>
      <c r="O31" s="1858"/>
      <c r="P31" s="1858"/>
      <c r="Q31" s="1858"/>
      <c r="R31" s="2016"/>
      <c r="S31" s="1036"/>
      <c r="T31" s="1036"/>
      <c r="U31" s="1036"/>
      <c r="V31" s="1036"/>
      <c r="W31" s="1036"/>
      <c r="X31" s="1036"/>
      <c r="Y31" s="1036"/>
      <c r="Z31" s="1036"/>
      <c r="AA31" s="1036"/>
      <c r="AB31" s="1036"/>
      <c r="AC31" s="1036"/>
      <c r="AD31" s="1036"/>
      <c r="AE31" s="1036"/>
      <c r="AF31" s="1036"/>
      <c r="AG31" s="1036"/>
      <c r="AH31" s="1036"/>
      <c r="AI31" s="1036"/>
      <c r="AJ31" s="1036"/>
      <c r="AK31" s="1036"/>
      <c r="AL31" s="1036"/>
      <c r="AM31" s="1036"/>
      <c r="AN31" s="1036"/>
      <c r="AO31" s="1036"/>
      <c r="AP31" s="1036"/>
      <c r="AQ31" s="1035"/>
      <c r="AR31" s="1035"/>
      <c r="AS31" s="1036"/>
      <c r="AT31" s="1036"/>
      <c r="AU31" s="1036"/>
      <c r="AV31" s="1036"/>
      <c r="AW31" s="1036"/>
      <c r="AX31" s="1036"/>
      <c r="AY31" s="1037"/>
    </row>
    <row r="32" spans="2:51" ht="12.75" customHeight="1">
      <c r="B32" s="1008" t="s">
        <v>359</v>
      </c>
      <c r="C32" s="1009" t="s">
        <v>397</v>
      </c>
      <c r="D32" s="1014" t="s">
        <v>398</v>
      </c>
      <c r="E32" s="1015"/>
      <c r="F32" s="1015"/>
      <c r="G32" s="1015"/>
      <c r="H32" s="1015"/>
      <c r="I32" s="1017"/>
      <c r="J32" s="1013" t="s">
        <v>399</v>
      </c>
      <c r="K32" s="1015"/>
      <c r="L32" s="1015"/>
      <c r="M32" s="1015"/>
      <c r="N32" s="1015"/>
      <c r="O32" s="1017"/>
      <c r="P32" s="1459" t="s">
        <v>1300</v>
      </c>
      <c r="Q32" s="1098"/>
      <c r="R32" s="1099"/>
      <c r="S32" s="1098"/>
      <c r="T32" s="1099"/>
      <c r="U32" s="1098"/>
      <c r="V32" s="1098"/>
      <c r="W32" s="1098"/>
      <c r="X32" s="1098"/>
      <c r="Y32" s="1098"/>
      <c r="Z32" s="1098"/>
      <c r="AA32" s="1098"/>
      <c r="AB32" s="1098"/>
      <c r="AC32" s="1098"/>
      <c r="AD32" s="1098"/>
      <c r="AE32" s="1098"/>
      <c r="AF32" s="1098"/>
      <c r="AG32" s="1098"/>
      <c r="AH32" s="1098"/>
      <c r="AI32" s="1098"/>
      <c r="AJ32" s="1098"/>
      <c r="AK32" s="1098"/>
      <c r="AL32" s="1098"/>
      <c r="AM32" s="1098"/>
      <c r="AN32" s="1020"/>
      <c r="AO32" s="1020"/>
      <c r="AP32" s="1021"/>
      <c r="AQ32" s="1021"/>
      <c r="AR32" s="1021"/>
      <c r="AS32" s="1021"/>
      <c r="AT32" s="1020"/>
      <c r="AU32" s="1020"/>
      <c r="AV32" s="1021"/>
      <c r="AW32" s="1021"/>
      <c r="AX32" s="1021"/>
      <c r="AY32" s="1022"/>
    </row>
    <row r="33" spans="2:51" ht="12.75" customHeight="1">
      <c r="B33" s="1023"/>
      <c r="C33" s="1024" t="s">
        <v>400</v>
      </c>
      <c r="D33" s="1029" t="s">
        <v>366</v>
      </c>
      <c r="E33" s="1030"/>
      <c r="F33" s="1030" t="s">
        <v>367</v>
      </c>
      <c r="G33" s="1030"/>
      <c r="H33" s="1030" t="s">
        <v>368</v>
      </c>
      <c r="I33" s="1032"/>
      <c r="J33" s="1028" t="s">
        <v>366</v>
      </c>
      <c r="K33" s="1030"/>
      <c r="L33" s="1030" t="s">
        <v>367</v>
      </c>
      <c r="M33" s="1030"/>
      <c r="N33" s="1030" t="s">
        <v>368</v>
      </c>
      <c r="O33" s="1032"/>
      <c r="P33" s="1460" t="s">
        <v>1301</v>
      </c>
      <c r="Q33" s="1082"/>
      <c r="R33" s="1101"/>
      <c r="S33" s="1082"/>
      <c r="T33" s="1101"/>
      <c r="U33" s="1082"/>
      <c r="V33" s="1082"/>
      <c r="W33" s="1082"/>
      <c r="X33" s="1082"/>
      <c r="Y33" s="1082"/>
      <c r="Z33" s="1082"/>
      <c r="AA33" s="1082"/>
      <c r="AB33" s="1082"/>
      <c r="AC33" s="1082"/>
      <c r="AD33" s="1082"/>
      <c r="AE33" s="1082"/>
      <c r="AF33" s="1082"/>
      <c r="AG33" s="1082"/>
      <c r="AH33" s="1082"/>
      <c r="AI33" s="1082"/>
      <c r="AJ33" s="1082"/>
      <c r="AK33" s="1082"/>
      <c r="AL33" s="1082"/>
      <c r="AM33" s="1082"/>
      <c r="AN33" s="1035"/>
      <c r="AO33" s="1035"/>
      <c r="AP33" s="1036"/>
      <c r="AQ33" s="1036"/>
      <c r="AR33" s="1036"/>
      <c r="AS33" s="1036"/>
      <c r="AT33" s="1035"/>
      <c r="AU33" s="1035"/>
      <c r="AV33" s="1036"/>
      <c r="AW33" s="1036"/>
      <c r="AX33" s="1036"/>
      <c r="AY33" s="1037"/>
    </row>
    <row r="34" spans="2:51" ht="12.75" customHeight="1">
      <c r="B34" s="2108" t="str">
        <f>+$B$6</f>
        <v>事務所・店舗・百貨店</v>
      </c>
      <c r="C34" s="2258">
        <v>1210</v>
      </c>
      <c r="D34" s="1043">
        <v>500</v>
      </c>
      <c r="E34" s="1039">
        <v>1.05</v>
      </c>
      <c r="F34" s="1044">
        <v>1000</v>
      </c>
      <c r="G34" s="1039">
        <v>1</v>
      </c>
      <c r="H34" s="1044">
        <v>1500</v>
      </c>
      <c r="I34" s="1040">
        <v>0.93</v>
      </c>
      <c r="J34" s="1041" t="s">
        <v>401</v>
      </c>
      <c r="K34" s="1039">
        <v>5</v>
      </c>
      <c r="L34" s="1039" t="s">
        <v>402</v>
      </c>
      <c r="M34" s="1039">
        <v>1</v>
      </c>
      <c r="N34" s="1039" t="s">
        <v>403</v>
      </c>
      <c r="O34" s="1040">
        <v>0.9</v>
      </c>
      <c r="P34" s="1100"/>
      <c r="Q34" s="1082"/>
      <c r="R34" s="1101"/>
      <c r="S34" s="1082"/>
      <c r="T34" s="1101"/>
      <c r="U34" s="1082"/>
      <c r="V34" s="1082"/>
      <c r="W34" s="1082"/>
      <c r="X34" s="1082"/>
      <c r="Y34" s="1082"/>
      <c r="Z34" s="1082"/>
      <c r="AA34" s="1082"/>
      <c r="AB34" s="1082"/>
      <c r="AC34" s="1082"/>
      <c r="AD34" s="1082"/>
      <c r="AE34" s="1082"/>
      <c r="AF34" s="1082"/>
      <c r="AG34" s="1082"/>
      <c r="AH34" s="1082"/>
      <c r="AI34" s="1082"/>
      <c r="AJ34" s="1082"/>
      <c r="AK34" s="1082"/>
      <c r="AL34" s="1082"/>
      <c r="AM34" s="1082"/>
      <c r="AN34" s="1035"/>
      <c r="AO34" s="1035"/>
      <c r="AP34" s="1036"/>
      <c r="AQ34" s="1036"/>
      <c r="AR34" s="1036"/>
      <c r="AS34" s="1036"/>
      <c r="AT34" s="1035"/>
      <c r="AU34" s="1035"/>
      <c r="AV34" s="1036"/>
      <c r="AW34" s="1036"/>
      <c r="AX34" s="1036"/>
      <c r="AY34" s="1037"/>
    </row>
    <row r="35" spans="2:51" ht="12.75" customHeight="1">
      <c r="B35" s="2109" t="str">
        <f>+$B$7</f>
        <v>住宅・アパート</v>
      </c>
      <c r="C35" s="2119">
        <f>+C34</f>
        <v>1210</v>
      </c>
      <c r="D35" s="2120">
        <v>500</v>
      </c>
      <c r="E35" s="2121">
        <v>1.05</v>
      </c>
      <c r="F35" s="2122">
        <v>1000</v>
      </c>
      <c r="G35" s="2121">
        <v>1</v>
      </c>
      <c r="H35" s="2122">
        <v>1500</v>
      </c>
      <c r="I35" s="2123">
        <v>0.93</v>
      </c>
      <c r="J35" s="2124" t="s">
        <v>404</v>
      </c>
      <c r="K35" s="2121">
        <v>5</v>
      </c>
      <c r="L35" s="2121" t="s">
        <v>405</v>
      </c>
      <c r="M35" s="2121">
        <v>1</v>
      </c>
      <c r="N35" s="2121" t="s">
        <v>406</v>
      </c>
      <c r="O35" s="2123">
        <v>0.9</v>
      </c>
      <c r="P35" s="1100"/>
      <c r="Q35" s="1082"/>
      <c r="R35" s="1101"/>
      <c r="S35" s="1082"/>
      <c r="T35" s="1101"/>
      <c r="U35" s="1082"/>
      <c r="V35" s="1082"/>
      <c r="W35" s="1082"/>
      <c r="X35" s="1082"/>
      <c r="Y35" s="1082"/>
      <c r="Z35" s="1082"/>
      <c r="AA35" s="1082"/>
      <c r="AB35" s="1082"/>
      <c r="AC35" s="1082"/>
      <c r="AD35" s="1082"/>
      <c r="AE35" s="1082"/>
      <c r="AF35" s="1082"/>
      <c r="AG35" s="1082"/>
      <c r="AH35" s="1082"/>
      <c r="AI35" s="1082"/>
      <c r="AJ35" s="1082"/>
      <c r="AK35" s="1082"/>
      <c r="AL35" s="1082"/>
      <c r="AM35" s="1082"/>
      <c r="AN35" s="1035"/>
      <c r="AO35" s="1035"/>
      <c r="AP35" s="1036"/>
      <c r="AQ35" s="1036"/>
      <c r="AR35" s="1036"/>
      <c r="AS35" s="1036"/>
      <c r="AT35" s="1035"/>
      <c r="AU35" s="1035"/>
      <c r="AV35" s="1036"/>
      <c r="AW35" s="1036"/>
      <c r="AX35" s="1036"/>
      <c r="AY35" s="1037"/>
    </row>
    <row r="36" spans="2:51" ht="12.75" customHeight="1">
      <c r="B36" s="2109" t="str">
        <f>+$B$8</f>
        <v>病院・ホテル</v>
      </c>
      <c r="C36" s="1045">
        <v>1210</v>
      </c>
      <c r="D36" s="1054">
        <v>500</v>
      </c>
      <c r="E36" s="1047">
        <v>1.05</v>
      </c>
      <c r="F36" s="1055">
        <v>1000</v>
      </c>
      <c r="G36" s="1047">
        <v>1</v>
      </c>
      <c r="H36" s="1055">
        <v>1500</v>
      </c>
      <c r="I36" s="1048">
        <v>0.93</v>
      </c>
      <c r="J36" s="1056" t="s">
        <v>404</v>
      </c>
      <c r="K36" s="1047">
        <v>5</v>
      </c>
      <c r="L36" s="1047" t="s">
        <v>405</v>
      </c>
      <c r="M36" s="1047">
        <v>1</v>
      </c>
      <c r="N36" s="1047" t="s">
        <v>406</v>
      </c>
      <c r="O36" s="1048">
        <v>0.9</v>
      </c>
      <c r="P36" s="1100"/>
      <c r="Q36" s="1082"/>
      <c r="R36" s="1101"/>
      <c r="S36" s="1082"/>
      <c r="T36" s="1101"/>
      <c r="U36" s="1082"/>
      <c r="V36" s="1082"/>
      <c r="W36" s="1082"/>
      <c r="X36" s="1082"/>
      <c r="Y36" s="1082"/>
      <c r="Z36" s="1082"/>
      <c r="AA36" s="1082"/>
      <c r="AB36" s="1082"/>
      <c r="AC36" s="1082"/>
      <c r="AD36" s="1082"/>
      <c r="AE36" s="1082"/>
      <c r="AF36" s="1082"/>
      <c r="AG36" s="1082"/>
      <c r="AH36" s="1082"/>
      <c r="AI36" s="1082"/>
      <c r="AJ36" s="1082"/>
      <c r="AK36" s="1082"/>
      <c r="AL36" s="1082"/>
      <c r="AM36" s="1082"/>
      <c r="AN36" s="1035"/>
      <c r="AO36" s="1035"/>
      <c r="AP36" s="1036"/>
      <c r="AQ36" s="1036"/>
      <c r="AR36" s="1036"/>
      <c r="AS36" s="1036"/>
      <c r="AT36" s="1035"/>
      <c r="AU36" s="1035"/>
      <c r="AV36" s="1036"/>
      <c r="AW36" s="1036"/>
      <c r="AX36" s="1036"/>
      <c r="AY36" s="1037"/>
    </row>
    <row r="37" spans="2:51" ht="12.75" customHeight="1">
      <c r="B37" s="2109" t="str">
        <f>+$B$9</f>
        <v>工場・倉庫・市場</v>
      </c>
      <c r="C37" s="2119">
        <f>+C34</f>
        <v>1210</v>
      </c>
      <c r="D37" s="2120">
        <v>500</v>
      </c>
      <c r="E37" s="2121">
        <v>1.05</v>
      </c>
      <c r="F37" s="2122">
        <v>1000</v>
      </c>
      <c r="G37" s="2121">
        <v>1</v>
      </c>
      <c r="H37" s="2122">
        <v>1500</v>
      </c>
      <c r="I37" s="2123">
        <v>0.93</v>
      </c>
      <c r="J37" s="2124" t="s">
        <v>404</v>
      </c>
      <c r="K37" s="2121">
        <v>5</v>
      </c>
      <c r="L37" s="2121" t="s">
        <v>405</v>
      </c>
      <c r="M37" s="2121">
        <v>1</v>
      </c>
      <c r="N37" s="2121" t="s">
        <v>406</v>
      </c>
      <c r="O37" s="2123">
        <v>0.9</v>
      </c>
      <c r="P37" s="1100"/>
      <c r="Q37" s="1082"/>
      <c r="R37" s="1101"/>
      <c r="S37" s="1082"/>
      <c r="T37" s="1101"/>
      <c r="U37" s="1082"/>
      <c r="V37" s="1082"/>
      <c r="W37" s="1082"/>
      <c r="X37" s="1082"/>
      <c r="Y37" s="1082"/>
      <c r="Z37" s="1082"/>
      <c r="AA37" s="1082"/>
      <c r="AB37" s="1082"/>
      <c r="AC37" s="1082"/>
      <c r="AD37" s="1082"/>
      <c r="AE37" s="1082"/>
      <c r="AF37" s="1082"/>
      <c r="AG37" s="1082"/>
      <c r="AH37" s="1082"/>
      <c r="AI37" s="1082"/>
      <c r="AJ37" s="1082"/>
      <c r="AK37" s="1082"/>
      <c r="AL37" s="1082"/>
      <c r="AM37" s="1082"/>
      <c r="AN37" s="1035"/>
      <c r="AO37" s="1035"/>
      <c r="AP37" s="1036"/>
      <c r="AQ37" s="1036"/>
      <c r="AR37" s="1036"/>
      <c r="AS37" s="1036"/>
      <c r="AT37" s="1035"/>
      <c r="AU37" s="1035"/>
      <c r="AV37" s="1036"/>
      <c r="AW37" s="1036"/>
      <c r="AX37" s="1036"/>
      <c r="AY37" s="1037"/>
    </row>
    <row r="38" spans="2:51" ht="12.75" customHeight="1">
      <c r="B38" s="2110" t="str">
        <f>+$B$10</f>
        <v>劇場型建物</v>
      </c>
      <c r="C38" s="2125">
        <f>+C34</f>
        <v>1210</v>
      </c>
      <c r="D38" s="2126">
        <v>500</v>
      </c>
      <c r="E38" s="2127">
        <v>1.05</v>
      </c>
      <c r="F38" s="2128">
        <v>1000</v>
      </c>
      <c r="G38" s="2127">
        <v>1</v>
      </c>
      <c r="H38" s="2128">
        <v>1500</v>
      </c>
      <c r="I38" s="2129">
        <v>0.93</v>
      </c>
      <c r="J38" s="2130" t="s">
        <v>404</v>
      </c>
      <c r="K38" s="2127">
        <v>5</v>
      </c>
      <c r="L38" s="2127" t="s">
        <v>405</v>
      </c>
      <c r="M38" s="2127">
        <v>1</v>
      </c>
      <c r="N38" s="2127" t="s">
        <v>406</v>
      </c>
      <c r="O38" s="2129">
        <v>0.9</v>
      </c>
      <c r="P38" s="1100"/>
      <c r="Q38" s="1082"/>
      <c r="R38" s="1101"/>
      <c r="S38" s="1082"/>
      <c r="T38" s="1101"/>
      <c r="U38" s="1082"/>
      <c r="V38" s="1082"/>
      <c r="W38" s="1082"/>
      <c r="X38" s="1082"/>
      <c r="Y38" s="1082"/>
      <c r="Z38" s="1082"/>
      <c r="AA38" s="1082"/>
      <c r="AB38" s="1082"/>
      <c r="AC38" s="1082"/>
      <c r="AD38" s="1082"/>
      <c r="AE38" s="1082"/>
      <c r="AF38" s="1082"/>
      <c r="AG38" s="1082"/>
      <c r="AH38" s="1082"/>
      <c r="AI38" s="1082"/>
      <c r="AJ38" s="1082"/>
      <c r="AK38" s="1082"/>
      <c r="AL38" s="1082"/>
      <c r="AM38" s="1082"/>
      <c r="AN38" s="1035"/>
      <c r="AO38" s="1035"/>
      <c r="AP38" s="1036"/>
      <c r="AQ38" s="1036"/>
      <c r="AR38" s="1036"/>
      <c r="AS38" s="1036"/>
      <c r="AT38" s="1035"/>
      <c r="AU38" s="1035"/>
      <c r="AV38" s="1036"/>
      <c r="AW38" s="1036"/>
      <c r="AX38" s="1036"/>
      <c r="AY38" s="1037"/>
    </row>
    <row r="39" spans="2:51" ht="12.75" customHeight="1">
      <c r="B39" s="1008" t="s">
        <v>359</v>
      </c>
      <c r="C39" s="1009" t="s">
        <v>413</v>
      </c>
      <c r="D39" s="1468" t="s">
        <v>1311</v>
      </c>
      <c r="E39" s="1068"/>
      <c r="F39" s="1068"/>
      <c r="G39" s="1068"/>
      <c r="H39" s="1068"/>
      <c r="I39" s="1068"/>
      <c r="J39" s="1013" t="s">
        <v>953</v>
      </c>
      <c r="K39" s="1015"/>
      <c r="L39" s="1015"/>
      <c r="M39" s="1015"/>
      <c r="N39" s="1015"/>
      <c r="O39" s="1017"/>
      <c r="P39" s="1021"/>
      <c r="Q39" s="1021"/>
      <c r="R39" s="1021"/>
      <c r="S39" s="1021"/>
      <c r="T39" s="1021"/>
      <c r="U39" s="1021"/>
      <c r="V39" s="1021"/>
      <c r="W39" s="1021"/>
      <c r="X39" s="1021"/>
      <c r="Y39" s="1021"/>
      <c r="Z39" s="1021"/>
      <c r="AA39" s="1021"/>
      <c r="AB39" s="1021"/>
      <c r="AC39" s="1021"/>
      <c r="AD39" s="1021"/>
      <c r="AE39" s="1021"/>
      <c r="AF39" s="1021"/>
      <c r="AG39" s="1021"/>
      <c r="AH39" s="1020"/>
      <c r="AI39" s="1020"/>
      <c r="AJ39" s="1021"/>
      <c r="AK39" s="1021"/>
      <c r="AL39" s="1021"/>
      <c r="AM39" s="1021"/>
      <c r="AN39" s="1021"/>
      <c r="AO39" s="1021"/>
      <c r="AP39" s="1021"/>
      <c r="AQ39" s="1021"/>
      <c r="AR39" s="1021"/>
      <c r="AS39" s="1021"/>
      <c r="AT39" s="1021"/>
      <c r="AU39" s="1021"/>
      <c r="AV39" s="1021"/>
      <c r="AW39" s="1021"/>
      <c r="AX39" s="1021"/>
      <c r="AY39" s="1022"/>
    </row>
    <row r="40" spans="2:51" ht="12.75" customHeight="1">
      <c r="B40" s="1023"/>
      <c r="C40" s="1024" t="s">
        <v>954</v>
      </c>
      <c r="D40" s="1028" t="s">
        <v>366</v>
      </c>
      <c r="E40" s="1030"/>
      <c r="F40" s="1030" t="s">
        <v>367</v>
      </c>
      <c r="G40" s="1030"/>
      <c r="H40" s="1030" t="s">
        <v>368</v>
      </c>
      <c r="I40" s="1032"/>
      <c r="J40" s="1028" t="s">
        <v>366</v>
      </c>
      <c r="K40" s="1030"/>
      <c r="L40" s="1030" t="s">
        <v>367</v>
      </c>
      <c r="M40" s="1030"/>
      <c r="N40" s="1030" t="s">
        <v>368</v>
      </c>
      <c r="O40" s="1032"/>
      <c r="P40" s="1036"/>
      <c r="Q40" s="1036"/>
      <c r="R40" s="1036"/>
      <c r="S40" s="1036"/>
      <c r="T40" s="1036"/>
      <c r="U40" s="1036"/>
      <c r="V40" s="1036"/>
      <c r="W40" s="1036"/>
      <c r="X40" s="1036"/>
      <c r="Y40" s="1036"/>
      <c r="Z40" s="1036"/>
      <c r="AA40" s="1036"/>
      <c r="AB40" s="1036"/>
      <c r="AC40" s="1036"/>
      <c r="AD40" s="1036"/>
      <c r="AE40" s="1036"/>
      <c r="AF40" s="1036"/>
      <c r="AG40" s="1036"/>
      <c r="AH40" s="1035"/>
      <c r="AI40" s="1035"/>
      <c r="AJ40" s="1036"/>
      <c r="AK40" s="1036"/>
      <c r="AL40" s="1036"/>
      <c r="AM40" s="1036"/>
      <c r="AN40" s="1036"/>
      <c r="AO40" s="1036"/>
      <c r="AP40" s="1036"/>
      <c r="AQ40" s="1036"/>
      <c r="AR40" s="1036"/>
      <c r="AS40" s="1036"/>
      <c r="AT40" s="1036"/>
      <c r="AU40" s="1036"/>
      <c r="AV40" s="1036"/>
      <c r="AW40" s="1036"/>
      <c r="AX40" s="1036"/>
      <c r="AY40" s="1037"/>
    </row>
    <row r="41" spans="2:51" ht="12.75" customHeight="1">
      <c r="B41" s="2108" t="str">
        <f>+$B$6</f>
        <v>事務所・店舗・百貨店</v>
      </c>
      <c r="C41" s="2258">
        <v>63740</v>
      </c>
      <c r="D41" s="1091">
        <v>15</v>
      </c>
      <c r="E41" s="1038">
        <v>1.05</v>
      </c>
      <c r="F41" s="1469">
        <v>30</v>
      </c>
      <c r="G41" s="1039">
        <v>1</v>
      </c>
      <c r="H41" s="1470" t="s">
        <v>1312</v>
      </c>
      <c r="I41" s="1470" t="s">
        <v>1312</v>
      </c>
      <c r="J41" s="1471" t="s">
        <v>1312</v>
      </c>
      <c r="K41" s="1470" t="s">
        <v>1312</v>
      </c>
      <c r="L41" s="1467" t="s">
        <v>1308</v>
      </c>
      <c r="M41" s="1047">
        <v>1</v>
      </c>
      <c r="N41" s="1467" t="s">
        <v>1309</v>
      </c>
      <c r="O41" s="1048">
        <v>0.2</v>
      </c>
      <c r="P41" s="1036"/>
      <c r="Q41" s="1036"/>
      <c r="R41" s="1036"/>
      <c r="S41" s="1036"/>
      <c r="T41" s="1036"/>
      <c r="U41" s="1036"/>
      <c r="V41" s="1036"/>
      <c r="W41" s="1036"/>
      <c r="X41" s="1036"/>
      <c r="Y41" s="1036"/>
      <c r="Z41" s="1036"/>
      <c r="AA41" s="1036"/>
      <c r="AB41" s="1036"/>
      <c r="AC41" s="1036"/>
      <c r="AD41" s="1036"/>
      <c r="AE41" s="1036"/>
      <c r="AF41" s="1036"/>
      <c r="AG41" s="1036"/>
      <c r="AH41" s="1035"/>
      <c r="AI41" s="1035"/>
      <c r="AJ41" s="1036"/>
      <c r="AK41" s="1036"/>
      <c r="AL41" s="1036"/>
      <c r="AM41" s="1036"/>
      <c r="AN41" s="1036"/>
      <c r="AO41" s="1036"/>
      <c r="AP41" s="1036"/>
      <c r="AQ41" s="1036"/>
      <c r="AR41" s="1036"/>
      <c r="AS41" s="1036"/>
      <c r="AT41" s="1036"/>
      <c r="AU41" s="1036"/>
      <c r="AV41" s="1036"/>
      <c r="AW41" s="1036"/>
      <c r="AX41" s="1036"/>
      <c r="AY41" s="1037"/>
    </row>
    <row r="42" spans="2:51" ht="12.75" customHeight="1">
      <c r="B42" s="2109" t="str">
        <f>+$B$7</f>
        <v>住宅・アパート</v>
      </c>
      <c r="C42" s="1045">
        <v>63740</v>
      </c>
      <c r="D42" s="1050">
        <v>15</v>
      </c>
      <c r="E42" s="1046">
        <v>1.05</v>
      </c>
      <c r="F42" s="1047">
        <v>30</v>
      </c>
      <c r="G42" s="1047">
        <v>1</v>
      </c>
      <c r="H42" s="1047" t="s">
        <v>1195</v>
      </c>
      <c r="I42" s="1047" t="s">
        <v>1195</v>
      </c>
      <c r="J42" s="1056" t="s">
        <v>1195</v>
      </c>
      <c r="K42" s="1047" t="s">
        <v>1195</v>
      </c>
      <c r="L42" s="1047" t="s">
        <v>1307</v>
      </c>
      <c r="M42" s="1047">
        <v>1</v>
      </c>
      <c r="N42" s="1047" t="s">
        <v>312</v>
      </c>
      <c r="O42" s="1048">
        <v>0.2</v>
      </c>
      <c r="P42" s="1036"/>
      <c r="Q42" s="1036"/>
      <c r="R42" s="1036"/>
      <c r="S42" s="1036"/>
      <c r="T42" s="1036"/>
      <c r="U42" s="1036"/>
      <c r="V42" s="1036"/>
      <c r="W42" s="1036"/>
      <c r="X42" s="1036"/>
      <c r="Y42" s="1036"/>
      <c r="Z42" s="1036"/>
      <c r="AA42" s="1036"/>
      <c r="AB42" s="1036"/>
      <c r="AC42" s="1036"/>
      <c r="AD42" s="1036"/>
      <c r="AE42" s="1036"/>
      <c r="AF42" s="1036"/>
      <c r="AG42" s="1036"/>
      <c r="AH42" s="1035"/>
      <c r="AI42" s="1035"/>
      <c r="AJ42" s="1036"/>
      <c r="AK42" s="1036"/>
      <c r="AL42" s="1036"/>
      <c r="AM42" s="1036"/>
      <c r="AN42" s="1036"/>
      <c r="AO42" s="1036"/>
      <c r="AP42" s="1036"/>
      <c r="AQ42" s="1036"/>
      <c r="AR42" s="1036"/>
      <c r="AS42" s="1036"/>
      <c r="AT42" s="1036"/>
      <c r="AU42" s="1036"/>
      <c r="AV42" s="1036"/>
      <c r="AW42" s="1036"/>
      <c r="AX42" s="1036"/>
      <c r="AY42" s="1037"/>
    </row>
    <row r="43" spans="2:51" ht="12.75" customHeight="1">
      <c r="B43" s="2109" t="str">
        <f>+$B$8</f>
        <v>病院・ホテル</v>
      </c>
      <c r="C43" s="1045">
        <v>63740</v>
      </c>
      <c r="D43" s="1050">
        <v>15</v>
      </c>
      <c r="E43" s="1046">
        <v>1.05</v>
      </c>
      <c r="F43" s="1047">
        <v>30</v>
      </c>
      <c r="G43" s="1047">
        <v>1</v>
      </c>
      <c r="H43" s="1047" t="s">
        <v>1195</v>
      </c>
      <c r="I43" s="1047" t="s">
        <v>1195</v>
      </c>
      <c r="J43" s="1056" t="s">
        <v>1195</v>
      </c>
      <c r="K43" s="1047" t="s">
        <v>1195</v>
      </c>
      <c r="L43" s="1047" t="s">
        <v>1307</v>
      </c>
      <c r="M43" s="1047">
        <v>1</v>
      </c>
      <c r="N43" s="1047" t="s">
        <v>312</v>
      </c>
      <c r="O43" s="1048">
        <v>0.2</v>
      </c>
      <c r="P43" s="1036"/>
      <c r="Q43" s="1036"/>
      <c r="R43" s="1036"/>
      <c r="S43" s="1036"/>
      <c r="T43" s="1036"/>
      <c r="U43" s="1036"/>
      <c r="V43" s="1036"/>
      <c r="W43" s="1036"/>
      <c r="X43" s="1036"/>
      <c r="Y43" s="1036"/>
      <c r="Z43" s="1036"/>
      <c r="AA43" s="1036"/>
      <c r="AB43" s="1036"/>
      <c r="AC43" s="1036"/>
      <c r="AD43" s="1036"/>
      <c r="AE43" s="1036"/>
      <c r="AF43" s="1036"/>
      <c r="AG43" s="1036"/>
      <c r="AH43" s="1035"/>
      <c r="AI43" s="1035"/>
      <c r="AJ43" s="1036"/>
      <c r="AK43" s="1036"/>
      <c r="AL43" s="1036"/>
      <c r="AM43" s="1036"/>
      <c r="AN43" s="1036"/>
      <c r="AO43" s="1036"/>
      <c r="AP43" s="1036"/>
      <c r="AQ43" s="1036"/>
      <c r="AR43" s="1036"/>
      <c r="AS43" s="1036"/>
      <c r="AT43" s="1036"/>
      <c r="AU43" s="1036"/>
      <c r="AV43" s="1036"/>
      <c r="AW43" s="1036"/>
      <c r="AX43" s="1036"/>
      <c r="AY43" s="1037"/>
    </row>
    <row r="44" spans="2:51" ht="12.75" customHeight="1">
      <c r="B44" s="2109" t="str">
        <f>+$B$9</f>
        <v>工場・倉庫・市場</v>
      </c>
      <c r="C44" s="1045">
        <v>63740</v>
      </c>
      <c r="D44" s="1050">
        <v>15</v>
      </c>
      <c r="E44" s="1046">
        <v>1.05</v>
      </c>
      <c r="F44" s="1047">
        <v>30</v>
      </c>
      <c r="G44" s="1047">
        <v>1</v>
      </c>
      <c r="H44" s="1047" t="s">
        <v>1195</v>
      </c>
      <c r="I44" s="1047" t="s">
        <v>1195</v>
      </c>
      <c r="J44" s="1056" t="s">
        <v>1195</v>
      </c>
      <c r="K44" s="1047" t="s">
        <v>1195</v>
      </c>
      <c r="L44" s="1047" t="s">
        <v>1307</v>
      </c>
      <c r="M44" s="1047">
        <v>1</v>
      </c>
      <c r="N44" s="1047" t="s">
        <v>312</v>
      </c>
      <c r="O44" s="1048">
        <v>0.2</v>
      </c>
      <c r="P44" s="1036"/>
      <c r="Q44" s="1036"/>
      <c r="R44" s="1036"/>
      <c r="S44" s="1036"/>
      <c r="T44" s="1036"/>
      <c r="U44" s="1036"/>
      <c r="V44" s="1036"/>
      <c r="W44" s="1036"/>
      <c r="X44" s="1036"/>
      <c r="Y44" s="1036"/>
      <c r="Z44" s="1036"/>
      <c r="AA44" s="1036"/>
      <c r="AB44" s="1036"/>
      <c r="AC44" s="1036"/>
      <c r="AD44" s="1036"/>
      <c r="AE44" s="1036"/>
      <c r="AF44" s="1036"/>
      <c r="AG44" s="1036"/>
      <c r="AH44" s="1035"/>
      <c r="AI44" s="1035"/>
      <c r="AJ44" s="1036"/>
      <c r="AK44" s="1036"/>
      <c r="AL44" s="1036"/>
      <c r="AM44" s="1036"/>
      <c r="AN44" s="1036"/>
      <c r="AO44" s="1036"/>
      <c r="AP44" s="1036"/>
      <c r="AQ44" s="1036"/>
      <c r="AR44" s="1036"/>
      <c r="AS44" s="1036"/>
      <c r="AT44" s="1036"/>
      <c r="AU44" s="1036"/>
      <c r="AV44" s="1036"/>
      <c r="AW44" s="1036"/>
      <c r="AX44" s="1036"/>
      <c r="AY44" s="1037"/>
    </row>
    <row r="45" spans="2:51" ht="12.75" customHeight="1">
      <c r="B45" s="2110" t="str">
        <f>+$B$10</f>
        <v>劇場型建物</v>
      </c>
      <c r="C45" s="2463">
        <v>63740</v>
      </c>
      <c r="D45" s="1094">
        <v>15</v>
      </c>
      <c r="E45" s="1060">
        <v>1.05</v>
      </c>
      <c r="F45" s="1061">
        <v>30</v>
      </c>
      <c r="G45" s="1061">
        <v>1</v>
      </c>
      <c r="H45" s="1061" t="s">
        <v>1195</v>
      </c>
      <c r="I45" s="1061" t="s">
        <v>1195</v>
      </c>
      <c r="J45" s="1063" t="s">
        <v>1195</v>
      </c>
      <c r="K45" s="1061" t="s">
        <v>1195</v>
      </c>
      <c r="L45" s="1061" t="s">
        <v>1307</v>
      </c>
      <c r="M45" s="1061">
        <v>1</v>
      </c>
      <c r="N45" s="1061" t="s">
        <v>312</v>
      </c>
      <c r="O45" s="1062">
        <v>0.2</v>
      </c>
      <c r="P45" s="1036"/>
      <c r="Q45" s="1036"/>
      <c r="R45" s="1089"/>
      <c r="S45" s="1089"/>
      <c r="T45" s="1089"/>
      <c r="U45" s="1089"/>
      <c r="V45" s="1089"/>
      <c r="W45" s="1089"/>
      <c r="X45" s="1089"/>
      <c r="Y45" s="1089"/>
      <c r="Z45" s="1089"/>
      <c r="AA45" s="1089"/>
      <c r="AB45" s="1089"/>
      <c r="AC45" s="1089"/>
      <c r="AD45" s="1089"/>
      <c r="AE45" s="1089"/>
      <c r="AF45" s="1089"/>
      <c r="AG45" s="1089"/>
      <c r="AH45" s="1088"/>
      <c r="AI45" s="1088"/>
      <c r="AJ45" s="1089"/>
      <c r="AK45" s="1089"/>
      <c r="AL45" s="1089"/>
      <c r="AM45" s="1089"/>
      <c r="AN45" s="1089"/>
      <c r="AO45" s="1089"/>
      <c r="AP45" s="1089"/>
      <c r="AQ45" s="1089"/>
      <c r="AR45" s="1089"/>
      <c r="AS45" s="1089"/>
      <c r="AT45" s="1089"/>
      <c r="AU45" s="1089"/>
      <c r="AV45" s="1089"/>
      <c r="AW45" s="1089"/>
      <c r="AX45" s="1089"/>
      <c r="AY45" s="1090"/>
    </row>
    <row r="46" spans="2:51" ht="12.75" customHeight="1">
      <c r="B46" s="1008" t="s">
        <v>359</v>
      </c>
      <c r="C46" s="1462" t="s">
        <v>1302</v>
      </c>
      <c r="D46" s="1463" t="s">
        <v>1304</v>
      </c>
      <c r="E46" s="1015"/>
      <c r="F46" s="1015"/>
      <c r="G46" s="1015"/>
      <c r="H46" s="1015"/>
      <c r="I46" s="1017"/>
      <c r="J46" s="1098"/>
      <c r="K46" s="1098"/>
      <c r="L46" s="1098"/>
      <c r="M46" s="1098"/>
      <c r="N46" s="1098"/>
      <c r="O46" s="1098"/>
      <c r="P46" s="1098"/>
      <c r="Q46" s="1098"/>
      <c r="R46" s="1098"/>
      <c r="S46" s="1020"/>
      <c r="T46" s="1021"/>
      <c r="U46" s="1021"/>
      <c r="V46" s="1021"/>
      <c r="W46" s="1021"/>
      <c r="X46" s="1021"/>
      <c r="Y46" s="1021"/>
      <c r="Z46" s="1021"/>
      <c r="AA46" s="1021"/>
      <c r="AB46" s="1021"/>
      <c r="AC46" s="1021"/>
      <c r="AD46" s="1021"/>
      <c r="AE46" s="1021"/>
      <c r="AF46" s="1021"/>
      <c r="AG46" s="1021"/>
      <c r="AH46" s="1020"/>
      <c r="AI46" s="1020"/>
      <c r="AJ46" s="1021"/>
      <c r="AK46" s="1021"/>
      <c r="AL46" s="1021"/>
      <c r="AM46" s="1021"/>
      <c r="AN46" s="1021"/>
      <c r="AO46" s="1021"/>
      <c r="AP46" s="1021"/>
      <c r="AQ46" s="1021"/>
      <c r="AR46" s="1021"/>
      <c r="AS46" s="1021"/>
      <c r="AT46" s="1021"/>
      <c r="AU46" s="1021"/>
      <c r="AV46" s="1021"/>
      <c r="AW46" s="1021"/>
      <c r="AX46" s="1021"/>
      <c r="AY46" s="1022"/>
    </row>
    <row r="47" spans="2:51" ht="12.75" customHeight="1">
      <c r="B47" s="1023"/>
      <c r="C47" s="1024" t="s">
        <v>1303</v>
      </c>
      <c r="D47" s="1028" t="s">
        <v>366</v>
      </c>
      <c r="E47" s="1030"/>
      <c r="F47" s="1030" t="s">
        <v>367</v>
      </c>
      <c r="G47" s="1030"/>
      <c r="H47" s="1030" t="s">
        <v>368</v>
      </c>
      <c r="I47" s="1032"/>
      <c r="J47" s="1082"/>
      <c r="K47" s="1082"/>
      <c r="L47" s="1082"/>
      <c r="M47" s="1082"/>
      <c r="N47" s="1082"/>
      <c r="O47" s="1082"/>
      <c r="P47" s="1082"/>
      <c r="Q47" s="1082"/>
      <c r="R47" s="1082"/>
      <c r="S47" s="1035"/>
      <c r="T47" s="1036"/>
      <c r="U47" s="1036"/>
      <c r="V47" s="1036"/>
      <c r="W47" s="1036"/>
      <c r="X47" s="1036"/>
      <c r="Y47" s="1036"/>
      <c r="Z47" s="1036"/>
      <c r="AA47" s="1036"/>
      <c r="AB47" s="1036"/>
      <c r="AC47" s="1036"/>
      <c r="AD47" s="1036"/>
      <c r="AE47" s="1036"/>
      <c r="AF47" s="1036"/>
      <c r="AG47" s="1036"/>
      <c r="AH47" s="1035"/>
      <c r="AI47" s="1035"/>
      <c r="AJ47" s="1036"/>
      <c r="AK47" s="1036"/>
      <c r="AL47" s="1036"/>
      <c r="AM47" s="1036"/>
      <c r="AN47" s="1036"/>
      <c r="AO47" s="1036"/>
      <c r="AP47" s="1036"/>
      <c r="AQ47" s="1036"/>
      <c r="AR47" s="1036"/>
      <c r="AS47" s="1036"/>
      <c r="AT47" s="1036"/>
      <c r="AU47" s="1036"/>
      <c r="AV47" s="1036"/>
      <c r="AW47" s="1036"/>
      <c r="AX47" s="1036"/>
      <c r="AY47" s="1037"/>
    </row>
    <row r="48" spans="2:51" ht="12.75" customHeight="1">
      <c r="B48" s="2108" t="str">
        <f>+$B$6</f>
        <v>事務所・店舗・百貨店</v>
      </c>
      <c r="C48" s="1045">
        <v>46810</v>
      </c>
      <c r="D48" s="1473" t="s">
        <v>1312</v>
      </c>
      <c r="E48" s="1473" t="s">
        <v>1312</v>
      </c>
      <c r="F48" s="1467" t="s">
        <v>1308</v>
      </c>
      <c r="G48" s="1047">
        <v>1</v>
      </c>
      <c r="H48" s="1467" t="s">
        <v>1309</v>
      </c>
      <c r="I48" s="1048">
        <v>0.3</v>
      </c>
      <c r="J48" s="1082"/>
      <c r="K48" s="1082"/>
      <c r="L48" s="1082"/>
      <c r="M48" s="1082"/>
      <c r="N48" s="1082"/>
      <c r="O48" s="1082"/>
      <c r="P48" s="1082"/>
      <c r="Q48" s="1082"/>
      <c r="R48" s="1082"/>
      <c r="S48" s="1035"/>
      <c r="T48" s="1036"/>
      <c r="U48" s="1036"/>
      <c r="V48" s="1036"/>
      <c r="W48" s="1036"/>
      <c r="X48" s="1036"/>
      <c r="Y48" s="1036"/>
      <c r="Z48" s="1036"/>
      <c r="AA48" s="1036"/>
      <c r="AB48" s="1036"/>
      <c r="AC48" s="1036"/>
      <c r="AD48" s="1036"/>
      <c r="AE48" s="1036"/>
      <c r="AF48" s="1036"/>
      <c r="AG48" s="1036"/>
      <c r="AH48" s="1035"/>
      <c r="AI48" s="1035"/>
      <c r="AJ48" s="1036"/>
      <c r="AK48" s="1036"/>
      <c r="AL48" s="1036"/>
      <c r="AM48" s="1036"/>
      <c r="AN48" s="1036"/>
      <c r="AO48" s="1036"/>
      <c r="AP48" s="1036"/>
      <c r="AQ48" s="1036"/>
      <c r="AR48" s="1036"/>
      <c r="AS48" s="1036"/>
      <c r="AT48" s="1036"/>
      <c r="AU48" s="1036"/>
      <c r="AV48" s="1036"/>
      <c r="AW48" s="1036"/>
      <c r="AX48" s="1036"/>
      <c r="AY48" s="1037"/>
    </row>
    <row r="49" spans="2:51" ht="12.75" customHeight="1">
      <c r="B49" s="2109" t="str">
        <f>+$B$7</f>
        <v>住宅・アパート</v>
      </c>
      <c r="C49" s="1045">
        <v>46810</v>
      </c>
      <c r="D49" s="1050" t="s">
        <v>1195</v>
      </c>
      <c r="E49" s="1050" t="s">
        <v>1195</v>
      </c>
      <c r="F49" s="1047" t="s">
        <v>1307</v>
      </c>
      <c r="G49" s="1047">
        <v>1</v>
      </c>
      <c r="H49" s="1047" t="s">
        <v>312</v>
      </c>
      <c r="I49" s="1048">
        <v>0.3</v>
      </c>
      <c r="J49" s="1082"/>
      <c r="K49" s="1082"/>
      <c r="L49" s="1082"/>
      <c r="M49" s="1082"/>
      <c r="N49" s="1082"/>
      <c r="O49" s="1082"/>
      <c r="P49" s="1082"/>
      <c r="Q49" s="1082"/>
      <c r="R49" s="1082"/>
      <c r="S49" s="1035"/>
      <c r="T49" s="1036"/>
      <c r="U49" s="1036"/>
      <c r="V49" s="1036"/>
      <c r="W49" s="1036"/>
      <c r="X49" s="1036"/>
      <c r="Y49" s="1036"/>
      <c r="Z49" s="1036"/>
      <c r="AA49" s="1036"/>
      <c r="AB49" s="1036"/>
      <c r="AC49" s="1036"/>
      <c r="AD49" s="1036"/>
      <c r="AE49" s="1036"/>
      <c r="AF49" s="1036"/>
      <c r="AG49" s="1036"/>
      <c r="AH49" s="1035"/>
      <c r="AI49" s="1035"/>
      <c r="AJ49" s="1036"/>
      <c r="AK49" s="1036"/>
      <c r="AL49" s="1036"/>
      <c r="AM49" s="1036"/>
      <c r="AN49" s="1036"/>
      <c r="AO49" s="1036"/>
      <c r="AP49" s="1036"/>
      <c r="AQ49" s="1036"/>
      <c r="AR49" s="1036"/>
      <c r="AS49" s="1036"/>
      <c r="AT49" s="1036"/>
      <c r="AU49" s="1036"/>
      <c r="AV49" s="1036"/>
      <c r="AW49" s="1036"/>
      <c r="AX49" s="1036"/>
      <c r="AY49" s="1037"/>
    </row>
    <row r="50" spans="2:51" ht="12.75" customHeight="1">
      <c r="B50" s="2109" t="str">
        <f>+$B$8</f>
        <v>病院・ホテル</v>
      </c>
      <c r="C50" s="1045">
        <v>46810</v>
      </c>
      <c r="D50" s="1050" t="s">
        <v>1195</v>
      </c>
      <c r="E50" s="1050" t="s">
        <v>1195</v>
      </c>
      <c r="F50" s="1047" t="s">
        <v>1307</v>
      </c>
      <c r="G50" s="1047">
        <v>1</v>
      </c>
      <c r="H50" s="1047" t="s">
        <v>312</v>
      </c>
      <c r="I50" s="1048">
        <v>0.3</v>
      </c>
      <c r="J50" s="1082"/>
      <c r="K50" s="1082"/>
      <c r="L50" s="1082"/>
      <c r="M50" s="1082"/>
      <c r="N50" s="1082"/>
      <c r="O50" s="1082"/>
      <c r="P50" s="1082"/>
      <c r="Q50" s="1082"/>
      <c r="R50" s="1082"/>
      <c r="S50" s="1035"/>
      <c r="T50" s="1036"/>
      <c r="U50" s="1036"/>
      <c r="V50" s="1036"/>
      <c r="W50" s="1036"/>
      <c r="X50" s="1036"/>
      <c r="Y50" s="1036"/>
      <c r="Z50" s="1036"/>
      <c r="AA50" s="1036"/>
      <c r="AB50" s="1036"/>
      <c r="AC50" s="1036"/>
      <c r="AD50" s="1036"/>
      <c r="AE50" s="1036"/>
      <c r="AF50" s="1036"/>
      <c r="AG50" s="1036"/>
      <c r="AH50" s="1035"/>
      <c r="AI50" s="1035"/>
      <c r="AJ50" s="1036"/>
      <c r="AK50" s="1036"/>
      <c r="AL50" s="1036"/>
      <c r="AM50" s="1036"/>
      <c r="AN50" s="1036"/>
      <c r="AO50" s="1036"/>
      <c r="AP50" s="1036"/>
      <c r="AQ50" s="1036"/>
      <c r="AR50" s="1036"/>
      <c r="AS50" s="1036"/>
      <c r="AT50" s="1036"/>
      <c r="AU50" s="1036"/>
      <c r="AV50" s="1036"/>
      <c r="AW50" s="1036"/>
      <c r="AX50" s="1036"/>
      <c r="AY50" s="1037"/>
    </row>
    <row r="51" spans="2:51" ht="12.75" customHeight="1">
      <c r="B51" s="2109" t="str">
        <f>+$B$9</f>
        <v>工場・倉庫・市場</v>
      </c>
      <c r="C51" s="1045">
        <v>46810</v>
      </c>
      <c r="D51" s="1050" t="s">
        <v>1195</v>
      </c>
      <c r="E51" s="1050" t="s">
        <v>1195</v>
      </c>
      <c r="F51" s="1047" t="s">
        <v>1307</v>
      </c>
      <c r="G51" s="1047">
        <v>1</v>
      </c>
      <c r="H51" s="1047" t="s">
        <v>312</v>
      </c>
      <c r="I51" s="1048">
        <v>0.3</v>
      </c>
      <c r="J51" s="1082"/>
      <c r="K51" s="1082"/>
      <c r="L51" s="1082"/>
      <c r="M51" s="1082"/>
      <c r="N51" s="1082"/>
      <c r="O51" s="1082"/>
      <c r="P51" s="1082"/>
      <c r="Q51" s="1082"/>
      <c r="R51" s="1082"/>
      <c r="S51" s="1035"/>
      <c r="T51" s="1036"/>
      <c r="U51" s="1036"/>
      <c r="V51" s="1036"/>
      <c r="W51" s="1036"/>
      <c r="X51" s="1036"/>
      <c r="Y51" s="1036"/>
      <c r="Z51" s="1036"/>
      <c r="AA51" s="1036"/>
      <c r="AB51" s="1036"/>
      <c r="AC51" s="1036"/>
      <c r="AD51" s="1036"/>
      <c r="AE51" s="1036"/>
      <c r="AF51" s="1036"/>
      <c r="AG51" s="1036"/>
      <c r="AH51" s="1035"/>
      <c r="AI51" s="1035"/>
      <c r="AJ51" s="1036"/>
      <c r="AK51" s="1036"/>
      <c r="AL51" s="1036"/>
      <c r="AM51" s="1036"/>
      <c r="AN51" s="1036"/>
      <c r="AO51" s="1036"/>
      <c r="AP51" s="1036"/>
      <c r="AQ51" s="1036"/>
      <c r="AR51" s="1036"/>
      <c r="AS51" s="1036"/>
      <c r="AT51" s="1036"/>
      <c r="AU51" s="1036"/>
      <c r="AV51" s="1036"/>
      <c r="AW51" s="1036"/>
      <c r="AX51" s="1036"/>
      <c r="AY51" s="1037"/>
    </row>
    <row r="52" spans="2:51" ht="12.75" customHeight="1">
      <c r="B52" s="2110" t="str">
        <f>+$B$10</f>
        <v>劇場型建物</v>
      </c>
      <c r="C52" s="1102">
        <v>46810</v>
      </c>
      <c r="D52" s="1169" t="s">
        <v>1195</v>
      </c>
      <c r="E52" s="1169" t="s">
        <v>1195</v>
      </c>
      <c r="F52" s="1076" t="s">
        <v>1307</v>
      </c>
      <c r="G52" s="1076">
        <v>1</v>
      </c>
      <c r="H52" s="1076" t="s">
        <v>312</v>
      </c>
      <c r="I52" s="1077">
        <v>0.3</v>
      </c>
      <c r="J52" s="1139"/>
      <c r="K52" s="1139"/>
      <c r="L52" s="1139"/>
      <c r="M52" s="1139"/>
      <c r="N52" s="1139"/>
      <c r="O52" s="1139"/>
      <c r="P52" s="1139"/>
      <c r="Q52" s="1139"/>
      <c r="R52" s="1139"/>
      <c r="S52" s="1088"/>
      <c r="T52" s="1036"/>
      <c r="U52" s="1036"/>
      <c r="V52" s="1036"/>
      <c r="W52" s="1036"/>
      <c r="X52" s="1036"/>
      <c r="Y52" s="1036"/>
      <c r="Z52" s="1036"/>
      <c r="AA52" s="1036"/>
      <c r="AB52" s="1036"/>
      <c r="AC52" s="1036"/>
      <c r="AD52" s="1036"/>
      <c r="AE52" s="1036"/>
      <c r="AF52" s="1036"/>
      <c r="AG52" s="1036"/>
      <c r="AH52" s="1035"/>
      <c r="AI52" s="1035"/>
      <c r="AJ52" s="1036"/>
      <c r="AK52" s="1036"/>
      <c r="AL52" s="1036"/>
      <c r="AM52" s="1036"/>
      <c r="AN52" s="1036"/>
      <c r="AO52" s="1036"/>
      <c r="AP52" s="1036"/>
      <c r="AQ52" s="1036"/>
      <c r="AR52" s="1036"/>
      <c r="AS52" s="1036"/>
      <c r="AT52" s="1036"/>
      <c r="AU52" s="1036"/>
      <c r="AV52" s="1036"/>
      <c r="AW52" s="1036"/>
      <c r="AX52" s="1036"/>
      <c r="AY52" s="1037"/>
    </row>
    <row r="53" spans="2:51" ht="12.75" customHeight="1">
      <c r="B53" s="1008" t="s">
        <v>359</v>
      </c>
      <c r="C53" s="1009" t="s">
        <v>955</v>
      </c>
      <c r="D53" s="1014" t="s">
        <v>956</v>
      </c>
      <c r="E53" s="1014"/>
      <c r="F53" s="1015"/>
      <c r="G53" s="1015"/>
      <c r="H53" s="1015"/>
      <c r="I53" s="1015"/>
      <c r="J53" s="1015"/>
      <c r="K53" s="1016"/>
      <c r="L53" s="1016"/>
      <c r="M53" s="1013" t="s">
        <v>957</v>
      </c>
      <c r="N53" s="1015"/>
      <c r="O53" s="1015"/>
      <c r="P53" s="1015"/>
      <c r="Q53" s="1015"/>
      <c r="R53" s="1017"/>
      <c r="S53" s="1103"/>
      <c r="T53" s="1098"/>
      <c r="U53" s="1098"/>
      <c r="V53" s="1098"/>
      <c r="W53" s="1098"/>
      <c r="X53" s="1098"/>
      <c r="Y53" s="1098"/>
      <c r="Z53" s="1098"/>
      <c r="AA53" s="1098"/>
      <c r="AB53" s="1098"/>
      <c r="AC53" s="1098"/>
      <c r="AD53" s="1098"/>
      <c r="AE53" s="1098"/>
      <c r="AF53" s="1098"/>
      <c r="AG53" s="1098"/>
      <c r="AH53" s="1020"/>
      <c r="AI53" s="1020"/>
      <c r="AJ53" s="1021"/>
      <c r="AK53" s="1021"/>
      <c r="AL53" s="1021"/>
      <c r="AM53" s="1021"/>
      <c r="AN53" s="1021"/>
      <c r="AO53" s="1021"/>
      <c r="AP53" s="1021"/>
      <c r="AQ53" s="1021"/>
      <c r="AR53" s="1021"/>
      <c r="AS53" s="1021"/>
      <c r="AT53" s="1021"/>
      <c r="AU53" s="1021"/>
      <c r="AV53" s="1021"/>
      <c r="AW53" s="1021"/>
      <c r="AX53" s="1021"/>
      <c r="AY53" s="1022"/>
    </row>
    <row r="54" spans="2:51" ht="12.75" customHeight="1">
      <c r="B54" s="1023"/>
      <c r="C54" s="1024" t="s">
        <v>414</v>
      </c>
      <c r="D54" s="1029" t="s">
        <v>366</v>
      </c>
      <c r="E54" s="1029"/>
      <c r="F54" s="1030"/>
      <c r="G54" s="1030" t="s">
        <v>367</v>
      </c>
      <c r="H54" s="1030"/>
      <c r="I54" s="1030"/>
      <c r="J54" s="1030" t="s">
        <v>368</v>
      </c>
      <c r="K54" s="1031"/>
      <c r="L54" s="1031"/>
      <c r="M54" s="1028" t="s">
        <v>366</v>
      </c>
      <c r="N54" s="1030"/>
      <c r="O54" s="1030" t="s">
        <v>367</v>
      </c>
      <c r="P54" s="1030"/>
      <c r="Q54" s="1030" t="s">
        <v>368</v>
      </c>
      <c r="R54" s="1032"/>
      <c r="S54" s="1081"/>
      <c r="T54" s="1082"/>
      <c r="U54" s="1082"/>
      <c r="V54" s="1082"/>
      <c r="W54" s="1082"/>
      <c r="X54" s="1082"/>
      <c r="Y54" s="1082"/>
      <c r="Z54" s="1082"/>
      <c r="AA54" s="1082"/>
      <c r="AB54" s="1082"/>
      <c r="AC54" s="1082"/>
      <c r="AD54" s="1082"/>
      <c r="AE54" s="1082"/>
      <c r="AF54" s="1082"/>
      <c r="AG54" s="1082"/>
      <c r="AH54" s="1035"/>
      <c r="AI54" s="1035"/>
      <c r="AJ54" s="1036"/>
      <c r="AK54" s="1036"/>
      <c r="AL54" s="1036"/>
      <c r="AM54" s="1036"/>
      <c r="AN54" s="1036"/>
      <c r="AO54" s="1036"/>
      <c r="AP54" s="1036"/>
      <c r="AQ54" s="1036"/>
      <c r="AR54" s="1036"/>
      <c r="AS54" s="1036"/>
      <c r="AT54" s="1036"/>
      <c r="AU54" s="1036"/>
      <c r="AV54" s="1036"/>
      <c r="AW54" s="1036"/>
      <c r="AX54" s="1036"/>
      <c r="AY54" s="1037"/>
    </row>
    <row r="55" spans="2:51" ht="12.75" customHeight="1">
      <c r="B55" s="2108" t="str">
        <f>+$B$6</f>
        <v>事務所・店舗・百貨店</v>
      </c>
      <c r="C55" s="2258">
        <v>440</v>
      </c>
      <c r="D55" s="1038" t="s">
        <v>374</v>
      </c>
      <c r="E55" s="1104">
        <v>35</v>
      </c>
      <c r="F55" s="1039">
        <v>1.25</v>
      </c>
      <c r="G55" s="1039" t="s">
        <v>375</v>
      </c>
      <c r="H55" s="1105">
        <v>70</v>
      </c>
      <c r="I55" s="1039">
        <v>1</v>
      </c>
      <c r="J55" s="1039" t="s">
        <v>376</v>
      </c>
      <c r="K55" s="1106">
        <v>120</v>
      </c>
      <c r="L55" s="1042">
        <v>0.6</v>
      </c>
      <c r="M55" s="1072" t="s">
        <v>407</v>
      </c>
      <c r="N55" s="1039">
        <v>1.2</v>
      </c>
      <c r="O55" s="1039" t="s">
        <v>408</v>
      </c>
      <c r="P55" s="1039">
        <v>1</v>
      </c>
      <c r="Q55" s="1039" t="s">
        <v>409</v>
      </c>
      <c r="R55" s="1040">
        <v>0.8</v>
      </c>
      <c r="S55" s="1081"/>
      <c r="T55" s="1082"/>
      <c r="U55" s="1082"/>
      <c r="V55" s="1082"/>
      <c r="W55" s="1082"/>
      <c r="X55" s="1082"/>
      <c r="Y55" s="1082"/>
      <c r="Z55" s="1082"/>
      <c r="AA55" s="1082"/>
      <c r="AB55" s="1082"/>
      <c r="AC55" s="1082"/>
      <c r="AD55" s="1082"/>
      <c r="AE55" s="1082"/>
      <c r="AF55" s="1082"/>
      <c r="AG55" s="1082"/>
      <c r="AH55" s="1035"/>
      <c r="AI55" s="1035"/>
      <c r="AJ55" s="1036"/>
      <c r="AK55" s="1036"/>
      <c r="AL55" s="1036"/>
      <c r="AM55" s="1036"/>
      <c r="AN55" s="1036"/>
      <c r="AO55" s="1036"/>
      <c r="AP55" s="1036"/>
      <c r="AQ55" s="1036"/>
      <c r="AR55" s="1036"/>
      <c r="AS55" s="1036"/>
      <c r="AT55" s="1036"/>
      <c r="AU55" s="1036"/>
      <c r="AV55" s="1036"/>
      <c r="AW55" s="1036"/>
      <c r="AX55" s="1036"/>
      <c r="AY55" s="1037"/>
    </row>
    <row r="56" spans="2:51" ht="12.75" customHeight="1">
      <c r="B56" s="2109" t="str">
        <f>+$B$7</f>
        <v>住宅・アパート</v>
      </c>
      <c r="C56" s="2119">
        <f>+C57</f>
        <v>440</v>
      </c>
      <c r="D56" s="2131" t="s">
        <v>796</v>
      </c>
      <c r="E56" s="2132">
        <v>35</v>
      </c>
      <c r="F56" s="2121">
        <v>1.25</v>
      </c>
      <c r="G56" s="2121" t="s">
        <v>822</v>
      </c>
      <c r="H56" s="2133">
        <v>70</v>
      </c>
      <c r="I56" s="2121">
        <v>1</v>
      </c>
      <c r="J56" s="2121" t="s">
        <v>376</v>
      </c>
      <c r="K56" s="2134">
        <v>120</v>
      </c>
      <c r="L56" s="2135">
        <v>0.6</v>
      </c>
      <c r="M56" s="2124" t="s">
        <v>410</v>
      </c>
      <c r="N56" s="2121">
        <v>1.2</v>
      </c>
      <c r="O56" s="2121" t="s">
        <v>411</v>
      </c>
      <c r="P56" s="2121">
        <v>1</v>
      </c>
      <c r="Q56" s="2121" t="s">
        <v>412</v>
      </c>
      <c r="R56" s="2123">
        <v>0.8</v>
      </c>
      <c r="S56" s="1478" t="s">
        <v>1314</v>
      </c>
      <c r="T56" s="1082"/>
      <c r="U56" s="1082"/>
      <c r="V56" s="1082"/>
      <c r="W56" s="1082"/>
      <c r="X56" s="1082"/>
      <c r="Y56" s="1082"/>
      <c r="Z56" s="1082"/>
      <c r="AA56" s="1082"/>
      <c r="AB56" s="1082"/>
      <c r="AC56" s="1082"/>
      <c r="AD56" s="1082"/>
      <c r="AE56" s="1082"/>
      <c r="AF56" s="1082"/>
      <c r="AG56" s="1082"/>
      <c r="AH56" s="1035"/>
      <c r="AI56" s="1035"/>
      <c r="AJ56" s="1036"/>
      <c r="AK56" s="1036"/>
      <c r="AL56" s="1036"/>
      <c r="AM56" s="1036"/>
      <c r="AN56" s="1036"/>
      <c r="AO56" s="1036"/>
      <c r="AP56" s="1036"/>
      <c r="AQ56" s="1036"/>
      <c r="AR56" s="1036"/>
      <c r="AS56" s="1036"/>
      <c r="AT56" s="1036"/>
      <c r="AU56" s="1036"/>
      <c r="AV56" s="1036"/>
      <c r="AW56" s="1036"/>
      <c r="AX56" s="1036"/>
      <c r="AY56" s="1037"/>
    </row>
    <row r="57" spans="2:51" ht="12.75" customHeight="1">
      <c r="B57" s="2109" t="str">
        <f>+$B$8</f>
        <v>病院・ホテル</v>
      </c>
      <c r="C57" s="1045">
        <v>440</v>
      </c>
      <c r="D57" s="1046" t="s">
        <v>796</v>
      </c>
      <c r="E57" s="1107">
        <v>35</v>
      </c>
      <c r="F57" s="1047">
        <v>1.25</v>
      </c>
      <c r="G57" s="1047" t="s">
        <v>822</v>
      </c>
      <c r="H57" s="1108">
        <v>70</v>
      </c>
      <c r="I57" s="1047">
        <v>1</v>
      </c>
      <c r="J57" s="1047" t="s">
        <v>376</v>
      </c>
      <c r="K57" s="1109">
        <v>120</v>
      </c>
      <c r="L57" s="1053">
        <v>0.6</v>
      </c>
      <c r="M57" s="1056" t="s">
        <v>410</v>
      </c>
      <c r="N57" s="1047">
        <v>1.2</v>
      </c>
      <c r="O57" s="1047" t="s">
        <v>411</v>
      </c>
      <c r="P57" s="1047">
        <v>1</v>
      </c>
      <c r="Q57" s="1047" t="s">
        <v>412</v>
      </c>
      <c r="R57" s="1048">
        <v>0.8</v>
      </c>
      <c r="S57" s="1081"/>
      <c r="T57" s="1082"/>
      <c r="U57" s="1082"/>
      <c r="V57" s="1082"/>
      <c r="W57" s="1082"/>
      <c r="X57" s="1082"/>
      <c r="Y57" s="1082"/>
      <c r="Z57" s="1082"/>
      <c r="AA57" s="1082"/>
      <c r="AB57" s="1082"/>
      <c r="AC57" s="1082"/>
      <c r="AD57" s="1082"/>
      <c r="AE57" s="1082"/>
      <c r="AF57" s="1082"/>
      <c r="AG57" s="1082"/>
      <c r="AH57" s="1035"/>
      <c r="AI57" s="1035"/>
      <c r="AJ57" s="1036"/>
      <c r="AK57" s="1036"/>
      <c r="AL57" s="1036"/>
      <c r="AM57" s="1036"/>
      <c r="AN57" s="1036"/>
      <c r="AO57" s="1036"/>
      <c r="AP57" s="1036"/>
      <c r="AQ57" s="1036"/>
      <c r="AR57" s="1036"/>
      <c r="AS57" s="1036"/>
      <c r="AT57" s="1036"/>
      <c r="AU57" s="1036"/>
      <c r="AV57" s="1036"/>
      <c r="AW57" s="1036"/>
      <c r="AX57" s="1036"/>
      <c r="AY57" s="1037"/>
    </row>
    <row r="58" spans="2:51" ht="12.75" customHeight="1">
      <c r="B58" s="2109" t="str">
        <f>+$B$9</f>
        <v>工場・倉庫・市場</v>
      </c>
      <c r="C58" s="1045">
        <v>440</v>
      </c>
      <c r="D58" s="1046" t="s">
        <v>796</v>
      </c>
      <c r="E58" s="1107">
        <v>35</v>
      </c>
      <c r="F58" s="1047">
        <v>1.05</v>
      </c>
      <c r="G58" s="1047" t="s">
        <v>822</v>
      </c>
      <c r="H58" s="1108">
        <v>70</v>
      </c>
      <c r="I58" s="1047">
        <v>1</v>
      </c>
      <c r="J58" s="1047" t="s">
        <v>376</v>
      </c>
      <c r="K58" s="1109">
        <v>120</v>
      </c>
      <c r="L58" s="1053">
        <v>0.5</v>
      </c>
      <c r="M58" s="1056" t="s">
        <v>410</v>
      </c>
      <c r="N58" s="1047">
        <v>1.2</v>
      </c>
      <c r="O58" s="1047" t="s">
        <v>411</v>
      </c>
      <c r="P58" s="1047">
        <v>1</v>
      </c>
      <c r="Q58" s="1047" t="s">
        <v>412</v>
      </c>
      <c r="R58" s="1048">
        <v>0.8</v>
      </c>
      <c r="S58" s="1081"/>
      <c r="T58" s="1082"/>
      <c r="U58" s="1082"/>
      <c r="V58" s="1082"/>
      <c r="W58" s="1082"/>
      <c r="X58" s="1082"/>
      <c r="Y58" s="1082"/>
      <c r="Z58" s="1082"/>
      <c r="AA58" s="1082"/>
      <c r="AB58" s="1082"/>
      <c r="AC58" s="1082"/>
      <c r="AD58" s="1082"/>
      <c r="AE58" s="1082"/>
      <c r="AF58" s="1082"/>
      <c r="AG58" s="1082"/>
      <c r="AH58" s="1035"/>
      <c r="AI58" s="1035"/>
      <c r="AJ58" s="1036"/>
      <c r="AK58" s="1036"/>
      <c r="AL58" s="1036"/>
      <c r="AM58" s="1036"/>
      <c r="AN58" s="1036"/>
      <c r="AO58" s="1036"/>
      <c r="AP58" s="1036"/>
      <c r="AQ58" s="1036"/>
      <c r="AR58" s="1036"/>
      <c r="AS58" s="1036"/>
      <c r="AT58" s="1036"/>
      <c r="AU58" s="1036"/>
      <c r="AV58" s="1036"/>
      <c r="AW58" s="1036"/>
      <c r="AX58" s="1036"/>
      <c r="AY58" s="1037"/>
    </row>
    <row r="59" spans="2:51" ht="12.75" customHeight="1">
      <c r="B59" s="2110" t="str">
        <f>+$B$10</f>
        <v>劇場型建物</v>
      </c>
      <c r="C59" s="1102">
        <v>440</v>
      </c>
      <c r="D59" s="1060" t="s">
        <v>374</v>
      </c>
      <c r="E59" s="1110">
        <v>35</v>
      </c>
      <c r="F59" s="1061">
        <v>1.5</v>
      </c>
      <c r="G59" s="1061" t="s">
        <v>375</v>
      </c>
      <c r="H59" s="1111">
        <v>70</v>
      </c>
      <c r="I59" s="1061">
        <v>1</v>
      </c>
      <c r="J59" s="1061" t="s">
        <v>376</v>
      </c>
      <c r="K59" s="1112">
        <v>120</v>
      </c>
      <c r="L59" s="1064">
        <v>0.8</v>
      </c>
      <c r="M59" s="1063" t="s">
        <v>410</v>
      </c>
      <c r="N59" s="1061">
        <v>1.2</v>
      </c>
      <c r="O59" s="1061" t="s">
        <v>411</v>
      </c>
      <c r="P59" s="1061">
        <v>1</v>
      </c>
      <c r="Q59" s="1061" t="s">
        <v>412</v>
      </c>
      <c r="R59" s="1062">
        <v>0.8</v>
      </c>
      <c r="S59" s="1081"/>
      <c r="T59" s="1082"/>
      <c r="U59" s="1082"/>
      <c r="V59" s="1082"/>
      <c r="W59" s="1082"/>
      <c r="X59" s="1082"/>
      <c r="Y59" s="1082"/>
      <c r="Z59" s="1082"/>
      <c r="AA59" s="1082"/>
      <c r="AB59" s="1082"/>
      <c r="AC59" s="1082"/>
      <c r="AD59" s="1082"/>
      <c r="AE59" s="1082"/>
      <c r="AF59" s="1082"/>
      <c r="AG59" s="1082"/>
      <c r="AH59" s="1035"/>
      <c r="AI59" s="1035"/>
      <c r="AJ59" s="1036"/>
      <c r="AK59" s="1036"/>
      <c r="AL59" s="1036"/>
      <c r="AM59" s="1036"/>
      <c r="AN59" s="1036"/>
      <c r="AO59" s="1036"/>
      <c r="AP59" s="1036"/>
      <c r="AQ59" s="1036"/>
      <c r="AR59" s="1036"/>
      <c r="AS59" s="1036"/>
      <c r="AT59" s="1036"/>
      <c r="AU59" s="1036"/>
      <c r="AV59" s="1036"/>
      <c r="AW59" s="1036"/>
      <c r="AX59" s="1036"/>
      <c r="AY59" s="1037"/>
    </row>
    <row r="60" spans="2:51" ht="12.75" customHeight="1">
      <c r="B60" s="1008" t="s">
        <v>359</v>
      </c>
      <c r="C60" s="1480" t="s">
        <v>2094</v>
      </c>
      <c r="D60" s="2023"/>
      <c r="E60" s="2018"/>
      <c r="F60" s="2018"/>
      <c r="G60" s="2018"/>
      <c r="H60" s="2018"/>
      <c r="I60" s="2018"/>
      <c r="J60" s="2018"/>
      <c r="K60" s="2018"/>
      <c r="L60" s="2018"/>
      <c r="M60" s="2024"/>
      <c r="N60" s="2018"/>
      <c r="O60" s="2018"/>
      <c r="P60" s="2018"/>
      <c r="Q60" s="2018"/>
      <c r="R60" s="2018"/>
      <c r="S60" s="2022"/>
      <c r="T60" s="1098"/>
      <c r="U60" s="1098"/>
      <c r="V60" s="1098"/>
      <c r="W60" s="1098"/>
      <c r="X60" s="1098"/>
      <c r="Y60" s="1098"/>
      <c r="Z60" s="1098"/>
      <c r="AA60" s="1098"/>
      <c r="AB60" s="1020"/>
      <c r="AC60" s="1020"/>
      <c r="AD60" s="1021"/>
      <c r="AE60" s="1021"/>
      <c r="AF60" s="1021"/>
      <c r="AG60" s="1021"/>
      <c r="AH60" s="1021"/>
      <c r="AI60" s="1021"/>
      <c r="AJ60" s="1021"/>
      <c r="AK60" s="1021"/>
      <c r="AL60" s="1021"/>
      <c r="AM60" s="1021"/>
      <c r="AN60" s="1021"/>
      <c r="AO60" s="1021"/>
      <c r="AP60" s="1021"/>
      <c r="AQ60" s="1021"/>
      <c r="AR60" s="1021"/>
      <c r="AS60" s="1021"/>
      <c r="AT60" s="1021"/>
      <c r="AU60" s="1021"/>
      <c r="AV60" s="1021"/>
      <c r="AW60" s="1021"/>
      <c r="AX60" s="1021"/>
      <c r="AY60" s="1022"/>
    </row>
    <row r="61" spans="2:51" ht="12.75" customHeight="1">
      <c r="B61" s="1023"/>
      <c r="C61" s="1024" t="s">
        <v>1315</v>
      </c>
      <c r="D61" s="1133"/>
      <c r="E61" s="1134"/>
      <c r="F61" s="1134"/>
      <c r="G61" s="1134"/>
      <c r="H61" s="1134"/>
      <c r="I61" s="1134"/>
      <c r="J61" s="1134"/>
      <c r="K61" s="1134"/>
      <c r="L61" s="1134"/>
      <c r="M61" s="1134"/>
      <c r="N61" s="1134"/>
      <c r="O61" s="1134"/>
      <c r="P61" s="1134"/>
      <c r="Q61" s="1134"/>
      <c r="R61" s="1134"/>
      <c r="S61" s="1119"/>
      <c r="T61" s="1082"/>
      <c r="U61" s="1082"/>
      <c r="V61" s="1082"/>
      <c r="W61" s="1082"/>
      <c r="X61" s="1082"/>
      <c r="Y61" s="1082"/>
      <c r="Z61" s="1082"/>
      <c r="AA61" s="1082"/>
      <c r="AB61" s="1035"/>
      <c r="AC61" s="1035"/>
      <c r="AD61" s="1036"/>
      <c r="AE61" s="1036"/>
      <c r="AF61" s="1036"/>
      <c r="AG61" s="1036"/>
      <c r="AH61" s="1036"/>
      <c r="AI61" s="1036"/>
      <c r="AJ61" s="1036"/>
      <c r="AK61" s="1036"/>
      <c r="AL61" s="1036"/>
      <c r="AM61" s="1036"/>
      <c r="AN61" s="1036"/>
      <c r="AO61" s="1036"/>
      <c r="AP61" s="1036"/>
      <c r="AQ61" s="1036"/>
      <c r="AR61" s="1036"/>
      <c r="AS61" s="1036"/>
      <c r="AT61" s="1036"/>
      <c r="AU61" s="1036"/>
      <c r="AV61" s="1036"/>
      <c r="AW61" s="1036"/>
      <c r="AX61" s="1036"/>
      <c r="AY61" s="1037"/>
    </row>
    <row r="62" spans="2:51" ht="12.75" customHeight="1">
      <c r="B62" s="2108" t="str">
        <f>+$B$6</f>
        <v>事務所・店舗・百貨店</v>
      </c>
      <c r="C62" s="2258">
        <v>13960</v>
      </c>
      <c r="D62" s="1116"/>
      <c r="E62" s="2005"/>
      <c r="F62" s="1082"/>
      <c r="G62" s="1082"/>
      <c r="H62" s="1082"/>
      <c r="I62" s="1082"/>
      <c r="J62" s="1082"/>
      <c r="K62" s="1082"/>
      <c r="L62" s="1082"/>
      <c r="M62" s="1082"/>
      <c r="N62" s="1082"/>
      <c r="O62" s="1082"/>
      <c r="P62" s="1082"/>
      <c r="Q62" s="1082"/>
      <c r="R62" s="1082"/>
      <c r="S62" s="1119"/>
      <c r="T62" s="1082"/>
      <c r="U62" s="1082"/>
      <c r="V62" s="1082"/>
      <c r="W62" s="1082"/>
      <c r="X62" s="1082"/>
      <c r="Y62" s="1082"/>
      <c r="Z62" s="1082"/>
      <c r="AA62" s="1082"/>
      <c r="AB62" s="1035"/>
      <c r="AC62" s="1035"/>
      <c r="AD62" s="1036"/>
      <c r="AE62" s="1036"/>
      <c r="AF62" s="1036"/>
      <c r="AG62" s="1036"/>
      <c r="AH62" s="1036"/>
      <c r="AI62" s="1036"/>
      <c r="AJ62" s="1036"/>
      <c r="AK62" s="1036"/>
      <c r="AL62" s="1036"/>
      <c r="AM62" s="1036"/>
      <c r="AN62" s="1036"/>
      <c r="AO62" s="1036"/>
      <c r="AP62" s="1036"/>
      <c r="AQ62" s="1036"/>
      <c r="AR62" s="1036"/>
      <c r="AS62" s="1036"/>
      <c r="AT62" s="1036"/>
      <c r="AU62" s="1036"/>
      <c r="AV62" s="1036"/>
      <c r="AW62" s="1036"/>
      <c r="AX62" s="1036"/>
      <c r="AY62" s="1037"/>
    </row>
    <row r="63" spans="2:51" ht="12.75" customHeight="1">
      <c r="B63" s="2109" t="str">
        <f>+$B$7</f>
        <v>住宅・アパート</v>
      </c>
      <c r="C63" s="1045">
        <v>13960</v>
      </c>
      <c r="D63" s="1116"/>
      <c r="E63" s="2005"/>
      <c r="F63" s="1082"/>
      <c r="G63" s="1082"/>
      <c r="H63" s="1082"/>
      <c r="I63" s="1082"/>
      <c r="J63" s="1082"/>
      <c r="K63" s="1082"/>
      <c r="L63" s="1082"/>
      <c r="M63" s="1082"/>
      <c r="N63" s="1082"/>
      <c r="O63" s="1082"/>
      <c r="P63" s="1082"/>
      <c r="Q63" s="1082"/>
      <c r="R63" s="1082"/>
      <c r="S63" s="1119"/>
      <c r="T63" s="1082"/>
      <c r="U63" s="1082"/>
      <c r="V63" s="1082"/>
      <c r="W63" s="1082"/>
      <c r="X63" s="1082"/>
      <c r="Y63" s="1082"/>
      <c r="Z63" s="1082"/>
      <c r="AA63" s="1082"/>
      <c r="AB63" s="1035"/>
      <c r="AC63" s="1035"/>
      <c r="AD63" s="1036"/>
      <c r="AE63" s="1036"/>
      <c r="AF63" s="1036"/>
      <c r="AG63" s="1036"/>
      <c r="AH63" s="1036"/>
      <c r="AI63" s="1036"/>
      <c r="AJ63" s="1036"/>
      <c r="AK63" s="1036"/>
      <c r="AL63" s="1036"/>
      <c r="AM63" s="1036"/>
      <c r="AN63" s="1036"/>
      <c r="AO63" s="1036"/>
      <c r="AP63" s="1036"/>
      <c r="AQ63" s="1036"/>
      <c r="AR63" s="1036"/>
      <c r="AS63" s="1036"/>
      <c r="AT63" s="1036"/>
      <c r="AU63" s="1036"/>
      <c r="AV63" s="1036"/>
      <c r="AW63" s="1036"/>
      <c r="AX63" s="1036"/>
      <c r="AY63" s="1037"/>
    </row>
    <row r="64" spans="2:51" ht="12.75" customHeight="1">
      <c r="B64" s="2109" t="str">
        <f>+$B$8</f>
        <v>病院・ホテル</v>
      </c>
      <c r="C64" s="1045">
        <v>13960</v>
      </c>
      <c r="D64" s="1116"/>
      <c r="E64" s="2005"/>
      <c r="F64" s="1082"/>
      <c r="G64" s="1082"/>
      <c r="H64" s="1082"/>
      <c r="I64" s="1082"/>
      <c r="J64" s="1082"/>
      <c r="K64" s="1082"/>
      <c r="L64" s="1082"/>
      <c r="M64" s="1082"/>
      <c r="N64" s="1082"/>
      <c r="O64" s="1082"/>
      <c r="P64" s="1082"/>
      <c r="Q64" s="1082"/>
      <c r="R64" s="1082"/>
      <c r="S64" s="1119"/>
      <c r="T64" s="1082"/>
      <c r="U64" s="1082"/>
      <c r="V64" s="1082"/>
      <c r="W64" s="1082"/>
      <c r="X64" s="1082"/>
      <c r="Y64" s="1082"/>
      <c r="Z64" s="1082"/>
      <c r="AA64" s="1082"/>
      <c r="AB64" s="1035"/>
      <c r="AC64" s="1035"/>
      <c r="AD64" s="1036"/>
      <c r="AE64" s="1036"/>
      <c r="AF64" s="1036"/>
      <c r="AG64" s="1036"/>
      <c r="AH64" s="1036"/>
      <c r="AI64" s="1036"/>
      <c r="AJ64" s="1036"/>
      <c r="AK64" s="1036"/>
      <c r="AL64" s="1036"/>
      <c r="AM64" s="1036"/>
      <c r="AN64" s="1036"/>
      <c r="AO64" s="1036"/>
      <c r="AP64" s="1036"/>
      <c r="AQ64" s="1036"/>
      <c r="AR64" s="1036"/>
      <c r="AS64" s="1036"/>
      <c r="AT64" s="1036"/>
      <c r="AU64" s="1036"/>
      <c r="AV64" s="1036"/>
      <c r="AW64" s="1036"/>
      <c r="AX64" s="1036"/>
      <c r="AY64" s="1037"/>
    </row>
    <row r="65" spans="2:51" ht="12.75" customHeight="1">
      <c r="B65" s="2109" t="str">
        <f>+$B$9</f>
        <v>工場・倉庫・市場</v>
      </c>
      <c r="C65" s="1045">
        <v>13960</v>
      </c>
      <c r="D65" s="1116"/>
      <c r="E65" s="2005"/>
      <c r="F65" s="1082"/>
      <c r="G65" s="1082"/>
      <c r="H65" s="1082"/>
      <c r="I65" s="1082"/>
      <c r="J65" s="1082"/>
      <c r="K65" s="1082"/>
      <c r="L65" s="1082"/>
      <c r="M65" s="1082"/>
      <c r="N65" s="1082"/>
      <c r="O65" s="1082"/>
      <c r="P65" s="1082"/>
      <c r="Q65" s="1082"/>
      <c r="R65" s="1082"/>
      <c r="S65" s="1119"/>
      <c r="T65" s="1082"/>
      <c r="U65" s="1082"/>
      <c r="V65" s="1082"/>
      <c r="W65" s="1082"/>
      <c r="X65" s="1082"/>
      <c r="Y65" s="1082"/>
      <c r="Z65" s="1082"/>
      <c r="AA65" s="1082"/>
      <c r="AB65" s="1035"/>
      <c r="AC65" s="1035"/>
      <c r="AD65" s="1036"/>
      <c r="AE65" s="1036"/>
      <c r="AF65" s="1036"/>
      <c r="AG65" s="1036"/>
      <c r="AH65" s="1036"/>
      <c r="AI65" s="1036"/>
      <c r="AJ65" s="1036"/>
      <c r="AK65" s="1036"/>
      <c r="AL65" s="1036"/>
      <c r="AM65" s="1036"/>
      <c r="AN65" s="1036"/>
      <c r="AO65" s="1036"/>
      <c r="AP65" s="1036"/>
      <c r="AQ65" s="1036"/>
      <c r="AR65" s="1036"/>
      <c r="AS65" s="1036"/>
      <c r="AT65" s="1036"/>
      <c r="AU65" s="1036"/>
      <c r="AV65" s="1036"/>
      <c r="AW65" s="1036"/>
      <c r="AX65" s="1036"/>
      <c r="AY65" s="1037"/>
    </row>
    <row r="66" spans="2:51" ht="12.75" customHeight="1">
      <c r="B66" s="2110" t="str">
        <f>+$B$10</f>
        <v>劇場型建物</v>
      </c>
      <c r="C66" s="1045">
        <v>13960</v>
      </c>
      <c r="D66" s="2014"/>
      <c r="E66" s="2007"/>
      <c r="F66" s="1858"/>
      <c r="G66" s="1858"/>
      <c r="H66" s="1858"/>
      <c r="I66" s="1858"/>
      <c r="J66" s="1858"/>
      <c r="K66" s="1858"/>
      <c r="L66" s="1858"/>
      <c r="M66" s="1858"/>
      <c r="N66" s="1858"/>
      <c r="O66" s="1858"/>
      <c r="P66" s="1858"/>
      <c r="Q66" s="1858"/>
      <c r="R66" s="1858"/>
      <c r="S66" s="1119"/>
      <c r="T66" s="1082"/>
      <c r="U66" s="1082"/>
      <c r="V66" s="1082"/>
      <c r="W66" s="1082"/>
      <c r="X66" s="1082"/>
      <c r="Y66" s="1082"/>
      <c r="Z66" s="1082"/>
      <c r="AA66" s="1082"/>
      <c r="AB66" s="1035"/>
      <c r="AC66" s="1035"/>
      <c r="AD66" s="1036"/>
      <c r="AE66" s="1036"/>
      <c r="AF66" s="1036"/>
      <c r="AG66" s="1036"/>
      <c r="AH66" s="1036"/>
      <c r="AI66" s="1036"/>
      <c r="AJ66" s="1036"/>
      <c r="AK66" s="1036"/>
      <c r="AL66" s="1036"/>
      <c r="AM66" s="1036"/>
      <c r="AN66" s="1036"/>
      <c r="AO66" s="1036"/>
      <c r="AP66" s="1036"/>
      <c r="AQ66" s="1036"/>
      <c r="AR66" s="1036"/>
      <c r="AS66" s="1036"/>
      <c r="AT66" s="1036"/>
      <c r="AU66" s="1036"/>
      <c r="AV66" s="1036"/>
      <c r="AW66" s="1036"/>
      <c r="AX66" s="1036"/>
      <c r="AY66" s="1037"/>
    </row>
    <row r="67" spans="2:51" ht="12.75" customHeight="1">
      <c r="B67" s="1008" t="s">
        <v>359</v>
      </c>
      <c r="C67" s="1009" t="s">
        <v>415</v>
      </c>
      <c r="D67" s="1014" t="s">
        <v>416</v>
      </c>
      <c r="E67" s="1014"/>
      <c r="F67" s="1015"/>
      <c r="G67" s="1015"/>
      <c r="H67" s="1015"/>
      <c r="I67" s="1015"/>
      <c r="J67" s="1015"/>
      <c r="K67" s="1016"/>
      <c r="L67" s="1016"/>
      <c r="M67" s="1013" t="s">
        <v>417</v>
      </c>
      <c r="N67" s="1015"/>
      <c r="O67" s="1015"/>
      <c r="P67" s="1015"/>
      <c r="Q67" s="1015"/>
      <c r="R67" s="1017"/>
      <c r="S67" s="1013" t="s">
        <v>418</v>
      </c>
      <c r="T67" s="1015"/>
      <c r="U67" s="1015"/>
      <c r="V67" s="1015"/>
      <c r="W67" s="1015"/>
      <c r="X67" s="1017"/>
      <c r="Y67" s="1017"/>
      <c r="Z67" s="1017"/>
      <c r="AA67" s="1448" t="s">
        <v>2325</v>
      </c>
      <c r="AB67" s="1448"/>
      <c r="AC67" s="1448"/>
      <c r="AD67" s="1448"/>
      <c r="AE67" s="1446"/>
      <c r="AF67" s="1020"/>
      <c r="AG67" s="1021"/>
      <c r="AH67" s="1021"/>
      <c r="AI67" s="1021"/>
      <c r="AJ67" s="1021"/>
      <c r="AK67" s="1021"/>
      <c r="AL67" s="1021"/>
      <c r="AM67" s="1021"/>
      <c r="AN67" s="1021"/>
      <c r="AO67" s="1021"/>
      <c r="AP67" s="1021"/>
      <c r="AQ67" s="1021"/>
      <c r="AR67" s="1021"/>
      <c r="AS67" s="1021"/>
      <c r="AT67" s="1021"/>
      <c r="AU67" s="1021"/>
      <c r="AV67" s="1021"/>
      <c r="AW67" s="1021"/>
      <c r="AX67" s="1021"/>
      <c r="AY67" s="1022"/>
    </row>
    <row r="68" spans="2:51" ht="12.75" customHeight="1">
      <c r="B68" s="1023"/>
      <c r="C68" s="1024" t="s">
        <v>419</v>
      </c>
      <c r="D68" s="1029" t="s">
        <v>366</v>
      </c>
      <c r="E68" s="1029"/>
      <c r="F68" s="1030"/>
      <c r="G68" s="1030" t="s">
        <v>367</v>
      </c>
      <c r="H68" s="1030"/>
      <c r="I68" s="1030"/>
      <c r="J68" s="1030" t="s">
        <v>368</v>
      </c>
      <c r="K68" s="1031"/>
      <c r="L68" s="1031"/>
      <c r="M68" s="1028" t="s">
        <v>366</v>
      </c>
      <c r="N68" s="1030"/>
      <c r="O68" s="1030" t="s">
        <v>367</v>
      </c>
      <c r="P68" s="1030"/>
      <c r="Q68" s="1030" t="s">
        <v>368</v>
      </c>
      <c r="R68" s="1032"/>
      <c r="S68" s="1028" t="s">
        <v>366</v>
      </c>
      <c r="T68" s="1030"/>
      <c r="U68" s="1030" t="s">
        <v>367</v>
      </c>
      <c r="V68" s="1030"/>
      <c r="W68" s="1030" t="s">
        <v>368</v>
      </c>
      <c r="X68" s="1032"/>
      <c r="Y68" s="1444" t="s">
        <v>21</v>
      </c>
      <c r="Z68" s="1032"/>
      <c r="AA68" s="1450"/>
      <c r="AB68" s="1450"/>
      <c r="AC68" s="1450"/>
      <c r="AD68" s="1450"/>
      <c r="AE68" s="1483"/>
      <c r="AF68" s="1035"/>
      <c r="AG68" s="1036"/>
      <c r="AH68" s="1036"/>
      <c r="AI68" s="1036"/>
      <c r="AJ68" s="1036"/>
      <c r="AK68" s="1036"/>
      <c r="AL68" s="1036"/>
      <c r="AM68" s="1036"/>
      <c r="AN68" s="1036"/>
      <c r="AO68" s="1036"/>
      <c r="AP68" s="1036"/>
      <c r="AQ68" s="1036"/>
      <c r="AR68" s="1036"/>
      <c r="AS68" s="1036"/>
      <c r="AT68" s="1036"/>
      <c r="AU68" s="1036"/>
      <c r="AV68" s="1036"/>
      <c r="AW68" s="1036"/>
      <c r="AX68" s="1036"/>
      <c r="AY68" s="1037"/>
    </row>
    <row r="69" spans="2:51" ht="12.75" customHeight="1">
      <c r="B69" s="2108" t="str">
        <f>+$B$6</f>
        <v>事務所・店舗・百貨店</v>
      </c>
      <c r="C69" s="2258">
        <v>220</v>
      </c>
      <c r="D69" s="1038" t="s">
        <v>374</v>
      </c>
      <c r="E69" s="2113">
        <f>+ROUNDDOWN(1/150*100,3)</f>
        <v>0.66600000000000004</v>
      </c>
      <c r="F69" s="1039">
        <v>1.5</v>
      </c>
      <c r="G69" s="1039" t="s">
        <v>375</v>
      </c>
      <c r="H69" s="2113">
        <f>+ROUNDDOWN(1/250*100,3)</f>
        <v>0.4</v>
      </c>
      <c r="I69" s="1039">
        <v>1</v>
      </c>
      <c r="J69" s="1039" t="s">
        <v>376</v>
      </c>
      <c r="K69" s="2113">
        <f>+ROUNDDOWN(1/300*100,3)</f>
        <v>0.33300000000000002</v>
      </c>
      <c r="L69" s="1042">
        <v>0.8</v>
      </c>
      <c r="M69" s="1041"/>
      <c r="N69" s="1039"/>
      <c r="O69" s="2136" t="s">
        <v>375</v>
      </c>
      <c r="P69" s="2136">
        <v>1</v>
      </c>
      <c r="Q69" s="2136" t="s">
        <v>420</v>
      </c>
      <c r="R69" s="2137">
        <v>0.95</v>
      </c>
      <c r="S69" s="1083">
        <v>1000</v>
      </c>
      <c r="T69" s="1039">
        <v>1.05</v>
      </c>
      <c r="U69" s="1044">
        <v>3000</v>
      </c>
      <c r="V69" s="1039">
        <v>1</v>
      </c>
      <c r="W69" s="1044">
        <v>10000</v>
      </c>
      <c r="X69" s="1040">
        <v>0.93</v>
      </c>
      <c r="Y69" s="1044">
        <v>13000</v>
      </c>
      <c r="Z69" s="1040">
        <v>0.9</v>
      </c>
      <c r="AA69" s="1450" t="s">
        <v>2303</v>
      </c>
      <c r="AB69" s="1452"/>
      <c r="AC69" s="1452"/>
      <c r="AD69" s="1452"/>
      <c r="AE69" s="1483"/>
      <c r="AF69" s="1035"/>
      <c r="AG69" s="1036"/>
      <c r="AH69" s="1036"/>
      <c r="AI69" s="1036"/>
      <c r="AJ69" s="1036"/>
      <c r="AK69" s="1036"/>
      <c r="AL69" s="1036"/>
      <c r="AM69" s="1036"/>
      <c r="AN69" s="1036"/>
      <c r="AO69" s="1036"/>
      <c r="AP69" s="1036"/>
      <c r="AQ69" s="1036"/>
      <c r="AR69" s="1036"/>
      <c r="AS69" s="1036"/>
      <c r="AT69" s="1036"/>
      <c r="AU69" s="1036"/>
      <c r="AV69" s="1036"/>
      <c r="AW69" s="1036"/>
      <c r="AX69" s="1036"/>
      <c r="AY69" s="1037"/>
    </row>
    <row r="70" spans="2:51" ht="12.75" customHeight="1">
      <c r="B70" s="2109" t="str">
        <f>+$B$7</f>
        <v>住宅・アパート</v>
      </c>
      <c r="C70" s="1045">
        <v>220</v>
      </c>
      <c r="D70" s="1046" t="s">
        <v>796</v>
      </c>
      <c r="E70" s="2113">
        <f t="shared" ref="E70:E71" si="3">+ROUNDDOWN(1/150*100,3)</f>
        <v>0.66600000000000004</v>
      </c>
      <c r="F70" s="1047">
        <v>1.5</v>
      </c>
      <c r="G70" s="1047" t="s">
        <v>822</v>
      </c>
      <c r="H70" s="2113">
        <f t="shared" ref="H70:H71" si="4">+ROUNDDOWN(1/250*100,3)</f>
        <v>0.4</v>
      </c>
      <c r="I70" s="1047">
        <v>1</v>
      </c>
      <c r="J70" s="1047" t="s">
        <v>376</v>
      </c>
      <c r="K70" s="2113">
        <f t="shared" ref="K70:K71" si="5">+ROUNDDOWN(1/300*100,3)</f>
        <v>0.33300000000000002</v>
      </c>
      <c r="L70" s="1053">
        <v>0.8</v>
      </c>
      <c r="M70" s="1056"/>
      <c r="N70" s="1047"/>
      <c r="O70" s="2121" t="s">
        <v>375</v>
      </c>
      <c r="P70" s="2121">
        <v>1</v>
      </c>
      <c r="Q70" s="2121" t="s">
        <v>420</v>
      </c>
      <c r="R70" s="2123">
        <v>0.95</v>
      </c>
      <c r="S70" s="1084" t="s">
        <v>421</v>
      </c>
      <c r="T70" s="1047">
        <v>1</v>
      </c>
      <c r="U70" s="1055" t="s">
        <v>422</v>
      </c>
      <c r="V70" s="1047">
        <v>1</v>
      </c>
      <c r="W70" s="1055" t="s">
        <v>421</v>
      </c>
      <c r="X70" s="1048">
        <v>1</v>
      </c>
      <c r="Y70" s="1055" t="s">
        <v>421</v>
      </c>
      <c r="Z70" s="1048">
        <v>1</v>
      </c>
      <c r="AA70" s="1452"/>
      <c r="AB70" s="1452"/>
      <c r="AC70" s="1452"/>
      <c r="AD70" s="1452"/>
      <c r="AE70" s="1483"/>
      <c r="AF70" s="1035"/>
      <c r="AG70" s="1036"/>
      <c r="AH70" s="1036"/>
      <c r="AI70" s="1036"/>
      <c r="AJ70" s="1036"/>
      <c r="AK70" s="1036"/>
      <c r="AL70" s="1036"/>
      <c r="AM70" s="1036"/>
      <c r="AN70" s="1036"/>
      <c r="AO70" s="1036"/>
      <c r="AP70" s="1036"/>
      <c r="AQ70" s="1036"/>
      <c r="AR70" s="1036"/>
      <c r="AS70" s="1036"/>
      <c r="AT70" s="1036"/>
      <c r="AU70" s="1036"/>
      <c r="AV70" s="1036"/>
      <c r="AW70" s="1036"/>
      <c r="AX70" s="1036"/>
      <c r="AY70" s="1037"/>
    </row>
    <row r="71" spans="2:51" ht="12.75" customHeight="1">
      <c r="B71" s="2109" t="str">
        <f>+$B$8</f>
        <v>病院・ホテル</v>
      </c>
      <c r="C71" s="1045">
        <v>220</v>
      </c>
      <c r="D71" s="1046" t="s">
        <v>796</v>
      </c>
      <c r="E71" s="2113">
        <f t="shared" si="3"/>
        <v>0.66600000000000004</v>
      </c>
      <c r="F71" s="1047">
        <v>1.5</v>
      </c>
      <c r="G71" s="1047" t="s">
        <v>822</v>
      </c>
      <c r="H71" s="2113">
        <f t="shared" si="4"/>
        <v>0.4</v>
      </c>
      <c r="I71" s="1047">
        <v>1</v>
      </c>
      <c r="J71" s="1047" t="s">
        <v>376</v>
      </c>
      <c r="K71" s="2113">
        <f t="shared" si="5"/>
        <v>0.33300000000000002</v>
      </c>
      <c r="L71" s="1053">
        <v>0.8</v>
      </c>
      <c r="M71" s="1056"/>
      <c r="N71" s="1047"/>
      <c r="O71" s="2121" t="s">
        <v>375</v>
      </c>
      <c r="P71" s="2121">
        <v>1</v>
      </c>
      <c r="Q71" s="2121" t="s">
        <v>420</v>
      </c>
      <c r="R71" s="2123">
        <v>0.95</v>
      </c>
      <c r="S71" s="1084">
        <v>1000</v>
      </c>
      <c r="T71" s="1047">
        <v>1.05</v>
      </c>
      <c r="U71" s="1055">
        <v>3000</v>
      </c>
      <c r="V71" s="1047">
        <v>1</v>
      </c>
      <c r="W71" s="1055">
        <v>10000</v>
      </c>
      <c r="X71" s="1048">
        <v>0.93</v>
      </c>
      <c r="Y71" s="1055">
        <v>13000</v>
      </c>
      <c r="Z71" s="1048">
        <v>0.9</v>
      </c>
      <c r="AA71" s="1452"/>
      <c r="AB71" s="1452"/>
      <c r="AC71" s="1452"/>
      <c r="AD71" s="1452"/>
      <c r="AE71" s="1483"/>
      <c r="AF71" s="1035"/>
      <c r="AG71" s="1036"/>
      <c r="AH71" s="1036"/>
      <c r="AI71" s="1036"/>
      <c r="AJ71" s="1036"/>
      <c r="AK71" s="1036"/>
      <c r="AL71" s="1036"/>
      <c r="AM71" s="1036"/>
      <c r="AN71" s="1036"/>
      <c r="AO71" s="1036"/>
      <c r="AP71" s="1036"/>
      <c r="AQ71" s="1036"/>
      <c r="AR71" s="1036"/>
      <c r="AS71" s="1036"/>
      <c r="AT71" s="1036"/>
      <c r="AU71" s="1036"/>
      <c r="AV71" s="1036"/>
      <c r="AW71" s="1036"/>
      <c r="AX71" s="1036"/>
      <c r="AY71" s="1037"/>
    </row>
    <row r="72" spans="2:51" ht="12.75" customHeight="1">
      <c r="B72" s="2109" t="str">
        <f>+$B$9</f>
        <v>工場・倉庫・市場</v>
      </c>
      <c r="C72" s="2279">
        <f>C69</f>
        <v>220</v>
      </c>
      <c r="D72" s="2280" t="str">
        <f t="shared" ref="D72:M72" si="6">D69</f>
        <v>多い</v>
      </c>
      <c r="E72" s="2281">
        <f t="shared" si="6"/>
        <v>0.66600000000000004</v>
      </c>
      <c r="F72" s="2282">
        <f t="shared" si="6"/>
        <v>1.5</v>
      </c>
      <c r="G72" s="2282" t="str">
        <f t="shared" si="6"/>
        <v>普通</v>
      </c>
      <c r="H72" s="2283">
        <f t="shared" si="6"/>
        <v>0.4</v>
      </c>
      <c r="I72" s="2282">
        <f t="shared" si="6"/>
        <v>1</v>
      </c>
      <c r="J72" s="2282" t="str">
        <f t="shared" si="6"/>
        <v>少ない</v>
      </c>
      <c r="K72" s="2284">
        <f t="shared" si="6"/>
        <v>0.33300000000000002</v>
      </c>
      <c r="L72" s="2284">
        <f t="shared" si="6"/>
        <v>0.8</v>
      </c>
      <c r="M72" s="2124">
        <f t="shared" si="6"/>
        <v>0</v>
      </c>
      <c r="N72" s="2121">
        <f t="shared" ref="N72:Z72" si="7">N69</f>
        <v>0</v>
      </c>
      <c r="O72" s="2282" t="str">
        <f t="shared" si="7"/>
        <v>普通</v>
      </c>
      <c r="P72" s="2121">
        <f t="shared" si="7"/>
        <v>1</v>
      </c>
      <c r="Q72" s="2282" t="str">
        <f t="shared" si="7"/>
        <v>ＣＡＴＶ</v>
      </c>
      <c r="R72" s="2123">
        <f t="shared" si="7"/>
        <v>0.95</v>
      </c>
      <c r="S72" s="2285">
        <f t="shared" si="7"/>
        <v>1000</v>
      </c>
      <c r="T72" s="2121">
        <f t="shared" si="7"/>
        <v>1.05</v>
      </c>
      <c r="U72" s="2286">
        <f t="shared" si="7"/>
        <v>3000</v>
      </c>
      <c r="V72" s="2121">
        <f t="shared" si="7"/>
        <v>1</v>
      </c>
      <c r="W72" s="2286">
        <f t="shared" si="7"/>
        <v>10000</v>
      </c>
      <c r="X72" s="2123">
        <f t="shared" si="7"/>
        <v>0.93</v>
      </c>
      <c r="Y72" s="2286">
        <f t="shared" si="7"/>
        <v>13000</v>
      </c>
      <c r="Z72" s="2123">
        <f t="shared" si="7"/>
        <v>0.9</v>
      </c>
      <c r="AA72" s="1450" t="s">
        <v>2334</v>
      </c>
      <c r="AB72" s="1452"/>
      <c r="AC72" s="1484"/>
      <c r="AD72" s="1452"/>
      <c r="AE72" s="1483"/>
      <c r="AF72" s="1035"/>
      <c r="AG72" s="1036"/>
      <c r="AH72" s="1036"/>
      <c r="AI72" s="1036"/>
      <c r="AJ72" s="1036"/>
      <c r="AK72" s="1036"/>
      <c r="AL72" s="1036"/>
      <c r="AM72" s="1036"/>
      <c r="AN72" s="1036"/>
      <c r="AO72" s="1036"/>
      <c r="AP72" s="1036"/>
      <c r="AQ72" s="1036"/>
      <c r="AR72" s="1036"/>
      <c r="AS72" s="1036"/>
      <c r="AT72" s="1036"/>
      <c r="AU72" s="1036"/>
      <c r="AV72" s="1036"/>
      <c r="AW72" s="1036"/>
      <c r="AX72" s="1036"/>
      <c r="AY72" s="1037"/>
    </row>
    <row r="73" spans="2:51" ht="12.75" customHeight="1">
      <c r="B73" s="2110" t="str">
        <f>+$B$10</f>
        <v>劇場型建物</v>
      </c>
      <c r="C73" s="2279">
        <f>C69</f>
        <v>220</v>
      </c>
      <c r="D73" s="2287" t="str">
        <f t="shared" ref="D73:Z73" si="8">D69</f>
        <v>多い</v>
      </c>
      <c r="E73" s="2288">
        <f t="shared" si="8"/>
        <v>0.66600000000000004</v>
      </c>
      <c r="F73" s="2289">
        <f t="shared" si="8"/>
        <v>1.5</v>
      </c>
      <c r="G73" s="2289" t="str">
        <f t="shared" si="8"/>
        <v>普通</v>
      </c>
      <c r="H73" s="2290">
        <f t="shared" si="8"/>
        <v>0.4</v>
      </c>
      <c r="I73" s="2289">
        <f t="shared" si="8"/>
        <v>1</v>
      </c>
      <c r="J73" s="2289" t="str">
        <f t="shared" si="8"/>
        <v>少ない</v>
      </c>
      <c r="K73" s="2291">
        <f t="shared" si="8"/>
        <v>0.33300000000000002</v>
      </c>
      <c r="L73" s="2291">
        <f t="shared" si="8"/>
        <v>0.8</v>
      </c>
      <c r="M73" s="2130">
        <f t="shared" si="8"/>
        <v>0</v>
      </c>
      <c r="N73" s="2127">
        <f t="shared" si="8"/>
        <v>0</v>
      </c>
      <c r="O73" s="2289" t="str">
        <f t="shared" si="8"/>
        <v>普通</v>
      </c>
      <c r="P73" s="2127">
        <f t="shared" si="8"/>
        <v>1</v>
      </c>
      <c r="Q73" s="2289" t="str">
        <f t="shared" si="8"/>
        <v>ＣＡＴＶ</v>
      </c>
      <c r="R73" s="2129">
        <f t="shared" si="8"/>
        <v>0.95</v>
      </c>
      <c r="S73" s="2292">
        <f t="shared" si="8"/>
        <v>1000</v>
      </c>
      <c r="T73" s="2127">
        <f t="shared" si="8"/>
        <v>1.05</v>
      </c>
      <c r="U73" s="2293">
        <f t="shared" si="8"/>
        <v>3000</v>
      </c>
      <c r="V73" s="2127">
        <f t="shared" si="8"/>
        <v>1</v>
      </c>
      <c r="W73" s="2293">
        <f t="shared" si="8"/>
        <v>10000</v>
      </c>
      <c r="X73" s="2129">
        <f t="shared" si="8"/>
        <v>0.93</v>
      </c>
      <c r="Y73" s="2293">
        <f t="shared" si="8"/>
        <v>13000</v>
      </c>
      <c r="Z73" s="2129">
        <f t="shared" si="8"/>
        <v>0.9</v>
      </c>
      <c r="AA73" s="1450" t="s">
        <v>2334</v>
      </c>
      <c r="AB73" s="1455"/>
      <c r="AC73" s="1485"/>
      <c r="AD73" s="1455"/>
      <c r="AE73" s="1486"/>
      <c r="AF73" s="1035"/>
      <c r="AG73" s="1036"/>
      <c r="AH73" s="1036"/>
      <c r="AI73" s="1036"/>
      <c r="AJ73" s="1036"/>
      <c r="AK73" s="1036"/>
      <c r="AL73" s="1036"/>
      <c r="AM73" s="1036"/>
      <c r="AN73" s="1036"/>
      <c r="AO73" s="1036"/>
      <c r="AP73" s="1036"/>
      <c r="AQ73" s="1036"/>
      <c r="AR73" s="1036"/>
      <c r="AS73" s="1036"/>
      <c r="AT73" s="1036"/>
      <c r="AU73" s="1036"/>
      <c r="AV73" s="1036"/>
      <c r="AW73" s="1036"/>
      <c r="AX73" s="1036"/>
      <c r="AY73" s="1037"/>
    </row>
    <row r="74" spans="2:51" ht="12.75" customHeight="1">
      <c r="B74" s="1008" t="s">
        <v>359</v>
      </c>
      <c r="C74" s="1009" t="s">
        <v>423</v>
      </c>
      <c r="D74" s="1014" t="s">
        <v>424</v>
      </c>
      <c r="E74" s="1014"/>
      <c r="F74" s="1015"/>
      <c r="G74" s="1015"/>
      <c r="H74" s="1015"/>
      <c r="I74" s="1015"/>
      <c r="J74" s="1015"/>
      <c r="K74" s="1016"/>
      <c r="L74" s="1017"/>
      <c r="M74" s="1013" t="s">
        <v>425</v>
      </c>
      <c r="N74" s="1015"/>
      <c r="O74" s="1015"/>
      <c r="P74" s="1015"/>
      <c r="Q74" s="1015"/>
      <c r="R74" s="1017"/>
      <c r="S74" s="1448" t="s">
        <v>2325</v>
      </c>
      <c r="T74" s="1448"/>
      <c r="U74" s="1448"/>
      <c r="V74" s="1448"/>
      <c r="W74" s="1448"/>
      <c r="X74" s="1448"/>
      <c r="Y74" s="1487"/>
      <c r="Z74" s="1098"/>
      <c r="AA74" s="1117"/>
      <c r="AB74" s="1098"/>
      <c r="AC74" s="1117"/>
      <c r="AD74" s="1098"/>
      <c r="AE74" s="1118"/>
      <c r="AF74" s="1118"/>
      <c r="AG74" s="1118"/>
      <c r="AH74" s="1118"/>
      <c r="AI74" s="1118"/>
      <c r="AJ74" s="1118"/>
      <c r="AK74" s="1020"/>
      <c r="AL74" s="1020"/>
      <c r="AM74" s="1021"/>
      <c r="AN74" s="1021"/>
      <c r="AO74" s="1021"/>
      <c r="AP74" s="1021"/>
      <c r="AQ74" s="1021"/>
      <c r="AR74" s="1021"/>
      <c r="AS74" s="1021"/>
      <c r="AT74" s="1021"/>
      <c r="AU74" s="1021"/>
      <c r="AV74" s="1021"/>
      <c r="AW74" s="1021"/>
      <c r="AX74" s="1021"/>
      <c r="AY74" s="1022"/>
    </row>
    <row r="75" spans="2:51" ht="12.75" customHeight="1">
      <c r="B75" s="1023"/>
      <c r="C75" s="1024" t="s">
        <v>426</v>
      </c>
      <c r="D75" s="1029" t="s">
        <v>366</v>
      </c>
      <c r="E75" s="1029"/>
      <c r="F75" s="1030"/>
      <c r="G75" s="1030" t="s">
        <v>367</v>
      </c>
      <c r="H75" s="1030"/>
      <c r="I75" s="1030"/>
      <c r="J75" s="1030" t="s">
        <v>368</v>
      </c>
      <c r="K75" s="1031"/>
      <c r="L75" s="1032"/>
      <c r="M75" s="1028" t="s">
        <v>366</v>
      </c>
      <c r="N75" s="1030"/>
      <c r="O75" s="1030" t="s">
        <v>367</v>
      </c>
      <c r="P75" s="1030"/>
      <c r="Q75" s="1030" t="s">
        <v>368</v>
      </c>
      <c r="R75" s="1032"/>
      <c r="S75" s="1449"/>
      <c r="T75" s="1450"/>
      <c r="U75" s="1450"/>
      <c r="V75" s="1450"/>
      <c r="W75" s="1450"/>
      <c r="X75" s="1450"/>
      <c r="Y75" s="1488"/>
      <c r="Z75" s="1082"/>
      <c r="AA75" s="1119"/>
      <c r="AB75" s="1082"/>
      <c r="AC75" s="1119"/>
      <c r="AD75" s="1082"/>
      <c r="AE75" s="1120"/>
      <c r="AF75" s="1120"/>
      <c r="AG75" s="1120"/>
      <c r="AH75" s="1120"/>
      <c r="AI75" s="1120"/>
      <c r="AJ75" s="1120"/>
      <c r="AK75" s="1035"/>
      <c r="AL75" s="1035"/>
      <c r="AM75" s="1036"/>
      <c r="AN75" s="1036"/>
      <c r="AO75" s="1036"/>
      <c r="AP75" s="1036"/>
      <c r="AQ75" s="1036"/>
      <c r="AR75" s="1036"/>
      <c r="AS75" s="1036"/>
      <c r="AT75" s="1036"/>
      <c r="AU75" s="1036"/>
      <c r="AV75" s="1036"/>
      <c r="AW75" s="1036"/>
      <c r="AX75" s="1036"/>
      <c r="AY75" s="1037"/>
    </row>
    <row r="76" spans="2:51" ht="12.75" customHeight="1">
      <c r="B76" s="2108" t="str">
        <f>+$B$6</f>
        <v>事務所・店舗・百貨店</v>
      </c>
      <c r="C76" s="2258">
        <v>298140</v>
      </c>
      <c r="D76" s="1091" t="s">
        <v>427</v>
      </c>
      <c r="E76" s="1091">
        <v>10</v>
      </c>
      <c r="F76" s="1039">
        <v>1.6</v>
      </c>
      <c r="G76" s="1092" t="s">
        <v>428</v>
      </c>
      <c r="H76" s="1092">
        <v>5</v>
      </c>
      <c r="I76" s="1039">
        <v>1</v>
      </c>
      <c r="J76" s="1092" t="s">
        <v>429</v>
      </c>
      <c r="K76" s="1093">
        <v>3</v>
      </c>
      <c r="L76" s="1040">
        <v>0.7</v>
      </c>
      <c r="M76" s="1041"/>
      <c r="N76" s="1039"/>
      <c r="O76" s="1039" t="s">
        <v>375</v>
      </c>
      <c r="P76" s="1039">
        <v>1</v>
      </c>
      <c r="Q76" s="1039" t="s">
        <v>420</v>
      </c>
      <c r="R76" s="1040">
        <v>0.95</v>
      </c>
      <c r="S76" s="1457"/>
      <c r="T76" s="1452"/>
      <c r="U76" s="1452"/>
      <c r="V76" s="1452"/>
      <c r="W76" s="1452"/>
      <c r="X76" s="1452"/>
      <c r="Y76" s="1488"/>
      <c r="Z76" s="1082"/>
      <c r="AA76" s="1119"/>
      <c r="AB76" s="1082"/>
      <c r="AC76" s="1119"/>
      <c r="AD76" s="1082"/>
      <c r="AE76" s="1120"/>
      <c r="AF76" s="1120"/>
      <c r="AG76" s="1120"/>
      <c r="AH76" s="1120"/>
      <c r="AI76" s="1120"/>
      <c r="AJ76" s="1120"/>
      <c r="AK76" s="1035"/>
      <c r="AL76" s="1035"/>
      <c r="AM76" s="1036"/>
      <c r="AN76" s="1036"/>
      <c r="AO76" s="1036"/>
      <c r="AP76" s="1036"/>
      <c r="AQ76" s="1036"/>
      <c r="AR76" s="1036"/>
      <c r="AS76" s="1036"/>
      <c r="AT76" s="1036"/>
      <c r="AU76" s="1036"/>
      <c r="AV76" s="1036"/>
      <c r="AW76" s="1036"/>
      <c r="AX76" s="1036"/>
      <c r="AY76" s="1037"/>
    </row>
    <row r="77" spans="2:51" ht="12.75" customHeight="1">
      <c r="B77" s="2109" t="str">
        <f>+$B$7</f>
        <v>住宅・アパート</v>
      </c>
      <c r="C77" s="1045">
        <v>298140</v>
      </c>
      <c r="D77" s="1050" t="s">
        <v>427</v>
      </c>
      <c r="E77" s="1050">
        <v>10</v>
      </c>
      <c r="F77" s="1047">
        <v>1.6</v>
      </c>
      <c r="G77" s="1051" t="s">
        <v>428</v>
      </c>
      <c r="H77" s="1051">
        <v>5</v>
      </c>
      <c r="I77" s="1047">
        <v>1</v>
      </c>
      <c r="J77" s="1051" t="s">
        <v>429</v>
      </c>
      <c r="K77" s="1052">
        <v>3</v>
      </c>
      <c r="L77" s="1048">
        <v>0.7</v>
      </c>
      <c r="M77" s="1056"/>
      <c r="N77" s="1047"/>
      <c r="O77" s="1047" t="s">
        <v>375</v>
      </c>
      <c r="P77" s="1047">
        <v>1</v>
      </c>
      <c r="Q77" s="1047" t="s">
        <v>420</v>
      </c>
      <c r="R77" s="1048">
        <v>0.95</v>
      </c>
      <c r="S77" s="1457"/>
      <c r="T77" s="1452"/>
      <c r="U77" s="1452"/>
      <c r="V77" s="1452"/>
      <c r="W77" s="1452"/>
      <c r="X77" s="1452"/>
      <c r="Y77" s="1488"/>
      <c r="Z77" s="1082"/>
      <c r="AA77" s="1119"/>
      <c r="AB77" s="1082"/>
      <c r="AC77" s="1119"/>
      <c r="AD77" s="1082"/>
      <c r="AE77" s="1120"/>
      <c r="AF77" s="1120"/>
      <c r="AG77" s="1120"/>
      <c r="AH77" s="1120"/>
      <c r="AI77" s="1120"/>
      <c r="AJ77" s="1120"/>
      <c r="AK77" s="1035"/>
      <c r="AL77" s="1035"/>
      <c r="AM77" s="1036"/>
      <c r="AN77" s="1036"/>
      <c r="AO77" s="1036"/>
      <c r="AP77" s="1036"/>
      <c r="AQ77" s="1036"/>
      <c r="AR77" s="1036"/>
      <c r="AS77" s="1036"/>
      <c r="AT77" s="1036"/>
      <c r="AU77" s="1036"/>
      <c r="AV77" s="1036"/>
      <c r="AW77" s="1036"/>
      <c r="AX77" s="1036"/>
      <c r="AY77" s="1037"/>
    </row>
    <row r="78" spans="2:51" ht="12.75" customHeight="1">
      <c r="B78" s="2109" t="str">
        <f>+$B$8</f>
        <v>病院・ホテル</v>
      </c>
      <c r="C78" s="1045">
        <v>298140</v>
      </c>
      <c r="D78" s="1050" t="s">
        <v>427</v>
      </c>
      <c r="E78" s="1050">
        <v>10</v>
      </c>
      <c r="F78" s="1047">
        <v>1.6</v>
      </c>
      <c r="G78" s="1051" t="s">
        <v>428</v>
      </c>
      <c r="H78" s="1051">
        <v>5</v>
      </c>
      <c r="I78" s="1047">
        <v>1</v>
      </c>
      <c r="J78" s="1051" t="s">
        <v>429</v>
      </c>
      <c r="K78" s="1052">
        <v>3</v>
      </c>
      <c r="L78" s="1048">
        <v>0.7</v>
      </c>
      <c r="M78" s="1056"/>
      <c r="N78" s="1047"/>
      <c r="O78" s="1047" t="s">
        <v>375</v>
      </c>
      <c r="P78" s="1047">
        <v>1</v>
      </c>
      <c r="Q78" s="1047" t="s">
        <v>420</v>
      </c>
      <c r="R78" s="1048">
        <v>0.95</v>
      </c>
      <c r="S78" s="1457"/>
      <c r="T78" s="1452"/>
      <c r="U78" s="1452"/>
      <c r="V78" s="1452"/>
      <c r="W78" s="1452"/>
      <c r="X78" s="1452"/>
      <c r="Y78" s="1488"/>
      <c r="Z78" s="1082"/>
      <c r="AA78" s="1119"/>
      <c r="AB78" s="1082"/>
      <c r="AC78" s="1119"/>
      <c r="AD78" s="1082"/>
      <c r="AE78" s="1120"/>
      <c r="AF78" s="1120"/>
      <c r="AG78" s="1120"/>
      <c r="AH78" s="1120"/>
      <c r="AI78" s="1120"/>
      <c r="AJ78" s="1120"/>
      <c r="AK78" s="1035"/>
      <c r="AL78" s="1035"/>
      <c r="AM78" s="1036"/>
      <c r="AN78" s="1036"/>
      <c r="AO78" s="1036"/>
      <c r="AP78" s="1036"/>
      <c r="AQ78" s="1036"/>
      <c r="AR78" s="1036"/>
      <c r="AS78" s="1036"/>
      <c r="AT78" s="1036"/>
      <c r="AU78" s="1036"/>
      <c r="AV78" s="1036"/>
      <c r="AW78" s="1036"/>
      <c r="AX78" s="1036"/>
      <c r="AY78" s="1037"/>
    </row>
    <row r="79" spans="2:51" ht="12.75" customHeight="1">
      <c r="B79" s="2109" t="str">
        <f>+$B$9</f>
        <v>工場・倉庫・市場</v>
      </c>
      <c r="C79" s="2119">
        <f>+C76</f>
        <v>298140</v>
      </c>
      <c r="D79" s="2138" t="s">
        <v>427</v>
      </c>
      <c r="E79" s="2138">
        <v>10</v>
      </c>
      <c r="F79" s="2121">
        <v>1.6</v>
      </c>
      <c r="G79" s="2139" t="s">
        <v>428</v>
      </c>
      <c r="H79" s="2139">
        <v>5</v>
      </c>
      <c r="I79" s="2121">
        <v>1</v>
      </c>
      <c r="J79" s="2139" t="s">
        <v>429</v>
      </c>
      <c r="K79" s="2140">
        <v>3</v>
      </c>
      <c r="L79" s="2123">
        <v>0.7</v>
      </c>
      <c r="M79" s="1056"/>
      <c r="N79" s="1047"/>
      <c r="O79" s="1047" t="s">
        <v>375</v>
      </c>
      <c r="P79" s="1047">
        <v>1</v>
      </c>
      <c r="Q79" s="1047" t="s">
        <v>420</v>
      </c>
      <c r="R79" s="1048">
        <v>0.95</v>
      </c>
      <c r="S79" s="1478" t="s">
        <v>1316</v>
      </c>
      <c r="T79" s="1452"/>
      <c r="U79" s="1452"/>
      <c r="V79" s="1452"/>
      <c r="W79" s="1452"/>
      <c r="X79" s="1452"/>
      <c r="Y79" s="1488"/>
      <c r="Z79" s="1082"/>
      <c r="AA79" s="1119"/>
      <c r="AB79" s="1082"/>
      <c r="AC79" s="1119"/>
      <c r="AD79" s="1082"/>
      <c r="AE79" s="1120"/>
      <c r="AF79" s="1120"/>
      <c r="AG79" s="1120"/>
      <c r="AH79" s="1120"/>
      <c r="AI79" s="1120"/>
      <c r="AJ79" s="1120"/>
      <c r="AK79" s="1035"/>
      <c r="AL79" s="1035"/>
      <c r="AM79" s="1036"/>
      <c r="AN79" s="1036"/>
      <c r="AO79" s="1036"/>
      <c r="AP79" s="1036"/>
      <c r="AQ79" s="1036"/>
      <c r="AR79" s="1036"/>
      <c r="AS79" s="1036"/>
      <c r="AT79" s="1036"/>
      <c r="AU79" s="1036"/>
      <c r="AV79" s="1036"/>
      <c r="AW79" s="1036"/>
      <c r="AX79" s="1036"/>
      <c r="AY79" s="1037"/>
    </row>
    <row r="80" spans="2:51" ht="12.75" customHeight="1">
      <c r="B80" s="2110" t="str">
        <f>+$B$10</f>
        <v>劇場型建物</v>
      </c>
      <c r="C80" s="1102">
        <v>298140</v>
      </c>
      <c r="D80" s="1094" t="s">
        <v>427</v>
      </c>
      <c r="E80" s="1094">
        <v>10</v>
      </c>
      <c r="F80" s="1061">
        <v>1.6</v>
      </c>
      <c r="G80" s="1095" t="s">
        <v>428</v>
      </c>
      <c r="H80" s="1095">
        <v>5</v>
      </c>
      <c r="I80" s="1061">
        <v>1</v>
      </c>
      <c r="J80" s="1095" t="s">
        <v>429</v>
      </c>
      <c r="K80" s="1096">
        <v>3</v>
      </c>
      <c r="L80" s="1062">
        <v>0.7</v>
      </c>
      <c r="M80" s="1063"/>
      <c r="N80" s="1061"/>
      <c r="O80" s="1061" t="s">
        <v>375</v>
      </c>
      <c r="P80" s="1061">
        <v>1</v>
      </c>
      <c r="Q80" s="1061" t="s">
        <v>420</v>
      </c>
      <c r="R80" s="1062">
        <v>0.95</v>
      </c>
      <c r="S80" s="1458"/>
      <c r="T80" s="1455"/>
      <c r="U80" s="1455"/>
      <c r="V80" s="1455"/>
      <c r="W80" s="1455"/>
      <c r="X80" s="1455"/>
      <c r="Y80" s="1489"/>
      <c r="Z80" s="1082"/>
      <c r="AA80" s="1119"/>
      <c r="AB80" s="1082"/>
      <c r="AC80" s="1119"/>
      <c r="AD80" s="1082"/>
      <c r="AE80" s="1120"/>
      <c r="AF80" s="1120"/>
      <c r="AG80" s="1120"/>
      <c r="AH80" s="1120"/>
      <c r="AI80" s="1120"/>
      <c r="AJ80" s="1120"/>
      <c r="AK80" s="1035"/>
      <c r="AL80" s="1035"/>
      <c r="AM80" s="1036"/>
      <c r="AN80" s="1036"/>
      <c r="AO80" s="1036"/>
      <c r="AP80" s="1036"/>
      <c r="AQ80" s="1036"/>
      <c r="AR80" s="1036"/>
      <c r="AS80" s="1036"/>
      <c r="AT80" s="1089"/>
      <c r="AU80" s="1036"/>
      <c r="AV80" s="1036"/>
      <c r="AW80" s="1036"/>
      <c r="AX80" s="1036"/>
      <c r="AY80" s="1037"/>
    </row>
    <row r="81" spans="2:47" ht="12.75" customHeight="1">
      <c r="B81" s="1008" t="s">
        <v>359</v>
      </c>
      <c r="C81" s="1009" t="s">
        <v>2099</v>
      </c>
      <c r="D81" s="3894" t="s">
        <v>2109</v>
      </c>
      <c r="E81" s="3895"/>
      <c r="F81" s="3895"/>
      <c r="G81" s="3895"/>
      <c r="H81" s="3895"/>
      <c r="I81" s="3896"/>
      <c r="J81" s="1456"/>
      <c r="K81" s="2040"/>
      <c r="L81" s="2040"/>
      <c r="M81" s="2037"/>
      <c r="N81" s="2037"/>
      <c r="O81" s="2037"/>
      <c r="P81" s="2037"/>
      <c r="Q81" s="2037"/>
      <c r="R81" s="2037"/>
      <c r="S81" s="2037"/>
      <c r="T81" s="2037"/>
      <c r="U81" s="2037"/>
      <c r="V81" s="2037"/>
      <c r="W81" s="2037"/>
      <c r="X81" s="2037"/>
      <c r="Y81" s="2037"/>
      <c r="Z81" s="2037"/>
      <c r="AA81" s="2037"/>
      <c r="AB81" s="2037"/>
      <c r="AC81" s="2037"/>
      <c r="AD81" s="2040"/>
      <c r="AE81" s="2040"/>
      <c r="AF81" s="2040"/>
      <c r="AG81" s="2040"/>
      <c r="AH81" s="2040"/>
      <c r="AI81" s="2040"/>
      <c r="AJ81" s="2040"/>
      <c r="AK81" s="2040"/>
      <c r="AL81" s="2040"/>
      <c r="AM81" s="2040"/>
      <c r="AN81" s="2041"/>
      <c r="AO81" s="1456"/>
      <c r="AP81" s="1448"/>
      <c r="AQ81" s="1448"/>
      <c r="AR81" s="1448"/>
      <c r="AS81" s="1448"/>
      <c r="AT81" s="1448"/>
      <c r="AU81" s="1491"/>
    </row>
    <row r="82" spans="2:47" ht="12.75" customHeight="1">
      <c r="B82" s="1023"/>
      <c r="C82" s="1024" t="s">
        <v>2101</v>
      </c>
      <c r="D82" s="1029" t="s">
        <v>366</v>
      </c>
      <c r="E82" s="1030"/>
      <c r="F82" s="1030" t="s">
        <v>367</v>
      </c>
      <c r="G82" s="1030"/>
      <c r="H82" s="3862" t="s">
        <v>368</v>
      </c>
      <c r="I82" s="3863"/>
      <c r="J82" s="1449"/>
      <c r="K82" s="1450"/>
      <c r="L82" s="1450"/>
      <c r="M82" s="1134"/>
      <c r="N82" s="1134"/>
      <c r="O82" s="1134"/>
      <c r="P82" s="1134"/>
      <c r="Q82" s="1134"/>
      <c r="R82" s="1134"/>
      <c r="S82" s="1134"/>
      <c r="T82" s="1134"/>
      <c r="U82" s="1134"/>
      <c r="V82" s="1134"/>
      <c r="W82" s="1134"/>
      <c r="X82" s="1134"/>
      <c r="Y82" s="1134"/>
      <c r="Z82" s="1134"/>
      <c r="AA82" s="1134"/>
      <c r="AB82" s="1134"/>
      <c r="AC82" s="1134"/>
      <c r="AD82" s="1450"/>
      <c r="AE82" s="1450"/>
      <c r="AF82" s="1450"/>
      <c r="AG82" s="1450"/>
      <c r="AH82" s="1450"/>
      <c r="AI82" s="1450"/>
      <c r="AJ82" s="1450"/>
      <c r="AK82" s="1450"/>
      <c r="AL82" s="1450"/>
      <c r="AM82" s="1450"/>
      <c r="AN82" s="2042"/>
      <c r="AO82" s="1449"/>
      <c r="AP82" s="1450"/>
      <c r="AQ82" s="1450"/>
      <c r="AR82" s="1450"/>
      <c r="AS82" s="1450"/>
      <c r="AT82" s="1450"/>
      <c r="AU82" s="1492"/>
    </row>
    <row r="83" spans="2:47" ht="12.75" customHeight="1">
      <c r="B83" s="2108" t="str">
        <f>+$B$6</f>
        <v>事務所・店舗・百貨店</v>
      </c>
      <c r="C83" s="2258">
        <v>64450</v>
      </c>
      <c r="D83" s="1041">
        <v>4</v>
      </c>
      <c r="E83" s="1039">
        <v>1.08</v>
      </c>
      <c r="F83" s="1039">
        <v>3</v>
      </c>
      <c r="G83" s="1039">
        <v>1</v>
      </c>
      <c r="H83" s="1039">
        <v>2.7</v>
      </c>
      <c r="I83" s="1040">
        <v>0.97</v>
      </c>
      <c r="J83" s="2045"/>
      <c r="K83" s="2046"/>
      <c r="L83" s="2046"/>
      <c r="M83" s="1082"/>
      <c r="N83" s="1082"/>
      <c r="O83" s="1082"/>
      <c r="P83" s="1082"/>
      <c r="Q83" s="1082"/>
      <c r="R83" s="1082"/>
      <c r="S83" s="2031"/>
      <c r="T83" s="1082"/>
      <c r="U83" s="1082"/>
      <c r="V83" s="2031"/>
      <c r="W83" s="1082"/>
      <c r="X83" s="1082"/>
      <c r="Y83" s="2031"/>
      <c r="Z83" s="1082"/>
      <c r="AA83" s="1082"/>
      <c r="AB83" s="1082"/>
      <c r="AC83" s="1082"/>
      <c r="AD83" s="1082"/>
      <c r="AE83" s="1082"/>
      <c r="AF83" s="1082"/>
      <c r="AG83" s="1101"/>
      <c r="AH83" s="1082"/>
      <c r="AI83" s="1101"/>
      <c r="AJ83" s="1082"/>
      <c r="AK83" s="1101"/>
      <c r="AL83" s="1082"/>
      <c r="AM83" s="2033"/>
      <c r="AN83" s="2013"/>
      <c r="AO83" s="1493"/>
      <c r="AP83" s="1450"/>
      <c r="AQ83" s="1494"/>
      <c r="AR83" s="1450"/>
      <c r="AS83" s="1494"/>
      <c r="AT83" s="1450"/>
      <c r="AU83" s="1492"/>
    </row>
    <row r="84" spans="2:47" ht="12.75" customHeight="1">
      <c r="B84" s="2109" t="str">
        <f>+$B$7</f>
        <v>住宅・アパート</v>
      </c>
      <c r="C84" s="1045">
        <v>64450</v>
      </c>
      <c r="D84" s="1056">
        <v>4</v>
      </c>
      <c r="E84" s="1047">
        <v>1.08</v>
      </c>
      <c r="F84" s="1047">
        <v>3</v>
      </c>
      <c r="G84" s="1047">
        <v>1</v>
      </c>
      <c r="H84" s="1047">
        <v>2.7</v>
      </c>
      <c r="I84" s="1048">
        <v>0.97</v>
      </c>
      <c r="J84" s="1081"/>
      <c r="K84" s="2031"/>
      <c r="L84" s="1082"/>
      <c r="M84" s="1082"/>
      <c r="N84" s="1082"/>
      <c r="O84" s="1082"/>
      <c r="P84" s="1082"/>
      <c r="Q84" s="1082"/>
      <c r="R84" s="1082"/>
      <c r="S84" s="2031"/>
      <c r="T84" s="1082"/>
      <c r="U84" s="1082"/>
      <c r="V84" s="2031"/>
      <c r="W84" s="1082"/>
      <c r="X84" s="1082"/>
      <c r="Y84" s="2031"/>
      <c r="Z84" s="1082"/>
      <c r="AA84" s="1082"/>
      <c r="AB84" s="1082"/>
      <c r="AC84" s="1082"/>
      <c r="AD84" s="1082"/>
      <c r="AE84" s="1082"/>
      <c r="AF84" s="1082"/>
      <c r="AG84" s="1101"/>
      <c r="AH84" s="1082"/>
      <c r="AI84" s="1101"/>
      <c r="AJ84" s="1082"/>
      <c r="AK84" s="1101"/>
      <c r="AL84" s="1082"/>
      <c r="AM84" s="2032"/>
      <c r="AN84" s="2013"/>
      <c r="AO84" s="1493"/>
      <c r="AP84" s="1450"/>
      <c r="AQ84" s="1494"/>
      <c r="AR84" s="1450"/>
      <c r="AS84" s="1494"/>
      <c r="AT84" s="1450"/>
      <c r="AU84" s="1492"/>
    </row>
    <row r="85" spans="2:47" ht="12.75" customHeight="1">
      <c r="B85" s="2109" t="str">
        <f>+$B$8</f>
        <v>病院・ホテル</v>
      </c>
      <c r="C85" s="1045">
        <v>64450</v>
      </c>
      <c r="D85" s="1056">
        <v>4</v>
      </c>
      <c r="E85" s="1047">
        <v>1.08</v>
      </c>
      <c r="F85" s="1047">
        <v>3</v>
      </c>
      <c r="G85" s="1047">
        <v>1</v>
      </c>
      <c r="H85" s="1047">
        <v>2.7</v>
      </c>
      <c r="I85" s="1048">
        <v>0.97</v>
      </c>
      <c r="J85" s="1081"/>
      <c r="K85" s="2031"/>
      <c r="L85" s="1082"/>
      <c r="M85" s="1082"/>
      <c r="N85" s="1082"/>
      <c r="O85" s="1082"/>
      <c r="P85" s="1082"/>
      <c r="Q85" s="1082"/>
      <c r="R85" s="1082"/>
      <c r="S85" s="2031"/>
      <c r="T85" s="1082"/>
      <c r="U85" s="1082"/>
      <c r="V85" s="2031"/>
      <c r="W85" s="1082"/>
      <c r="X85" s="1082"/>
      <c r="Y85" s="2031"/>
      <c r="Z85" s="1082"/>
      <c r="AA85" s="1082"/>
      <c r="AB85" s="1082"/>
      <c r="AC85" s="1082"/>
      <c r="AD85" s="1082"/>
      <c r="AE85" s="1082"/>
      <c r="AF85" s="1082"/>
      <c r="AG85" s="1101"/>
      <c r="AH85" s="1082"/>
      <c r="AI85" s="1101"/>
      <c r="AJ85" s="1082"/>
      <c r="AK85" s="1101"/>
      <c r="AL85" s="1082"/>
      <c r="AM85" s="2033"/>
      <c r="AN85" s="2013"/>
      <c r="AO85" s="1493"/>
      <c r="AP85" s="1450"/>
      <c r="AQ85" s="1494"/>
      <c r="AR85" s="1450"/>
      <c r="AS85" s="1494"/>
      <c r="AT85" s="1450"/>
      <c r="AU85" s="1492"/>
    </row>
    <row r="86" spans="2:47" ht="12.75" customHeight="1">
      <c r="B86" s="2109" t="str">
        <f>+$B$9</f>
        <v>工場・倉庫・市場</v>
      </c>
      <c r="C86" s="1045">
        <v>64450</v>
      </c>
      <c r="D86" s="1056">
        <v>4</v>
      </c>
      <c r="E86" s="1047">
        <v>1.08</v>
      </c>
      <c r="F86" s="1047">
        <v>3</v>
      </c>
      <c r="G86" s="1047">
        <v>1</v>
      </c>
      <c r="H86" s="1047">
        <v>2.7</v>
      </c>
      <c r="I86" s="1048">
        <v>0.97</v>
      </c>
      <c r="J86" s="1081"/>
      <c r="K86" s="2031"/>
      <c r="L86" s="1082"/>
      <c r="M86" s="1082"/>
      <c r="N86" s="1082"/>
      <c r="O86" s="1082"/>
      <c r="P86" s="1082"/>
      <c r="Q86" s="1082"/>
      <c r="R86" s="1082"/>
      <c r="S86" s="2031"/>
      <c r="T86" s="1082"/>
      <c r="U86" s="1082"/>
      <c r="V86" s="2031"/>
      <c r="W86" s="1082"/>
      <c r="X86" s="1082"/>
      <c r="Y86" s="2031"/>
      <c r="Z86" s="1082"/>
      <c r="AA86" s="1082"/>
      <c r="AB86" s="1082"/>
      <c r="AC86" s="1082"/>
      <c r="AD86" s="1082"/>
      <c r="AE86" s="1082"/>
      <c r="AF86" s="1082"/>
      <c r="AG86" s="1101"/>
      <c r="AH86" s="1082"/>
      <c r="AI86" s="1101"/>
      <c r="AJ86" s="1082"/>
      <c r="AK86" s="1101"/>
      <c r="AL86" s="1082"/>
      <c r="AM86" s="2033"/>
      <c r="AN86" s="2013"/>
      <c r="AO86" s="1493"/>
      <c r="AP86" s="1450"/>
      <c r="AQ86" s="1494"/>
      <c r="AR86" s="1450"/>
      <c r="AS86" s="1494"/>
      <c r="AT86" s="1450"/>
      <c r="AU86" s="1492"/>
    </row>
    <row r="87" spans="2:47" ht="12.75" customHeight="1">
      <c r="B87" s="2110" t="str">
        <f>+$B$10</f>
        <v>劇場型建物</v>
      </c>
      <c r="C87" s="2463">
        <v>64450</v>
      </c>
      <c r="D87" s="1063">
        <v>4</v>
      </c>
      <c r="E87" s="1061">
        <v>1.08</v>
      </c>
      <c r="F87" s="1061">
        <v>3</v>
      </c>
      <c r="G87" s="1061">
        <v>1</v>
      </c>
      <c r="H87" s="1061">
        <v>2.7</v>
      </c>
      <c r="I87" s="1062">
        <v>0.97</v>
      </c>
      <c r="J87" s="1857"/>
      <c r="K87" s="2034"/>
      <c r="L87" s="1858"/>
      <c r="M87" s="1858"/>
      <c r="N87" s="1858"/>
      <c r="O87" s="1858"/>
      <c r="P87" s="1858"/>
      <c r="Q87" s="1858"/>
      <c r="R87" s="1858"/>
      <c r="S87" s="2034"/>
      <c r="T87" s="1858"/>
      <c r="U87" s="1858"/>
      <c r="V87" s="2034"/>
      <c r="W87" s="1858"/>
      <c r="X87" s="1858"/>
      <c r="Y87" s="2034"/>
      <c r="Z87" s="1858"/>
      <c r="AA87" s="1858"/>
      <c r="AB87" s="1858"/>
      <c r="AC87" s="1858"/>
      <c r="AD87" s="1858"/>
      <c r="AE87" s="1858"/>
      <c r="AF87" s="1858"/>
      <c r="AG87" s="2035"/>
      <c r="AH87" s="1858"/>
      <c r="AI87" s="2035"/>
      <c r="AJ87" s="1858"/>
      <c r="AK87" s="2035"/>
      <c r="AL87" s="1858"/>
      <c r="AM87" s="2036"/>
      <c r="AN87" s="2016"/>
      <c r="AO87" s="1495"/>
      <c r="AP87" s="1496"/>
      <c r="AQ87" s="1497"/>
      <c r="AR87" s="1496"/>
      <c r="AS87" s="1497"/>
      <c r="AT87" s="1496"/>
      <c r="AU87" s="1498"/>
    </row>
    <row r="88" spans="2:47" s="2001" customFormat="1" ht="12.75" customHeight="1">
      <c r="B88" s="1008" t="s">
        <v>359</v>
      </c>
      <c r="C88" s="1009" t="s">
        <v>2100</v>
      </c>
      <c r="D88" s="3894" t="s">
        <v>2109</v>
      </c>
      <c r="E88" s="3895"/>
      <c r="F88" s="3895"/>
      <c r="G88" s="3895"/>
      <c r="H88" s="3895"/>
      <c r="I88" s="3896"/>
      <c r="J88" s="1456"/>
      <c r="K88" s="2040"/>
      <c r="L88" s="2040"/>
      <c r="M88" s="2037"/>
      <c r="N88" s="2037"/>
      <c r="O88" s="2037"/>
      <c r="P88" s="2037"/>
      <c r="Q88" s="2037"/>
      <c r="R88" s="2037"/>
      <c r="S88" s="2037"/>
      <c r="T88" s="2037"/>
      <c r="U88" s="2037"/>
      <c r="V88" s="2037"/>
      <c r="W88" s="2037"/>
      <c r="X88" s="2037"/>
      <c r="Y88" s="2037"/>
      <c r="Z88" s="2037"/>
      <c r="AA88" s="2037"/>
      <c r="AB88" s="2037"/>
      <c r="AC88" s="2037"/>
      <c r="AD88" s="2037"/>
      <c r="AE88" s="2038"/>
      <c r="AF88" s="2038"/>
      <c r="AG88" s="2037"/>
      <c r="AH88" s="2037"/>
      <c r="AI88" s="2037"/>
      <c r="AJ88" s="2037"/>
      <c r="AK88" s="2037"/>
      <c r="AL88" s="2037"/>
      <c r="AM88" s="2037"/>
      <c r="AN88" s="2019"/>
      <c r="AO88" s="1456"/>
      <c r="AP88" s="1448"/>
      <c r="AQ88" s="1448"/>
      <c r="AR88" s="1448"/>
      <c r="AS88" s="1448"/>
      <c r="AT88" s="1448"/>
      <c r="AU88" s="1491"/>
    </row>
    <row r="89" spans="2:47" s="2001" customFormat="1" ht="12.75" customHeight="1">
      <c r="B89" s="1023"/>
      <c r="C89" s="1024" t="s">
        <v>2102</v>
      </c>
      <c r="D89" s="1029" t="s">
        <v>366</v>
      </c>
      <c r="E89" s="1030"/>
      <c r="F89" s="1030" t="s">
        <v>367</v>
      </c>
      <c r="G89" s="1030"/>
      <c r="H89" s="3862" t="s">
        <v>368</v>
      </c>
      <c r="I89" s="3863"/>
      <c r="J89" s="1449"/>
      <c r="K89" s="1450"/>
      <c r="L89" s="1450"/>
      <c r="M89" s="1134"/>
      <c r="N89" s="1134"/>
      <c r="O89" s="1134"/>
      <c r="P89" s="1134"/>
      <c r="Q89" s="1134"/>
      <c r="R89" s="1134"/>
      <c r="S89" s="1134"/>
      <c r="T89" s="1134"/>
      <c r="U89" s="1134"/>
      <c r="V89" s="1134"/>
      <c r="W89" s="1134"/>
      <c r="X89" s="1134"/>
      <c r="Y89" s="1134"/>
      <c r="Z89" s="1134"/>
      <c r="AA89" s="1134"/>
      <c r="AB89" s="1134"/>
      <c r="AC89" s="1134"/>
      <c r="AD89" s="1134"/>
      <c r="AE89" s="1134"/>
      <c r="AF89" s="1134"/>
      <c r="AG89" s="1134"/>
      <c r="AH89" s="1134"/>
      <c r="AI89" s="1134"/>
      <c r="AJ89" s="1134"/>
      <c r="AK89" s="1134"/>
      <c r="AL89" s="1134"/>
      <c r="AM89" s="2039"/>
      <c r="AN89" s="2020"/>
      <c r="AO89" s="1449"/>
      <c r="AP89" s="1450"/>
      <c r="AQ89" s="1450"/>
      <c r="AR89" s="1450"/>
      <c r="AS89" s="1450"/>
      <c r="AT89" s="1450"/>
      <c r="AU89" s="1492"/>
    </row>
    <row r="90" spans="2:47" s="2001" customFormat="1" ht="12.75" customHeight="1">
      <c r="B90" s="2108" t="str">
        <f>+$B$6</f>
        <v>事務所・店舗・百貨店</v>
      </c>
      <c r="C90" s="2258">
        <v>114590</v>
      </c>
      <c r="D90" s="1041">
        <v>4</v>
      </c>
      <c r="E90" s="1039">
        <v>1.08</v>
      </c>
      <c r="F90" s="1039">
        <v>3</v>
      </c>
      <c r="G90" s="1039">
        <v>1</v>
      </c>
      <c r="H90" s="1039">
        <v>2.7</v>
      </c>
      <c r="I90" s="1040">
        <v>0.97</v>
      </c>
      <c r="J90" s="2045"/>
      <c r="K90" s="2046"/>
      <c r="L90" s="2046"/>
      <c r="M90" s="1082"/>
      <c r="N90" s="1082"/>
      <c r="O90" s="1082"/>
      <c r="P90" s="1082"/>
      <c r="Q90" s="1082"/>
      <c r="R90" s="1082"/>
      <c r="S90" s="2031"/>
      <c r="T90" s="1082"/>
      <c r="U90" s="1082"/>
      <c r="V90" s="2031"/>
      <c r="W90" s="1082"/>
      <c r="X90" s="1082"/>
      <c r="Y90" s="2031"/>
      <c r="Z90" s="1082"/>
      <c r="AA90" s="1082"/>
      <c r="AB90" s="1082"/>
      <c r="AC90" s="1082"/>
      <c r="AD90" s="1082"/>
      <c r="AE90" s="1082"/>
      <c r="AF90" s="1082"/>
      <c r="AG90" s="1101"/>
      <c r="AH90" s="1082"/>
      <c r="AI90" s="1101"/>
      <c r="AJ90" s="1082"/>
      <c r="AK90" s="1101"/>
      <c r="AL90" s="1082"/>
      <c r="AM90" s="2033"/>
      <c r="AN90" s="2013"/>
      <c r="AO90" s="1493"/>
      <c r="AP90" s="1450"/>
      <c r="AQ90" s="1494"/>
      <c r="AR90" s="1450"/>
      <c r="AS90" s="1494"/>
      <c r="AT90" s="1450"/>
      <c r="AU90" s="1492"/>
    </row>
    <row r="91" spans="2:47" s="2001" customFormat="1" ht="12.75" customHeight="1">
      <c r="B91" s="2109" t="str">
        <f>+$B$7</f>
        <v>住宅・アパート</v>
      </c>
      <c r="C91" s="1045">
        <v>114590</v>
      </c>
      <c r="D91" s="1056">
        <v>4</v>
      </c>
      <c r="E91" s="1047">
        <v>1.08</v>
      </c>
      <c r="F91" s="1047">
        <v>3</v>
      </c>
      <c r="G91" s="1047">
        <v>1</v>
      </c>
      <c r="H91" s="1047">
        <v>2.7</v>
      </c>
      <c r="I91" s="1048">
        <v>0.97</v>
      </c>
      <c r="J91" s="1081"/>
      <c r="K91" s="2031"/>
      <c r="L91" s="1082"/>
      <c r="M91" s="1082"/>
      <c r="N91" s="1082"/>
      <c r="O91" s="1082"/>
      <c r="P91" s="1082"/>
      <c r="Q91" s="1082"/>
      <c r="R91" s="1082"/>
      <c r="S91" s="2031"/>
      <c r="T91" s="1082"/>
      <c r="U91" s="1082"/>
      <c r="V91" s="2031"/>
      <c r="W91" s="1082"/>
      <c r="X91" s="1082"/>
      <c r="Y91" s="2031"/>
      <c r="Z91" s="1082"/>
      <c r="AA91" s="1082"/>
      <c r="AB91" s="1082"/>
      <c r="AC91" s="1082"/>
      <c r="AD91" s="1082"/>
      <c r="AE91" s="1082"/>
      <c r="AF91" s="1082"/>
      <c r="AG91" s="1101"/>
      <c r="AH91" s="1082"/>
      <c r="AI91" s="1101"/>
      <c r="AJ91" s="1082"/>
      <c r="AK91" s="1101"/>
      <c r="AL91" s="1082"/>
      <c r="AM91" s="2032"/>
      <c r="AN91" s="2013"/>
      <c r="AO91" s="1493"/>
      <c r="AP91" s="1450"/>
      <c r="AQ91" s="1494"/>
      <c r="AR91" s="1450"/>
      <c r="AS91" s="1494"/>
      <c r="AT91" s="1450"/>
      <c r="AU91" s="1492"/>
    </row>
    <row r="92" spans="2:47" s="2001" customFormat="1" ht="12.75" customHeight="1">
      <c r="B92" s="2109" t="str">
        <f>+$B$8</f>
        <v>病院・ホテル</v>
      </c>
      <c r="C92" s="1045">
        <v>114590</v>
      </c>
      <c r="D92" s="1056">
        <v>4</v>
      </c>
      <c r="E92" s="1047">
        <v>1.08</v>
      </c>
      <c r="F92" s="1047">
        <v>3</v>
      </c>
      <c r="G92" s="1047">
        <v>1</v>
      </c>
      <c r="H92" s="1047">
        <v>2.7</v>
      </c>
      <c r="I92" s="1048">
        <v>0.97</v>
      </c>
      <c r="J92" s="1081"/>
      <c r="K92" s="2031"/>
      <c r="L92" s="1082"/>
      <c r="M92" s="1082"/>
      <c r="N92" s="1082"/>
      <c r="O92" s="1082"/>
      <c r="P92" s="1082"/>
      <c r="Q92" s="1082"/>
      <c r="R92" s="1082"/>
      <c r="S92" s="2031"/>
      <c r="T92" s="1082"/>
      <c r="U92" s="1082"/>
      <c r="V92" s="2031"/>
      <c r="W92" s="1082"/>
      <c r="X92" s="1082"/>
      <c r="Y92" s="2031"/>
      <c r="Z92" s="1082"/>
      <c r="AA92" s="1082"/>
      <c r="AB92" s="1082"/>
      <c r="AC92" s="1082"/>
      <c r="AD92" s="1082"/>
      <c r="AE92" s="1082"/>
      <c r="AF92" s="1082"/>
      <c r="AG92" s="1101"/>
      <c r="AH92" s="1082"/>
      <c r="AI92" s="1101"/>
      <c r="AJ92" s="1082"/>
      <c r="AK92" s="1101"/>
      <c r="AL92" s="1082"/>
      <c r="AM92" s="2033"/>
      <c r="AN92" s="2013"/>
      <c r="AO92" s="1493"/>
      <c r="AP92" s="1450"/>
      <c r="AQ92" s="1494"/>
      <c r="AR92" s="1450"/>
      <c r="AS92" s="1494"/>
      <c r="AT92" s="1450"/>
      <c r="AU92" s="1492"/>
    </row>
    <row r="93" spans="2:47" s="2001" customFormat="1" ht="12.75" customHeight="1">
      <c r="B93" s="2109" t="str">
        <f>+$B$9</f>
        <v>工場・倉庫・市場</v>
      </c>
      <c r="C93" s="1045">
        <v>114590</v>
      </c>
      <c r="D93" s="1056">
        <v>4</v>
      </c>
      <c r="E93" s="1047">
        <v>1.08</v>
      </c>
      <c r="F93" s="1047">
        <v>3</v>
      </c>
      <c r="G93" s="1047">
        <v>1</v>
      </c>
      <c r="H93" s="1047">
        <v>2.7</v>
      </c>
      <c r="I93" s="1048">
        <v>0.97</v>
      </c>
      <c r="J93" s="1081"/>
      <c r="K93" s="2031"/>
      <c r="L93" s="1082"/>
      <c r="M93" s="1082"/>
      <c r="N93" s="1082"/>
      <c r="O93" s="1082"/>
      <c r="P93" s="1082"/>
      <c r="Q93" s="1082"/>
      <c r="R93" s="1082"/>
      <c r="S93" s="2031"/>
      <c r="T93" s="1082"/>
      <c r="U93" s="1082"/>
      <c r="V93" s="2031"/>
      <c r="W93" s="1082"/>
      <c r="X93" s="1082"/>
      <c r="Y93" s="2031"/>
      <c r="Z93" s="1082"/>
      <c r="AA93" s="1082"/>
      <c r="AB93" s="1082"/>
      <c r="AC93" s="1082"/>
      <c r="AD93" s="1082"/>
      <c r="AE93" s="1082"/>
      <c r="AF93" s="1082"/>
      <c r="AG93" s="1101"/>
      <c r="AH93" s="1082"/>
      <c r="AI93" s="1101"/>
      <c r="AJ93" s="1082"/>
      <c r="AK93" s="1101"/>
      <c r="AL93" s="1082"/>
      <c r="AM93" s="2033"/>
      <c r="AN93" s="2013"/>
      <c r="AO93" s="1493"/>
      <c r="AP93" s="1450"/>
      <c r="AQ93" s="1494"/>
      <c r="AR93" s="1450"/>
      <c r="AS93" s="1494"/>
      <c r="AT93" s="1450"/>
      <c r="AU93" s="1492"/>
    </row>
    <row r="94" spans="2:47" s="2001" customFormat="1" ht="12.75" customHeight="1">
      <c r="B94" s="2110" t="str">
        <f>+$B$10</f>
        <v>劇場型建物</v>
      </c>
      <c r="C94" s="2463">
        <v>114590</v>
      </c>
      <c r="D94" s="1063">
        <v>4</v>
      </c>
      <c r="E94" s="1061">
        <v>1.08</v>
      </c>
      <c r="F94" s="1061">
        <v>3</v>
      </c>
      <c r="G94" s="1061">
        <v>1</v>
      </c>
      <c r="H94" s="1061">
        <v>2.7</v>
      </c>
      <c r="I94" s="1062">
        <v>0.97</v>
      </c>
      <c r="J94" s="1857"/>
      <c r="K94" s="2034"/>
      <c r="L94" s="1858"/>
      <c r="M94" s="1858"/>
      <c r="N94" s="1858"/>
      <c r="O94" s="1858"/>
      <c r="P94" s="1858"/>
      <c r="Q94" s="1858"/>
      <c r="R94" s="1858"/>
      <c r="S94" s="2034"/>
      <c r="T94" s="1858"/>
      <c r="U94" s="1858"/>
      <c r="V94" s="2034"/>
      <c r="W94" s="1858"/>
      <c r="X94" s="1858"/>
      <c r="Y94" s="2034"/>
      <c r="Z94" s="1858"/>
      <c r="AA94" s="1858"/>
      <c r="AB94" s="1858"/>
      <c r="AC94" s="1858"/>
      <c r="AD94" s="1858"/>
      <c r="AE94" s="1858"/>
      <c r="AF94" s="1858"/>
      <c r="AG94" s="2035"/>
      <c r="AH94" s="1858"/>
      <c r="AI94" s="2035"/>
      <c r="AJ94" s="1858"/>
      <c r="AK94" s="2035"/>
      <c r="AL94" s="1858"/>
      <c r="AM94" s="2036"/>
      <c r="AN94" s="2016"/>
      <c r="AO94" s="1495"/>
      <c r="AP94" s="1496"/>
      <c r="AQ94" s="1497"/>
      <c r="AR94" s="1496"/>
      <c r="AS94" s="1497"/>
      <c r="AT94" s="1496"/>
      <c r="AU94" s="1498"/>
    </row>
    <row r="95" spans="2:47" s="2001" customFormat="1" ht="12.75" customHeight="1">
      <c r="B95" s="1008" t="s">
        <v>359</v>
      </c>
      <c r="C95" s="2050" t="s">
        <v>2105</v>
      </c>
      <c r="D95" s="3906" t="s">
        <v>2110</v>
      </c>
      <c r="E95" s="3907"/>
      <c r="F95" s="3907"/>
      <c r="G95" s="3907"/>
      <c r="H95" s="3907"/>
      <c r="I95" s="3908"/>
      <c r="J95" s="1456"/>
      <c r="K95" s="2040"/>
      <c r="L95" s="2040"/>
      <c r="M95" s="2037"/>
      <c r="N95" s="2037"/>
      <c r="O95" s="2037"/>
      <c r="P95" s="2037"/>
      <c r="Q95" s="2037"/>
      <c r="R95" s="2037"/>
      <c r="S95" s="2037"/>
      <c r="T95" s="2037"/>
      <c r="U95" s="2037"/>
      <c r="V95" s="2037"/>
      <c r="W95" s="2037"/>
      <c r="X95" s="2037"/>
      <c r="Y95" s="2037"/>
      <c r="Z95" s="2037"/>
      <c r="AA95" s="2037"/>
      <c r="AB95" s="2037"/>
      <c r="AC95" s="2037"/>
      <c r="AD95" s="2037"/>
      <c r="AE95" s="2038"/>
      <c r="AF95" s="2038"/>
      <c r="AG95" s="2037"/>
      <c r="AH95" s="2037"/>
      <c r="AI95" s="2037"/>
      <c r="AJ95" s="2037"/>
      <c r="AK95" s="2037"/>
      <c r="AL95" s="2037"/>
      <c r="AM95" s="2037"/>
      <c r="AN95" s="2019"/>
      <c r="AO95" s="1456"/>
      <c r="AP95" s="1448"/>
      <c r="AQ95" s="1448"/>
      <c r="AR95" s="1448"/>
      <c r="AS95" s="1448"/>
      <c r="AT95" s="1448"/>
      <c r="AU95" s="1491"/>
    </row>
    <row r="96" spans="2:47" s="2001" customFormat="1" ht="12.75" customHeight="1">
      <c r="B96" s="1023"/>
      <c r="C96" s="1024" t="s">
        <v>2106</v>
      </c>
      <c r="D96" s="1029" t="s">
        <v>366</v>
      </c>
      <c r="E96" s="1030"/>
      <c r="F96" s="1030" t="s">
        <v>367</v>
      </c>
      <c r="G96" s="1030"/>
      <c r="H96" s="3862" t="s">
        <v>368</v>
      </c>
      <c r="I96" s="3863"/>
      <c r="J96" s="1449"/>
      <c r="K96" s="1450"/>
      <c r="L96" s="1450"/>
      <c r="M96" s="1134"/>
      <c r="N96" s="1134"/>
      <c r="O96" s="1134"/>
      <c r="P96" s="1134"/>
      <c r="Q96" s="1134"/>
      <c r="R96" s="1134"/>
      <c r="S96" s="1134"/>
      <c r="T96" s="1134"/>
      <c r="U96" s="1134"/>
      <c r="V96" s="1134"/>
      <c r="W96" s="1134"/>
      <c r="X96" s="1134"/>
      <c r="Y96" s="1134"/>
      <c r="Z96" s="1134"/>
      <c r="AA96" s="1134"/>
      <c r="AB96" s="1134"/>
      <c r="AC96" s="1134"/>
      <c r="AD96" s="1134"/>
      <c r="AE96" s="1134"/>
      <c r="AF96" s="1134"/>
      <c r="AG96" s="1134"/>
      <c r="AH96" s="1134"/>
      <c r="AI96" s="1134"/>
      <c r="AJ96" s="1134"/>
      <c r="AK96" s="1134"/>
      <c r="AL96" s="1134"/>
      <c r="AM96" s="2039"/>
      <c r="AN96" s="2020"/>
      <c r="AO96" s="1449"/>
      <c r="AP96" s="1450"/>
      <c r="AQ96" s="1450"/>
      <c r="AR96" s="1450"/>
      <c r="AS96" s="1450"/>
      <c r="AT96" s="1450"/>
      <c r="AU96" s="1492"/>
    </row>
    <row r="97" spans="2:47" s="2001" customFormat="1" ht="12.75" customHeight="1">
      <c r="B97" s="2108" t="str">
        <f>+$B$6</f>
        <v>事務所・店舗・百貨店</v>
      </c>
      <c r="C97" s="2258">
        <v>1794000</v>
      </c>
      <c r="D97" s="1041">
        <v>50</v>
      </c>
      <c r="E97" s="1039">
        <v>3.4</v>
      </c>
      <c r="F97" s="1039">
        <v>10</v>
      </c>
      <c r="G97" s="1039">
        <v>1</v>
      </c>
      <c r="H97" s="1039">
        <v>5</v>
      </c>
      <c r="I97" s="1040">
        <v>0.7</v>
      </c>
      <c r="J97" s="2045"/>
      <c r="K97" s="2046"/>
      <c r="L97" s="2046"/>
      <c r="M97" s="1082"/>
      <c r="N97" s="1082"/>
      <c r="O97" s="1082"/>
      <c r="P97" s="1082"/>
      <c r="Q97" s="1082"/>
      <c r="R97" s="1082"/>
      <c r="S97" s="2031"/>
      <c r="T97" s="1082"/>
      <c r="U97" s="1082"/>
      <c r="V97" s="2031"/>
      <c r="W97" s="1082"/>
      <c r="X97" s="1082"/>
      <c r="Y97" s="2031"/>
      <c r="Z97" s="1082"/>
      <c r="AA97" s="1082"/>
      <c r="AB97" s="1082"/>
      <c r="AC97" s="1082"/>
      <c r="AD97" s="1082"/>
      <c r="AE97" s="1082"/>
      <c r="AF97" s="1082"/>
      <c r="AG97" s="1101"/>
      <c r="AH97" s="1082"/>
      <c r="AI97" s="1101"/>
      <c r="AJ97" s="1082"/>
      <c r="AK97" s="1101"/>
      <c r="AL97" s="1082"/>
      <c r="AM97" s="2033"/>
      <c r="AN97" s="2013"/>
      <c r="AO97" s="1493"/>
      <c r="AP97" s="1450"/>
      <c r="AQ97" s="1494"/>
      <c r="AR97" s="1450"/>
      <c r="AS97" s="1494"/>
      <c r="AT97" s="1450"/>
      <c r="AU97" s="1492"/>
    </row>
    <row r="98" spans="2:47" s="2001" customFormat="1" ht="12.75" customHeight="1">
      <c r="B98" s="2109" t="str">
        <f>+$B$7</f>
        <v>住宅・アパート</v>
      </c>
      <c r="C98" s="1045">
        <v>1794000</v>
      </c>
      <c r="D98" s="1056">
        <v>50</v>
      </c>
      <c r="E98" s="1047">
        <v>3.4</v>
      </c>
      <c r="F98" s="1047">
        <v>10</v>
      </c>
      <c r="G98" s="1047">
        <v>1</v>
      </c>
      <c r="H98" s="1047">
        <v>5</v>
      </c>
      <c r="I98" s="1048">
        <v>0.7</v>
      </c>
      <c r="J98" s="1081"/>
      <c r="K98" s="2031"/>
      <c r="L98" s="1082"/>
      <c r="M98" s="1082"/>
      <c r="N98" s="1082"/>
      <c r="O98" s="1082"/>
      <c r="P98" s="1082"/>
      <c r="Q98" s="1082"/>
      <c r="R98" s="1082"/>
      <c r="S98" s="2031"/>
      <c r="T98" s="1082"/>
      <c r="U98" s="1082"/>
      <c r="V98" s="2031"/>
      <c r="W98" s="1082"/>
      <c r="X98" s="1082"/>
      <c r="Y98" s="2031"/>
      <c r="Z98" s="1082"/>
      <c r="AA98" s="1082"/>
      <c r="AB98" s="1082"/>
      <c r="AC98" s="1082"/>
      <c r="AD98" s="1082"/>
      <c r="AE98" s="1082"/>
      <c r="AF98" s="1082"/>
      <c r="AG98" s="1101"/>
      <c r="AH98" s="1082"/>
      <c r="AI98" s="1101"/>
      <c r="AJ98" s="1082"/>
      <c r="AK98" s="1101"/>
      <c r="AL98" s="1082"/>
      <c r="AM98" s="2032"/>
      <c r="AN98" s="2013"/>
      <c r="AO98" s="1493"/>
      <c r="AP98" s="1450"/>
      <c r="AQ98" s="1494"/>
      <c r="AR98" s="1450"/>
      <c r="AS98" s="1494"/>
      <c r="AT98" s="1450"/>
      <c r="AU98" s="1492"/>
    </row>
    <row r="99" spans="2:47" s="2001" customFormat="1" ht="12.75" customHeight="1">
      <c r="B99" s="2109" t="str">
        <f>+$B$8</f>
        <v>病院・ホテル</v>
      </c>
      <c r="C99" s="1045">
        <v>1794000</v>
      </c>
      <c r="D99" s="1056">
        <v>50</v>
      </c>
      <c r="E99" s="1047">
        <v>3.4</v>
      </c>
      <c r="F99" s="1047">
        <v>10</v>
      </c>
      <c r="G99" s="1047">
        <v>1</v>
      </c>
      <c r="H99" s="1047">
        <v>5</v>
      </c>
      <c r="I99" s="1048">
        <v>0.7</v>
      </c>
      <c r="J99" s="1081"/>
      <c r="K99" s="2031"/>
      <c r="L99" s="1082"/>
      <c r="M99" s="1082"/>
      <c r="N99" s="1082"/>
      <c r="O99" s="1082"/>
      <c r="P99" s="1082"/>
      <c r="Q99" s="1082"/>
      <c r="R99" s="1082"/>
      <c r="S99" s="2031"/>
      <c r="T99" s="1082"/>
      <c r="U99" s="1082"/>
      <c r="V99" s="2031"/>
      <c r="W99" s="1082"/>
      <c r="X99" s="1082"/>
      <c r="Y99" s="2031"/>
      <c r="Z99" s="1082"/>
      <c r="AA99" s="1082"/>
      <c r="AB99" s="1082"/>
      <c r="AC99" s="1082"/>
      <c r="AD99" s="1082"/>
      <c r="AE99" s="1082"/>
      <c r="AF99" s="1082"/>
      <c r="AG99" s="1101"/>
      <c r="AH99" s="1082"/>
      <c r="AI99" s="1101"/>
      <c r="AJ99" s="1082"/>
      <c r="AK99" s="1101"/>
      <c r="AL99" s="1082"/>
      <c r="AM99" s="2033"/>
      <c r="AN99" s="2013"/>
      <c r="AO99" s="1493"/>
      <c r="AP99" s="1450"/>
      <c r="AQ99" s="1494"/>
      <c r="AR99" s="1450"/>
      <c r="AS99" s="1494"/>
      <c r="AT99" s="1450"/>
      <c r="AU99" s="1492"/>
    </row>
    <row r="100" spans="2:47" s="2001" customFormat="1" ht="12.75" customHeight="1">
      <c r="B100" s="2109" t="str">
        <f>+$B$9</f>
        <v>工場・倉庫・市場</v>
      </c>
      <c r="C100" s="1045">
        <v>1794000</v>
      </c>
      <c r="D100" s="1056">
        <v>50</v>
      </c>
      <c r="E100" s="1047">
        <v>3.4</v>
      </c>
      <c r="F100" s="1047">
        <v>10</v>
      </c>
      <c r="G100" s="1047">
        <v>1</v>
      </c>
      <c r="H100" s="1047">
        <v>5</v>
      </c>
      <c r="I100" s="1048">
        <v>0.7</v>
      </c>
      <c r="J100" s="1081"/>
      <c r="K100" s="2031"/>
      <c r="L100" s="1082"/>
      <c r="M100" s="1082"/>
      <c r="N100" s="1082"/>
      <c r="O100" s="1082"/>
      <c r="P100" s="1082"/>
      <c r="Q100" s="1082"/>
      <c r="R100" s="1082"/>
      <c r="S100" s="2031"/>
      <c r="T100" s="1082"/>
      <c r="U100" s="1082"/>
      <c r="V100" s="2031"/>
      <c r="W100" s="1082"/>
      <c r="X100" s="1082"/>
      <c r="Y100" s="2031"/>
      <c r="Z100" s="1082"/>
      <c r="AA100" s="1082"/>
      <c r="AB100" s="1082"/>
      <c r="AC100" s="1082"/>
      <c r="AD100" s="1082"/>
      <c r="AE100" s="1082"/>
      <c r="AF100" s="1082"/>
      <c r="AG100" s="1101"/>
      <c r="AH100" s="1082"/>
      <c r="AI100" s="1101"/>
      <c r="AJ100" s="1082"/>
      <c r="AK100" s="1101"/>
      <c r="AL100" s="1082"/>
      <c r="AM100" s="2033"/>
      <c r="AN100" s="2013"/>
      <c r="AO100" s="1493"/>
      <c r="AP100" s="1450"/>
      <c r="AQ100" s="1494"/>
      <c r="AR100" s="1450"/>
      <c r="AS100" s="1494"/>
      <c r="AT100" s="1450"/>
      <c r="AU100" s="1492"/>
    </row>
    <row r="101" spans="2:47" s="2001" customFormat="1" ht="12.75" customHeight="1">
      <c r="B101" s="2110" t="str">
        <f>+$B$10</f>
        <v>劇場型建物</v>
      </c>
      <c r="C101" s="2463">
        <v>1794000</v>
      </c>
      <c r="D101" s="1063">
        <v>50</v>
      </c>
      <c r="E101" s="1061">
        <v>3.4</v>
      </c>
      <c r="F101" s="1061">
        <v>10</v>
      </c>
      <c r="G101" s="1061">
        <v>1</v>
      </c>
      <c r="H101" s="1061">
        <v>5</v>
      </c>
      <c r="I101" s="1062">
        <v>0.7</v>
      </c>
      <c r="J101" s="1857"/>
      <c r="K101" s="2034"/>
      <c r="L101" s="1858"/>
      <c r="M101" s="1858"/>
      <c r="N101" s="1858"/>
      <c r="O101" s="1858"/>
      <c r="P101" s="1858"/>
      <c r="Q101" s="1858"/>
      <c r="R101" s="1858"/>
      <c r="S101" s="2034"/>
      <c r="T101" s="1858"/>
      <c r="U101" s="1858"/>
      <c r="V101" s="2034"/>
      <c r="W101" s="1858"/>
      <c r="X101" s="1858"/>
      <c r="Y101" s="2034"/>
      <c r="Z101" s="1858"/>
      <c r="AA101" s="1858"/>
      <c r="AB101" s="1858"/>
      <c r="AC101" s="1858"/>
      <c r="AD101" s="1858"/>
      <c r="AE101" s="1858"/>
      <c r="AF101" s="1858"/>
      <c r="AG101" s="2035"/>
      <c r="AH101" s="1858"/>
      <c r="AI101" s="2035"/>
      <c r="AJ101" s="1858"/>
      <c r="AK101" s="2035"/>
      <c r="AL101" s="1858"/>
      <c r="AM101" s="2036"/>
      <c r="AN101" s="2016"/>
      <c r="AO101" s="1495"/>
      <c r="AP101" s="1496"/>
      <c r="AQ101" s="1497"/>
      <c r="AR101" s="1496"/>
      <c r="AS101" s="1497"/>
      <c r="AT101" s="1496"/>
      <c r="AU101" s="1498"/>
    </row>
    <row r="102" spans="2:47" s="2001" customFormat="1" ht="12.75" customHeight="1">
      <c r="B102" s="1008" t="s">
        <v>359</v>
      </c>
      <c r="C102" s="1009" t="s">
        <v>2103</v>
      </c>
      <c r="D102" s="3894" t="s">
        <v>2111</v>
      </c>
      <c r="E102" s="3895"/>
      <c r="F102" s="3895"/>
      <c r="G102" s="3895"/>
      <c r="H102" s="3895"/>
      <c r="I102" s="3896"/>
      <c r="J102" s="3894" t="s">
        <v>2112</v>
      </c>
      <c r="K102" s="3895"/>
      <c r="L102" s="3895"/>
      <c r="M102" s="3895"/>
      <c r="N102" s="3895"/>
      <c r="O102" s="3896"/>
      <c r="P102" s="1456"/>
      <c r="Q102" s="2040"/>
      <c r="R102" s="2040"/>
      <c r="S102" s="2040"/>
      <c r="T102" s="2040"/>
      <c r="U102" s="2041"/>
      <c r="V102" s="1131"/>
      <c r="W102" s="2037"/>
      <c r="X102" s="2037"/>
      <c r="Y102" s="2037"/>
      <c r="Z102" s="2037"/>
      <c r="AA102" s="2037"/>
      <c r="AB102" s="2037"/>
      <c r="AC102" s="2037"/>
      <c r="AD102" s="2037"/>
      <c r="AE102" s="2038"/>
      <c r="AF102" s="2038"/>
      <c r="AG102" s="2037"/>
      <c r="AH102" s="2037"/>
      <c r="AI102" s="2037"/>
      <c r="AJ102" s="2037"/>
      <c r="AK102" s="2037"/>
      <c r="AL102" s="2037"/>
      <c r="AM102" s="2037"/>
      <c r="AN102" s="2019"/>
      <c r="AO102" s="1456"/>
      <c r="AP102" s="1448"/>
      <c r="AQ102" s="1448"/>
      <c r="AR102" s="1448"/>
      <c r="AS102" s="1448"/>
      <c r="AT102" s="1448"/>
      <c r="AU102" s="1491"/>
    </row>
    <row r="103" spans="2:47" s="2001" customFormat="1" ht="12.75" customHeight="1">
      <c r="B103" s="1023"/>
      <c r="C103" s="1024" t="s">
        <v>2104</v>
      </c>
      <c r="D103" s="1029" t="s">
        <v>366</v>
      </c>
      <c r="E103" s="1030"/>
      <c r="F103" s="1030" t="s">
        <v>367</v>
      </c>
      <c r="G103" s="1030"/>
      <c r="H103" s="3862" t="s">
        <v>368</v>
      </c>
      <c r="I103" s="3863"/>
      <c r="J103" s="1029" t="s">
        <v>366</v>
      </c>
      <c r="K103" s="1030"/>
      <c r="L103" s="1030" t="s">
        <v>367</v>
      </c>
      <c r="M103" s="1030"/>
      <c r="N103" s="3862" t="s">
        <v>368</v>
      </c>
      <c r="O103" s="3863"/>
      <c r="P103" s="1079"/>
      <c r="Q103" s="1080"/>
      <c r="R103" s="1080"/>
      <c r="S103" s="1450"/>
      <c r="T103" s="1450"/>
      <c r="U103" s="2042"/>
      <c r="V103" s="1133"/>
      <c r="W103" s="1134"/>
      <c r="X103" s="1134"/>
      <c r="Y103" s="1134"/>
      <c r="Z103" s="1134"/>
      <c r="AA103" s="1134"/>
      <c r="AB103" s="1134"/>
      <c r="AC103" s="1134"/>
      <c r="AD103" s="1134"/>
      <c r="AE103" s="1134"/>
      <c r="AF103" s="1134"/>
      <c r="AG103" s="1134"/>
      <c r="AH103" s="1134"/>
      <c r="AI103" s="1134"/>
      <c r="AJ103" s="1134"/>
      <c r="AK103" s="1134"/>
      <c r="AL103" s="1134"/>
      <c r="AM103" s="2039"/>
      <c r="AN103" s="2020"/>
      <c r="AO103" s="1449"/>
      <c r="AP103" s="1450"/>
      <c r="AQ103" s="1450"/>
      <c r="AR103" s="1450"/>
      <c r="AS103" s="1450"/>
      <c r="AT103" s="1450"/>
      <c r="AU103" s="1492"/>
    </row>
    <row r="104" spans="2:47" s="2001" customFormat="1" ht="12.75" customHeight="1">
      <c r="B104" s="2108" t="str">
        <f>+$B$6</f>
        <v>事務所・店舗・百貨店</v>
      </c>
      <c r="C104" s="2258">
        <v>722400</v>
      </c>
      <c r="D104" s="1041">
        <v>5.5</v>
      </c>
      <c r="E104" s="1039">
        <v>1.3</v>
      </c>
      <c r="F104" s="1039">
        <v>2.2000000000000002</v>
      </c>
      <c r="G104" s="1039">
        <v>1</v>
      </c>
      <c r="H104" s="1039">
        <v>1.1000000000000001</v>
      </c>
      <c r="I104" s="1040">
        <v>0.9</v>
      </c>
      <c r="J104" s="1041">
        <v>50</v>
      </c>
      <c r="K104" s="1039">
        <v>1.05</v>
      </c>
      <c r="L104" s="1039">
        <v>40</v>
      </c>
      <c r="M104" s="1039">
        <v>1</v>
      </c>
      <c r="N104" s="1039">
        <v>25</v>
      </c>
      <c r="O104" s="1040">
        <v>0.95</v>
      </c>
      <c r="P104" s="2045"/>
      <c r="Q104" s="2046"/>
      <c r="R104" s="2046"/>
      <c r="S104" s="2046"/>
      <c r="T104" s="2046"/>
      <c r="U104" s="2049"/>
      <c r="V104" s="2043"/>
      <c r="W104" s="1082"/>
      <c r="X104" s="1082"/>
      <c r="Y104" s="2031"/>
      <c r="Z104" s="1082"/>
      <c r="AA104" s="1082"/>
      <c r="AB104" s="1082"/>
      <c r="AC104" s="1082"/>
      <c r="AD104" s="1082"/>
      <c r="AE104" s="1082"/>
      <c r="AF104" s="1082"/>
      <c r="AG104" s="1101"/>
      <c r="AH104" s="1082"/>
      <c r="AI104" s="1101"/>
      <c r="AJ104" s="1082"/>
      <c r="AK104" s="1101"/>
      <c r="AL104" s="1082"/>
      <c r="AM104" s="2033"/>
      <c r="AN104" s="2013"/>
      <c r="AO104" s="1493"/>
      <c r="AP104" s="1450"/>
      <c r="AQ104" s="1494"/>
      <c r="AR104" s="1450"/>
      <c r="AS104" s="1494"/>
      <c r="AT104" s="1450"/>
      <c r="AU104" s="1492"/>
    </row>
    <row r="105" spans="2:47" s="2001" customFormat="1" ht="12.75" customHeight="1">
      <c r="B105" s="2109" t="str">
        <f>+$B$7</f>
        <v>住宅・アパート</v>
      </c>
      <c r="C105" s="1045">
        <v>722400</v>
      </c>
      <c r="D105" s="1056">
        <v>5.5</v>
      </c>
      <c r="E105" s="1047">
        <v>1.3</v>
      </c>
      <c r="F105" s="1047">
        <v>2.2000000000000002</v>
      </c>
      <c r="G105" s="1047">
        <v>1</v>
      </c>
      <c r="H105" s="1047">
        <v>1.1000000000000001</v>
      </c>
      <c r="I105" s="1048">
        <v>0.9</v>
      </c>
      <c r="J105" s="1056">
        <v>50</v>
      </c>
      <c r="K105" s="1047">
        <v>1.05</v>
      </c>
      <c r="L105" s="1047">
        <v>40</v>
      </c>
      <c r="M105" s="1047">
        <v>1</v>
      </c>
      <c r="N105" s="1047">
        <v>25</v>
      </c>
      <c r="O105" s="1048">
        <v>0.95</v>
      </c>
      <c r="P105" s="1081"/>
      <c r="Q105" s="2031"/>
      <c r="R105" s="1082"/>
      <c r="S105" s="1082"/>
      <c r="T105" s="2031"/>
      <c r="U105" s="2013"/>
      <c r="V105" s="2043"/>
      <c r="W105" s="1082"/>
      <c r="X105" s="1082"/>
      <c r="Y105" s="2031"/>
      <c r="Z105" s="1082"/>
      <c r="AA105" s="1082"/>
      <c r="AB105" s="1082"/>
      <c r="AC105" s="1082"/>
      <c r="AD105" s="1082"/>
      <c r="AE105" s="1082"/>
      <c r="AF105" s="1082"/>
      <c r="AG105" s="1101"/>
      <c r="AH105" s="1082"/>
      <c r="AI105" s="1101"/>
      <c r="AJ105" s="1082"/>
      <c r="AK105" s="1101"/>
      <c r="AL105" s="1082"/>
      <c r="AM105" s="2032"/>
      <c r="AN105" s="2013"/>
      <c r="AO105" s="1493"/>
      <c r="AP105" s="1450"/>
      <c r="AQ105" s="1494"/>
      <c r="AR105" s="1450"/>
      <c r="AS105" s="1494"/>
      <c r="AT105" s="1450"/>
      <c r="AU105" s="1492"/>
    </row>
    <row r="106" spans="2:47" s="2001" customFormat="1" ht="12.75" customHeight="1">
      <c r="B106" s="2109" t="str">
        <f>+$B$8</f>
        <v>病院・ホテル</v>
      </c>
      <c r="C106" s="1045">
        <v>722400</v>
      </c>
      <c r="D106" s="1056">
        <v>5.5</v>
      </c>
      <c r="E106" s="1047">
        <v>1.3</v>
      </c>
      <c r="F106" s="1047">
        <v>2.2000000000000002</v>
      </c>
      <c r="G106" s="1047">
        <v>1</v>
      </c>
      <c r="H106" s="1047">
        <v>1.1000000000000001</v>
      </c>
      <c r="I106" s="1048">
        <v>0.9</v>
      </c>
      <c r="J106" s="1056">
        <v>50</v>
      </c>
      <c r="K106" s="1047">
        <v>1.05</v>
      </c>
      <c r="L106" s="1047">
        <v>40</v>
      </c>
      <c r="M106" s="1047">
        <v>1</v>
      </c>
      <c r="N106" s="1047">
        <v>25</v>
      </c>
      <c r="O106" s="1048">
        <v>0.95</v>
      </c>
      <c r="P106" s="1081"/>
      <c r="Q106" s="2031"/>
      <c r="R106" s="1082"/>
      <c r="S106" s="1082"/>
      <c r="T106" s="2031"/>
      <c r="U106" s="2013"/>
      <c r="V106" s="2043"/>
      <c r="W106" s="1082"/>
      <c r="X106" s="1082"/>
      <c r="Y106" s="2031"/>
      <c r="Z106" s="1082"/>
      <c r="AA106" s="1082"/>
      <c r="AB106" s="1082"/>
      <c r="AC106" s="1082"/>
      <c r="AD106" s="1082"/>
      <c r="AE106" s="1082"/>
      <c r="AF106" s="1082"/>
      <c r="AG106" s="1101"/>
      <c r="AH106" s="1082"/>
      <c r="AI106" s="1101"/>
      <c r="AJ106" s="1082"/>
      <c r="AK106" s="1101"/>
      <c r="AL106" s="1082"/>
      <c r="AM106" s="2033"/>
      <c r="AN106" s="2013"/>
      <c r="AO106" s="1493"/>
      <c r="AP106" s="1450"/>
      <c r="AQ106" s="1494"/>
      <c r="AR106" s="1450"/>
      <c r="AS106" s="1494"/>
      <c r="AT106" s="1450"/>
      <c r="AU106" s="1492"/>
    </row>
    <row r="107" spans="2:47" s="2001" customFormat="1" ht="12.75" customHeight="1">
      <c r="B107" s="2109" t="str">
        <f>+$B$9</f>
        <v>工場・倉庫・市場</v>
      </c>
      <c r="C107" s="1045">
        <v>722400</v>
      </c>
      <c r="D107" s="1056">
        <v>5.5</v>
      </c>
      <c r="E107" s="1047">
        <v>1.3</v>
      </c>
      <c r="F107" s="1047">
        <v>2.2000000000000002</v>
      </c>
      <c r="G107" s="1047">
        <v>1</v>
      </c>
      <c r="H107" s="1047">
        <v>1.1000000000000001</v>
      </c>
      <c r="I107" s="1048">
        <v>0.9</v>
      </c>
      <c r="J107" s="1056">
        <v>50</v>
      </c>
      <c r="K107" s="1047">
        <v>1.05</v>
      </c>
      <c r="L107" s="1047">
        <v>40</v>
      </c>
      <c r="M107" s="1047">
        <v>1</v>
      </c>
      <c r="N107" s="1047">
        <v>25</v>
      </c>
      <c r="O107" s="1048">
        <v>0.95</v>
      </c>
      <c r="P107" s="1081"/>
      <c r="Q107" s="2031"/>
      <c r="R107" s="1082"/>
      <c r="S107" s="1082"/>
      <c r="T107" s="2031"/>
      <c r="U107" s="2013"/>
      <c r="V107" s="2043"/>
      <c r="W107" s="1082"/>
      <c r="X107" s="1082"/>
      <c r="Y107" s="2031"/>
      <c r="Z107" s="1082"/>
      <c r="AA107" s="1082"/>
      <c r="AB107" s="1082"/>
      <c r="AC107" s="1082"/>
      <c r="AD107" s="1082"/>
      <c r="AE107" s="1082"/>
      <c r="AF107" s="1082"/>
      <c r="AG107" s="1101"/>
      <c r="AH107" s="1082"/>
      <c r="AI107" s="1101"/>
      <c r="AJ107" s="1082"/>
      <c r="AK107" s="1101"/>
      <c r="AL107" s="1082"/>
      <c r="AM107" s="2033"/>
      <c r="AN107" s="2013"/>
      <c r="AO107" s="1493"/>
      <c r="AP107" s="1450"/>
      <c r="AQ107" s="1494"/>
      <c r="AR107" s="1450"/>
      <c r="AS107" s="1494"/>
      <c r="AT107" s="1450"/>
      <c r="AU107" s="1492"/>
    </row>
    <row r="108" spans="2:47" s="2001" customFormat="1" ht="12.75" customHeight="1">
      <c r="B108" s="2110" t="str">
        <f>+$B$10</f>
        <v>劇場型建物</v>
      </c>
      <c r="C108" s="2463">
        <v>722400</v>
      </c>
      <c r="D108" s="1063">
        <v>5.5</v>
      </c>
      <c r="E108" s="1061">
        <v>1.3</v>
      </c>
      <c r="F108" s="1061">
        <v>2.2000000000000002</v>
      </c>
      <c r="G108" s="1061">
        <v>1</v>
      </c>
      <c r="H108" s="1061">
        <v>1.1000000000000001</v>
      </c>
      <c r="I108" s="1062">
        <v>0.9</v>
      </c>
      <c r="J108" s="1063">
        <v>50</v>
      </c>
      <c r="K108" s="1061">
        <v>1.05</v>
      </c>
      <c r="L108" s="1061">
        <v>40</v>
      </c>
      <c r="M108" s="1061">
        <v>1</v>
      </c>
      <c r="N108" s="1061">
        <v>25</v>
      </c>
      <c r="O108" s="1062">
        <v>0.95</v>
      </c>
      <c r="P108" s="1857"/>
      <c r="Q108" s="2034"/>
      <c r="R108" s="1858"/>
      <c r="S108" s="1858"/>
      <c r="T108" s="2034"/>
      <c r="U108" s="2016"/>
      <c r="V108" s="2044"/>
      <c r="W108" s="1858"/>
      <c r="X108" s="1858"/>
      <c r="Y108" s="2034"/>
      <c r="Z108" s="1858"/>
      <c r="AA108" s="1858"/>
      <c r="AB108" s="1858"/>
      <c r="AC108" s="1858"/>
      <c r="AD108" s="1858"/>
      <c r="AE108" s="1858"/>
      <c r="AF108" s="1858"/>
      <c r="AG108" s="2035"/>
      <c r="AH108" s="1858"/>
      <c r="AI108" s="2035"/>
      <c r="AJ108" s="1858"/>
      <c r="AK108" s="2035"/>
      <c r="AL108" s="1858"/>
      <c r="AM108" s="2036"/>
      <c r="AN108" s="2016"/>
      <c r="AO108" s="1495"/>
      <c r="AP108" s="1496"/>
      <c r="AQ108" s="1497"/>
      <c r="AR108" s="1496"/>
      <c r="AS108" s="1497"/>
      <c r="AT108" s="1496"/>
      <c r="AU108" s="1498"/>
    </row>
    <row r="109" spans="2:47" s="2001" customFormat="1" ht="12.75" customHeight="1">
      <c r="B109" s="1008" t="s">
        <v>359</v>
      </c>
      <c r="C109" s="1009" t="s">
        <v>2113</v>
      </c>
      <c r="D109" s="3894" t="s">
        <v>2109</v>
      </c>
      <c r="E109" s="3895"/>
      <c r="F109" s="3895"/>
      <c r="G109" s="3895"/>
      <c r="H109" s="3895"/>
      <c r="I109" s="3896"/>
      <c r="J109" s="1456"/>
      <c r="K109" s="2040"/>
      <c r="L109" s="2040"/>
      <c r="M109" s="2037"/>
      <c r="N109" s="2037"/>
      <c r="O109" s="2037"/>
      <c r="P109" s="2037"/>
      <c r="Q109" s="2037"/>
      <c r="R109" s="2037"/>
      <c r="S109" s="2037"/>
      <c r="T109" s="2037"/>
      <c r="U109" s="2037"/>
      <c r="V109" s="2037"/>
      <c r="W109" s="2037"/>
      <c r="X109" s="2037"/>
      <c r="Y109" s="2037"/>
      <c r="Z109" s="2037"/>
      <c r="AA109" s="2037"/>
      <c r="AB109" s="2037"/>
      <c r="AC109" s="2037"/>
      <c r="AD109" s="2040"/>
      <c r="AE109" s="2040"/>
      <c r="AF109" s="2040"/>
      <c r="AG109" s="2040"/>
      <c r="AH109" s="2040"/>
      <c r="AI109" s="2040"/>
      <c r="AJ109" s="2040"/>
      <c r="AK109" s="2040"/>
      <c r="AL109" s="2040"/>
      <c r="AM109" s="2040"/>
      <c r="AN109" s="2041"/>
      <c r="AO109" s="1456"/>
      <c r="AP109" s="1448"/>
      <c r="AQ109" s="1448"/>
      <c r="AR109" s="1448"/>
      <c r="AS109" s="1448"/>
      <c r="AT109" s="1448"/>
      <c r="AU109" s="1491"/>
    </row>
    <row r="110" spans="2:47" s="2001" customFormat="1" ht="12.75" customHeight="1">
      <c r="B110" s="1023"/>
      <c r="C110" s="1024" t="s">
        <v>2114</v>
      </c>
      <c r="D110" s="1029" t="s">
        <v>366</v>
      </c>
      <c r="E110" s="1030"/>
      <c r="F110" s="1030" t="s">
        <v>367</v>
      </c>
      <c r="G110" s="1030"/>
      <c r="H110" s="3862" t="s">
        <v>368</v>
      </c>
      <c r="I110" s="3863"/>
      <c r="J110" s="1449"/>
      <c r="K110" s="1450"/>
      <c r="L110" s="1450"/>
      <c r="M110" s="1134"/>
      <c r="N110" s="1134"/>
      <c r="O110" s="1134"/>
      <c r="P110" s="1134"/>
      <c r="Q110" s="1134"/>
      <c r="R110" s="1134"/>
      <c r="S110" s="1134"/>
      <c r="T110" s="1134"/>
      <c r="U110" s="1134"/>
      <c r="V110" s="1134"/>
      <c r="W110" s="1134"/>
      <c r="X110" s="1134"/>
      <c r="Y110" s="1134"/>
      <c r="Z110" s="1134"/>
      <c r="AA110" s="1134"/>
      <c r="AB110" s="1134"/>
      <c r="AC110" s="1134"/>
      <c r="AD110" s="1450"/>
      <c r="AE110" s="1450"/>
      <c r="AF110" s="1450"/>
      <c r="AG110" s="1450"/>
      <c r="AH110" s="1450"/>
      <c r="AI110" s="1450"/>
      <c r="AJ110" s="1450"/>
      <c r="AK110" s="1450"/>
      <c r="AL110" s="1450"/>
      <c r="AM110" s="1450"/>
      <c r="AN110" s="2042"/>
      <c r="AO110" s="1449"/>
      <c r="AP110" s="1450"/>
      <c r="AQ110" s="1450"/>
      <c r="AR110" s="1450"/>
      <c r="AS110" s="1450"/>
      <c r="AT110" s="1450"/>
      <c r="AU110" s="1492"/>
    </row>
    <row r="111" spans="2:47" s="2001" customFormat="1" ht="12.75" customHeight="1">
      <c r="B111" s="2108" t="str">
        <f>+$B$6</f>
        <v>事務所・店舗・百貨店</v>
      </c>
      <c r="C111" s="2258">
        <v>44710</v>
      </c>
      <c r="D111" s="1041">
        <v>4</v>
      </c>
      <c r="E111" s="1039">
        <v>1.2</v>
      </c>
      <c r="F111" s="1039">
        <v>3</v>
      </c>
      <c r="G111" s="1039">
        <v>1</v>
      </c>
      <c r="H111" s="1039">
        <v>2.7</v>
      </c>
      <c r="I111" s="1040">
        <v>0.95</v>
      </c>
      <c r="J111" s="2045"/>
      <c r="K111" s="2046"/>
      <c r="L111" s="2046"/>
      <c r="M111" s="1082"/>
      <c r="N111" s="1082"/>
      <c r="O111" s="1082"/>
      <c r="P111" s="1082"/>
      <c r="Q111" s="1082"/>
      <c r="R111" s="1082"/>
      <c r="S111" s="2031"/>
      <c r="T111" s="1082"/>
      <c r="U111" s="1082"/>
      <c r="V111" s="2031"/>
      <c r="W111" s="1082"/>
      <c r="X111" s="1082"/>
      <c r="Y111" s="2031"/>
      <c r="Z111" s="1082"/>
      <c r="AA111" s="1082"/>
      <c r="AB111" s="1082"/>
      <c r="AC111" s="1082"/>
      <c r="AD111" s="1082"/>
      <c r="AE111" s="1082"/>
      <c r="AF111" s="1082"/>
      <c r="AG111" s="1101"/>
      <c r="AH111" s="1082"/>
      <c r="AI111" s="1101"/>
      <c r="AJ111" s="1082"/>
      <c r="AK111" s="1101"/>
      <c r="AL111" s="1082"/>
      <c r="AM111" s="2033"/>
      <c r="AN111" s="2013"/>
      <c r="AO111" s="1493"/>
      <c r="AP111" s="1450"/>
      <c r="AQ111" s="1494"/>
      <c r="AR111" s="1450"/>
      <c r="AS111" s="1494"/>
      <c r="AT111" s="1450"/>
      <c r="AU111" s="1492"/>
    </row>
    <row r="112" spans="2:47" s="2001" customFormat="1" ht="12.75" customHeight="1">
      <c r="B112" s="2109" t="str">
        <f>+$B$7</f>
        <v>住宅・アパート</v>
      </c>
      <c r="C112" s="1045">
        <v>44710</v>
      </c>
      <c r="D112" s="1056">
        <v>4</v>
      </c>
      <c r="E112" s="1047">
        <v>1.2</v>
      </c>
      <c r="F112" s="1047">
        <v>3</v>
      </c>
      <c r="G112" s="1047">
        <v>1</v>
      </c>
      <c r="H112" s="1047">
        <v>2.7</v>
      </c>
      <c r="I112" s="1048">
        <v>0.95</v>
      </c>
      <c r="J112" s="1081"/>
      <c r="K112" s="2031"/>
      <c r="L112" s="1082"/>
      <c r="M112" s="1082"/>
      <c r="N112" s="1082"/>
      <c r="O112" s="1082"/>
      <c r="P112" s="1082"/>
      <c r="Q112" s="1082"/>
      <c r="R112" s="1082"/>
      <c r="S112" s="2031"/>
      <c r="T112" s="1082"/>
      <c r="U112" s="1082"/>
      <c r="V112" s="2031"/>
      <c r="W112" s="1082"/>
      <c r="X112" s="1082"/>
      <c r="Y112" s="2031"/>
      <c r="Z112" s="1082"/>
      <c r="AA112" s="1082"/>
      <c r="AB112" s="1082"/>
      <c r="AC112" s="1082"/>
      <c r="AD112" s="1082"/>
      <c r="AE112" s="1082"/>
      <c r="AF112" s="1082"/>
      <c r="AG112" s="1101"/>
      <c r="AH112" s="1082"/>
      <c r="AI112" s="1101"/>
      <c r="AJ112" s="1082"/>
      <c r="AK112" s="1101"/>
      <c r="AL112" s="1082"/>
      <c r="AM112" s="2032"/>
      <c r="AN112" s="2013"/>
      <c r="AO112" s="1493"/>
      <c r="AP112" s="1450"/>
      <c r="AQ112" s="1494"/>
      <c r="AR112" s="1450"/>
      <c r="AS112" s="1494"/>
      <c r="AT112" s="1450"/>
      <c r="AU112" s="1492"/>
    </row>
    <row r="113" spans="2:47" s="2001" customFormat="1" ht="12.75" customHeight="1">
      <c r="B113" s="2109" t="str">
        <f>+$B$8</f>
        <v>病院・ホテル</v>
      </c>
      <c r="C113" s="1045">
        <v>44710</v>
      </c>
      <c r="D113" s="1056">
        <v>4</v>
      </c>
      <c r="E113" s="1047">
        <v>1.2</v>
      </c>
      <c r="F113" s="1047">
        <v>3</v>
      </c>
      <c r="G113" s="1047">
        <v>1</v>
      </c>
      <c r="H113" s="1047">
        <v>2.7</v>
      </c>
      <c r="I113" s="1048">
        <v>0.95</v>
      </c>
      <c r="J113" s="1081"/>
      <c r="K113" s="2031"/>
      <c r="L113" s="1082"/>
      <c r="M113" s="1082"/>
      <c r="N113" s="1082"/>
      <c r="O113" s="1082"/>
      <c r="P113" s="1082"/>
      <c r="Q113" s="1082"/>
      <c r="R113" s="1082"/>
      <c r="S113" s="2031"/>
      <c r="T113" s="1082"/>
      <c r="U113" s="1082"/>
      <c r="V113" s="2031"/>
      <c r="W113" s="1082"/>
      <c r="X113" s="1082"/>
      <c r="Y113" s="2031"/>
      <c r="Z113" s="1082"/>
      <c r="AA113" s="1082"/>
      <c r="AB113" s="1082"/>
      <c r="AC113" s="1082"/>
      <c r="AD113" s="1082"/>
      <c r="AE113" s="1082"/>
      <c r="AF113" s="1082"/>
      <c r="AG113" s="1101"/>
      <c r="AH113" s="1082"/>
      <c r="AI113" s="1101"/>
      <c r="AJ113" s="1082"/>
      <c r="AK113" s="1101"/>
      <c r="AL113" s="1082"/>
      <c r="AM113" s="2033"/>
      <c r="AN113" s="2013"/>
      <c r="AO113" s="1493"/>
      <c r="AP113" s="1450"/>
      <c r="AQ113" s="1494"/>
      <c r="AR113" s="1450"/>
      <c r="AS113" s="1494"/>
      <c r="AT113" s="1450"/>
      <c r="AU113" s="1492"/>
    </row>
    <row r="114" spans="2:47" s="2001" customFormat="1" ht="12.75" customHeight="1">
      <c r="B114" s="2109" t="str">
        <f>+$B$9</f>
        <v>工場・倉庫・市場</v>
      </c>
      <c r="C114" s="1045">
        <v>44710</v>
      </c>
      <c r="D114" s="1056">
        <v>4</v>
      </c>
      <c r="E114" s="1047">
        <v>1.2</v>
      </c>
      <c r="F114" s="1047">
        <v>3</v>
      </c>
      <c r="G114" s="1047">
        <v>1</v>
      </c>
      <c r="H114" s="1047">
        <v>2.7</v>
      </c>
      <c r="I114" s="1048">
        <v>0.95</v>
      </c>
      <c r="J114" s="1081"/>
      <c r="K114" s="2031"/>
      <c r="L114" s="1082"/>
      <c r="M114" s="1082"/>
      <c r="N114" s="1082"/>
      <c r="O114" s="1082"/>
      <c r="P114" s="1082"/>
      <c r="Q114" s="1082"/>
      <c r="R114" s="1082"/>
      <c r="S114" s="2031"/>
      <c r="T114" s="1082"/>
      <c r="U114" s="1082"/>
      <c r="V114" s="2031"/>
      <c r="W114" s="1082"/>
      <c r="X114" s="1082"/>
      <c r="Y114" s="2031"/>
      <c r="Z114" s="1082"/>
      <c r="AA114" s="1082"/>
      <c r="AB114" s="1082"/>
      <c r="AC114" s="1082"/>
      <c r="AD114" s="1082"/>
      <c r="AE114" s="1082"/>
      <c r="AF114" s="1082"/>
      <c r="AG114" s="1101"/>
      <c r="AH114" s="1082"/>
      <c r="AI114" s="1101"/>
      <c r="AJ114" s="1082"/>
      <c r="AK114" s="1101"/>
      <c r="AL114" s="1082"/>
      <c r="AM114" s="2033"/>
      <c r="AN114" s="2013"/>
      <c r="AO114" s="1493"/>
      <c r="AP114" s="1450"/>
      <c r="AQ114" s="1494"/>
      <c r="AR114" s="1450"/>
      <c r="AS114" s="1494"/>
      <c r="AT114" s="1450"/>
      <c r="AU114" s="1492"/>
    </row>
    <row r="115" spans="2:47" s="2001" customFormat="1" ht="12.75" customHeight="1">
      <c r="B115" s="2110" t="str">
        <f>+$B$10</f>
        <v>劇場型建物</v>
      </c>
      <c r="C115" s="2463">
        <v>44710</v>
      </c>
      <c r="D115" s="1063">
        <v>4</v>
      </c>
      <c r="E115" s="1061">
        <v>1.2</v>
      </c>
      <c r="F115" s="1061">
        <v>3</v>
      </c>
      <c r="G115" s="1061">
        <v>1</v>
      </c>
      <c r="H115" s="1061">
        <v>2.7</v>
      </c>
      <c r="I115" s="1062">
        <v>0.95</v>
      </c>
      <c r="J115" s="1857"/>
      <c r="K115" s="2034"/>
      <c r="L115" s="1858"/>
      <c r="M115" s="1858"/>
      <c r="N115" s="1858"/>
      <c r="O115" s="1858"/>
      <c r="P115" s="1858"/>
      <c r="Q115" s="1858"/>
      <c r="R115" s="1858"/>
      <c r="S115" s="2034"/>
      <c r="T115" s="1858"/>
      <c r="U115" s="1858"/>
      <c r="V115" s="2034"/>
      <c r="W115" s="1858"/>
      <c r="X115" s="1858"/>
      <c r="Y115" s="2034"/>
      <c r="Z115" s="1858"/>
      <c r="AA115" s="1858"/>
      <c r="AB115" s="1858"/>
      <c r="AC115" s="1858"/>
      <c r="AD115" s="1858"/>
      <c r="AE115" s="1858"/>
      <c r="AF115" s="1858"/>
      <c r="AG115" s="2035"/>
      <c r="AH115" s="1858"/>
      <c r="AI115" s="2035"/>
      <c r="AJ115" s="1858"/>
      <c r="AK115" s="2035"/>
      <c r="AL115" s="1858"/>
      <c r="AM115" s="2036"/>
      <c r="AN115" s="2016"/>
      <c r="AO115" s="1495"/>
      <c r="AP115" s="1496"/>
      <c r="AQ115" s="1497"/>
      <c r="AR115" s="1496"/>
      <c r="AS115" s="1497"/>
      <c r="AT115" s="1496"/>
      <c r="AU115" s="1498"/>
    </row>
    <row r="116" spans="2:47" s="2001" customFormat="1" ht="12.75" customHeight="1">
      <c r="B116" s="1008" t="s">
        <v>359</v>
      </c>
      <c r="C116" s="1009" t="s">
        <v>2115</v>
      </c>
      <c r="D116" s="3894" t="s">
        <v>2109</v>
      </c>
      <c r="E116" s="3895"/>
      <c r="F116" s="3895"/>
      <c r="G116" s="3895"/>
      <c r="H116" s="3895"/>
      <c r="I116" s="3896"/>
      <c r="J116" s="1456"/>
      <c r="K116" s="2040"/>
      <c r="L116" s="2040"/>
      <c r="M116" s="2037"/>
      <c r="N116" s="2037"/>
      <c r="O116" s="2037"/>
      <c r="P116" s="2037"/>
      <c r="Q116" s="2037"/>
      <c r="R116" s="2037"/>
      <c r="S116" s="2037"/>
      <c r="T116" s="2037"/>
      <c r="U116" s="2037"/>
      <c r="V116" s="2037"/>
      <c r="W116" s="2037"/>
      <c r="X116" s="2037"/>
      <c r="Y116" s="2037"/>
      <c r="Z116" s="2037"/>
      <c r="AA116" s="2037"/>
      <c r="AB116" s="2037"/>
      <c r="AC116" s="2037"/>
      <c r="AD116" s="2037"/>
      <c r="AE116" s="2038"/>
      <c r="AF116" s="2038"/>
      <c r="AG116" s="2037"/>
      <c r="AH116" s="2037"/>
      <c r="AI116" s="2037"/>
      <c r="AJ116" s="2037"/>
      <c r="AK116" s="2037"/>
      <c r="AL116" s="2037"/>
      <c r="AM116" s="2037"/>
      <c r="AN116" s="2019"/>
      <c r="AO116" s="1456"/>
      <c r="AP116" s="1448"/>
      <c r="AQ116" s="1448"/>
      <c r="AR116" s="1448"/>
      <c r="AS116" s="1448"/>
      <c r="AT116" s="1448"/>
      <c r="AU116" s="1491"/>
    </row>
    <row r="117" spans="2:47" s="2001" customFormat="1" ht="12.75" customHeight="1">
      <c r="B117" s="1023"/>
      <c r="C117" s="1024" t="s">
        <v>2116</v>
      </c>
      <c r="D117" s="1029" t="s">
        <v>366</v>
      </c>
      <c r="E117" s="1030"/>
      <c r="F117" s="1030" t="s">
        <v>367</v>
      </c>
      <c r="G117" s="1030"/>
      <c r="H117" s="3862" t="s">
        <v>368</v>
      </c>
      <c r="I117" s="3863"/>
      <c r="J117" s="1449"/>
      <c r="K117" s="1450"/>
      <c r="L117" s="1450"/>
      <c r="M117" s="1134"/>
      <c r="N117" s="1134"/>
      <c r="O117" s="1134"/>
      <c r="P117" s="1134"/>
      <c r="Q117" s="1134"/>
      <c r="R117" s="1134"/>
      <c r="S117" s="1134"/>
      <c r="T117" s="1134"/>
      <c r="U117" s="1134"/>
      <c r="V117" s="1134"/>
      <c r="W117" s="1134"/>
      <c r="X117" s="1134"/>
      <c r="Y117" s="1134"/>
      <c r="Z117" s="1134"/>
      <c r="AA117" s="1134"/>
      <c r="AB117" s="1134"/>
      <c r="AC117" s="1134"/>
      <c r="AD117" s="1134"/>
      <c r="AE117" s="1134"/>
      <c r="AF117" s="1134"/>
      <c r="AG117" s="1134"/>
      <c r="AH117" s="1134"/>
      <c r="AI117" s="1134"/>
      <c r="AJ117" s="1134"/>
      <c r="AK117" s="1134"/>
      <c r="AL117" s="1134"/>
      <c r="AM117" s="2039"/>
      <c r="AN117" s="2020"/>
      <c r="AO117" s="1449"/>
      <c r="AP117" s="1450"/>
      <c r="AQ117" s="1450"/>
      <c r="AR117" s="1450"/>
      <c r="AS117" s="1450"/>
      <c r="AT117" s="1450"/>
      <c r="AU117" s="1492"/>
    </row>
    <row r="118" spans="2:47" s="2001" customFormat="1" ht="12.75" customHeight="1">
      <c r="B118" s="2108" t="str">
        <f>+$B$6</f>
        <v>事務所・店舗・百貨店</v>
      </c>
      <c r="C118" s="2258">
        <v>75530</v>
      </c>
      <c r="D118" s="1041">
        <v>4</v>
      </c>
      <c r="E118" s="1039">
        <v>1.2</v>
      </c>
      <c r="F118" s="1039">
        <v>3</v>
      </c>
      <c r="G118" s="1039">
        <v>1</v>
      </c>
      <c r="H118" s="1039">
        <v>2.7</v>
      </c>
      <c r="I118" s="1040">
        <v>0.95</v>
      </c>
      <c r="J118" s="2045"/>
      <c r="K118" s="2046"/>
      <c r="L118" s="2046"/>
      <c r="M118" s="1082"/>
      <c r="N118" s="1082"/>
      <c r="O118" s="1082"/>
      <c r="P118" s="1082"/>
      <c r="Q118" s="1082"/>
      <c r="R118" s="1082"/>
      <c r="S118" s="2031"/>
      <c r="T118" s="1082"/>
      <c r="U118" s="1082"/>
      <c r="V118" s="2031"/>
      <c r="W118" s="1082"/>
      <c r="X118" s="1082"/>
      <c r="Y118" s="2031"/>
      <c r="Z118" s="1082"/>
      <c r="AA118" s="1082"/>
      <c r="AB118" s="1082"/>
      <c r="AC118" s="1082"/>
      <c r="AD118" s="1082"/>
      <c r="AE118" s="1082"/>
      <c r="AF118" s="1082"/>
      <c r="AG118" s="1101"/>
      <c r="AH118" s="1082"/>
      <c r="AI118" s="1101"/>
      <c r="AJ118" s="1082"/>
      <c r="AK118" s="1101"/>
      <c r="AL118" s="1082"/>
      <c r="AM118" s="2033"/>
      <c r="AN118" s="2013"/>
      <c r="AO118" s="1493"/>
      <c r="AP118" s="1450"/>
      <c r="AQ118" s="1494"/>
      <c r="AR118" s="1450"/>
      <c r="AS118" s="1494"/>
      <c r="AT118" s="1450"/>
      <c r="AU118" s="1492"/>
    </row>
    <row r="119" spans="2:47" s="2001" customFormat="1" ht="12.75" customHeight="1">
      <c r="B119" s="2109" t="str">
        <f>+$B$7</f>
        <v>住宅・アパート</v>
      </c>
      <c r="C119" s="1045">
        <v>75530</v>
      </c>
      <c r="D119" s="1056">
        <v>4</v>
      </c>
      <c r="E119" s="1047">
        <v>1.2</v>
      </c>
      <c r="F119" s="1047">
        <v>3</v>
      </c>
      <c r="G119" s="1047">
        <v>1</v>
      </c>
      <c r="H119" s="1047">
        <v>2.7</v>
      </c>
      <c r="I119" s="1048">
        <v>0.95</v>
      </c>
      <c r="J119" s="1081"/>
      <c r="K119" s="2031"/>
      <c r="L119" s="1082"/>
      <c r="M119" s="1082"/>
      <c r="N119" s="1082"/>
      <c r="O119" s="1082"/>
      <c r="P119" s="1082"/>
      <c r="Q119" s="1082"/>
      <c r="R119" s="1082"/>
      <c r="S119" s="2031"/>
      <c r="T119" s="1082"/>
      <c r="U119" s="1082"/>
      <c r="V119" s="2031"/>
      <c r="W119" s="1082"/>
      <c r="X119" s="1082"/>
      <c r="Y119" s="2031"/>
      <c r="Z119" s="1082"/>
      <c r="AA119" s="1082"/>
      <c r="AB119" s="1082"/>
      <c r="AC119" s="1082"/>
      <c r="AD119" s="1082"/>
      <c r="AE119" s="1082"/>
      <c r="AF119" s="1082"/>
      <c r="AG119" s="1101"/>
      <c r="AH119" s="1082"/>
      <c r="AI119" s="1101"/>
      <c r="AJ119" s="1082"/>
      <c r="AK119" s="1101"/>
      <c r="AL119" s="1082"/>
      <c r="AM119" s="2032"/>
      <c r="AN119" s="2013"/>
      <c r="AO119" s="1493"/>
      <c r="AP119" s="1450"/>
      <c r="AQ119" s="1494"/>
      <c r="AR119" s="1450"/>
      <c r="AS119" s="1494"/>
      <c r="AT119" s="1450"/>
      <c r="AU119" s="1492"/>
    </row>
    <row r="120" spans="2:47" s="2001" customFormat="1" ht="12.75" customHeight="1">
      <c r="B120" s="2109" t="str">
        <f>+$B$8</f>
        <v>病院・ホテル</v>
      </c>
      <c r="C120" s="1045">
        <v>75530</v>
      </c>
      <c r="D120" s="1056">
        <v>4</v>
      </c>
      <c r="E120" s="1047">
        <v>1.2</v>
      </c>
      <c r="F120" s="1047">
        <v>3</v>
      </c>
      <c r="G120" s="1047">
        <v>1</v>
      </c>
      <c r="H120" s="1047">
        <v>2.7</v>
      </c>
      <c r="I120" s="1048">
        <v>0.95</v>
      </c>
      <c r="J120" s="1081"/>
      <c r="K120" s="2031"/>
      <c r="L120" s="1082"/>
      <c r="M120" s="1082"/>
      <c r="N120" s="1082"/>
      <c r="O120" s="1082"/>
      <c r="P120" s="1082"/>
      <c r="Q120" s="1082"/>
      <c r="R120" s="1082"/>
      <c r="S120" s="2031"/>
      <c r="T120" s="1082"/>
      <c r="U120" s="1082"/>
      <c r="V120" s="2031"/>
      <c r="W120" s="1082"/>
      <c r="X120" s="1082"/>
      <c r="Y120" s="2031"/>
      <c r="Z120" s="1082"/>
      <c r="AA120" s="1082"/>
      <c r="AB120" s="1082"/>
      <c r="AC120" s="1082"/>
      <c r="AD120" s="1082"/>
      <c r="AE120" s="1082"/>
      <c r="AF120" s="1082"/>
      <c r="AG120" s="1101"/>
      <c r="AH120" s="1082"/>
      <c r="AI120" s="1101"/>
      <c r="AJ120" s="1082"/>
      <c r="AK120" s="1101"/>
      <c r="AL120" s="1082"/>
      <c r="AM120" s="2033"/>
      <c r="AN120" s="2013"/>
      <c r="AO120" s="1493"/>
      <c r="AP120" s="1450"/>
      <c r="AQ120" s="1494"/>
      <c r="AR120" s="1450"/>
      <c r="AS120" s="1494"/>
      <c r="AT120" s="1450"/>
      <c r="AU120" s="1492"/>
    </row>
    <row r="121" spans="2:47" s="2001" customFormat="1" ht="12.75" customHeight="1">
      <c r="B121" s="2109" t="str">
        <f>+$B$9</f>
        <v>工場・倉庫・市場</v>
      </c>
      <c r="C121" s="1045">
        <v>75530</v>
      </c>
      <c r="D121" s="1056">
        <v>4</v>
      </c>
      <c r="E121" s="1047">
        <v>1.2</v>
      </c>
      <c r="F121" s="1047">
        <v>3</v>
      </c>
      <c r="G121" s="1047">
        <v>1</v>
      </c>
      <c r="H121" s="1047">
        <v>2.7</v>
      </c>
      <c r="I121" s="1048">
        <v>0.95</v>
      </c>
      <c r="J121" s="1081"/>
      <c r="K121" s="2031"/>
      <c r="L121" s="1082"/>
      <c r="M121" s="1082"/>
      <c r="N121" s="1082"/>
      <c r="O121" s="1082"/>
      <c r="P121" s="1082"/>
      <c r="Q121" s="1082"/>
      <c r="R121" s="1082"/>
      <c r="S121" s="2031"/>
      <c r="T121" s="1082"/>
      <c r="U121" s="1082"/>
      <c r="V121" s="2031"/>
      <c r="W121" s="1082"/>
      <c r="X121" s="1082"/>
      <c r="Y121" s="2031"/>
      <c r="Z121" s="1082"/>
      <c r="AA121" s="1082"/>
      <c r="AB121" s="1082"/>
      <c r="AC121" s="1082"/>
      <c r="AD121" s="1082"/>
      <c r="AE121" s="1082"/>
      <c r="AF121" s="1082"/>
      <c r="AG121" s="1101"/>
      <c r="AH121" s="1082"/>
      <c r="AI121" s="1101"/>
      <c r="AJ121" s="1082"/>
      <c r="AK121" s="1101"/>
      <c r="AL121" s="1082"/>
      <c r="AM121" s="2033"/>
      <c r="AN121" s="2013"/>
      <c r="AO121" s="1493"/>
      <c r="AP121" s="1450"/>
      <c r="AQ121" s="1494"/>
      <c r="AR121" s="1450"/>
      <c r="AS121" s="1494"/>
      <c r="AT121" s="1450"/>
      <c r="AU121" s="1492"/>
    </row>
    <row r="122" spans="2:47" s="2001" customFormat="1" ht="12.75" customHeight="1">
      <c r="B122" s="2110" t="str">
        <f>+$B$10</f>
        <v>劇場型建物</v>
      </c>
      <c r="C122" s="2463">
        <v>75530</v>
      </c>
      <c r="D122" s="1063">
        <v>4</v>
      </c>
      <c r="E122" s="1061">
        <v>1.2</v>
      </c>
      <c r="F122" s="1061">
        <v>3</v>
      </c>
      <c r="G122" s="1061">
        <v>1</v>
      </c>
      <c r="H122" s="1061">
        <v>2.7</v>
      </c>
      <c r="I122" s="1062">
        <v>0.95</v>
      </c>
      <c r="J122" s="1857"/>
      <c r="K122" s="2034"/>
      <c r="L122" s="1858"/>
      <c r="M122" s="1858"/>
      <c r="N122" s="1858"/>
      <c r="O122" s="1858"/>
      <c r="P122" s="1858"/>
      <c r="Q122" s="1858"/>
      <c r="R122" s="1858"/>
      <c r="S122" s="2034"/>
      <c r="T122" s="1858"/>
      <c r="U122" s="1858"/>
      <c r="V122" s="2034"/>
      <c r="W122" s="1858"/>
      <c r="X122" s="1858"/>
      <c r="Y122" s="2034"/>
      <c r="Z122" s="1858"/>
      <c r="AA122" s="1858"/>
      <c r="AB122" s="1858"/>
      <c r="AC122" s="1858"/>
      <c r="AD122" s="1858"/>
      <c r="AE122" s="1858"/>
      <c r="AF122" s="1858"/>
      <c r="AG122" s="2035"/>
      <c r="AH122" s="1858"/>
      <c r="AI122" s="2035"/>
      <c r="AJ122" s="1858"/>
      <c r="AK122" s="2035"/>
      <c r="AL122" s="1858"/>
      <c r="AM122" s="2036"/>
      <c r="AN122" s="2016"/>
      <c r="AO122" s="1495"/>
      <c r="AP122" s="1496"/>
      <c r="AQ122" s="1497"/>
      <c r="AR122" s="1496"/>
      <c r="AS122" s="1497"/>
      <c r="AT122" s="1496"/>
      <c r="AU122" s="1498"/>
    </row>
    <row r="123" spans="2:47" s="2001" customFormat="1" ht="12.75" customHeight="1">
      <c r="B123" s="1008" t="s">
        <v>359</v>
      </c>
      <c r="C123" s="1009" t="s">
        <v>2117</v>
      </c>
      <c r="D123" s="3894" t="s">
        <v>2111</v>
      </c>
      <c r="E123" s="3895"/>
      <c r="F123" s="3895"/>
      <c r="G123" s="3895"/>
      <c r="H123" s="3895"/>
      <c r="I123" s="3896"/>
      <c r="J123" s="2051"/>
      <c r="K123" s="2052"/>
      <c r="L123" s="2052"/>
      <c r="M123" s="2052"/>
      <c r="N123" s="2052"/>
      <c r="O123" s="2052"/>
      <c r="P123" s="2040"/>
      <c r="Q123" s="2040"/>
      <c r="R123" s="2040"/>
      <c r="S123" s="2040"/>
      <c r="T123" s="2040"/>
      <c r="U123" s="2041"/>
      <c r="V123" s="1131"/>
      <c r="W123" s="2037"/>
      <c r="X123" s="2037"/>
      <c r="Y123" s="2037"/>
      <c r="Z123" s="2037"/>
      <c r="AA123" s="2037"/>
      <c r="AB123" s="2037"/>
      <c r="AC123" s="2037"/>
      <c r="AD123" s="2037"/>
      <c r="AE123" s="2038"/>
      <c r="AF123" s="2038"/>
      <c r="AG123" s="2037"/>
      <c r="AH123" s="2037"/>
      <c r="AI123" s="2037"/>
      <c r="AJ123" s="2037"/>
      <c r="AK123" s="2037"/>
      <c r="AL123" s="2037"/>
      <c r="AM123" s="2037"/>
      <c r="AN123" s="2019"/>
      <c r="AO123" s="1456"/>
      <c r="AP123" s="1448"/>
      <c r="AQ123" s="1448"/>
      <c r="AR123" s="1448"/>
      <c r="AS123" s="1448"/>
      <c r="AT123" s="1448"/>
      <c r="AU123" s="1491"/>
    </row>
    <row r="124" spans="2:47" s="2001" customFormat="1" ht="12.75" customHeight="1">
      <c r="B124" s="1023"/>
      <c r="C124" s="1024" t="s">
        <v>2118</v>
      </c>
      <c r="D124" s="1029" t="s">
        <v>366</v>
      </c>
      <c r="E124" s="1030"/>
      <c r="F124" s="1030" t="s">
        <v>367</v>
      </c>
      <c r="G124" s="1030"/>
      <c r="H124" s="3862" t="s">
        <v>368</v>
      </c>
      <c r="I124" s="3863"/>
      <c r="J124" s="1079"/>
      <c r="K124" s="1080"/>
      <c r="L124" s="1080"/>
      <c r="M124" s="1080"/>
      <c r="N124" s="1450"/>
      <c r="O124" s="1450"/>
      <c r="P124" s="1080"/>
      <c r="Q124" s="1080"/>
      <c r="R124" s="1080"/>
      <c r="S124" s="1450"/>
      <c r="T124" s="1450"/>
      <c r="U124" s="2042"/>
      <c r="V124" s="1133"/>
      <c r="W124" s="1134"/>
      <c r="X124" s="1134"/>
      <c r="Y124" s="1134"/>
      <c r="Z124" s="1134"/>
      <c r="AA124" s="1134"/>
      <c r="AB124" s="1134"/>
      <c r="AC124" s="1134"/>
      <c r="AD124" s="1134"/>
      <c r="AE124" s="1134"/>
      <c r="AF124" s="1134"/>
      <c r="AG124" s="1134"/>
      <c r="AH124" s="1134"/>
      <c r="AI124" s="1134"/>
      <c r="AJ124" s="1134"/>
      <c r="AK124" s="1134"/>
      <c r="AL124" s="1134"/>
      <c r="AM124" s="2039"/>
      <c r="AN124" s="2020"/>
      <c r="AO124" s="1449"/>
      <c r="AP124" s="1450"/>
      <c r="AQ124" s="1450"/>
      <c r="AR124" s="1450"/>
      <c r="AS124" s="1450"/>
      <c r="AT124" s="1450"/>
      <c r="AU124" s="1492"/>
    </row>
    <row r="125" spans="2:47" s="2001" customFormat="1" ht="12.75" customHeight="1">
      <c r="B125" s="2108" t="str">
        <f>+$B$6</f>
        <v>事務所・店舗・百貨店</v>
      </c>
      <c r="C125" s="2258">
        <v>44480</v>
      </c>
      <c r="D125" s="1041">
        <v>0.75</v>
      </c>
      <c r="E125" s="1039">
        <v>1.1000000000000001</v>
      </c>
      <c r="F125" s="1039">
        <v>0.4</v>
      </c>
      <c r="G125" s="1039">
        <v>1</v>
      </c>
      <c r="H125" s="1039">
        <v>0.25</v>
      </c>
      <c r="I125" s="1040">
        <v>0.9</v>
      </c>
      <c r="J125" s="2045"/>
      <c r="K125" s="2046"/>
      <c r="L125" s="2046"/>
      <c r="M125" s="2046"/>
      <c r="N125" s="2046"/>
      <c r="O125" s="2046"/>
      <c r="P125" s="2046"/>
      <c r="Q125" s="2046"/>
      <c r="R125" s="2046"/>
      <c r="S125" s="2046"/>
      <c r="T125" s="2046"/>
      <c r="U125" s="2049"/>
      <c r="V125" s="2043"/>
      <c r="W125" s="1082"/>
      <c r="X125" s="1082"/>
      <c r="Y125" s="2031"/>
      <c r="Z125" s="1082"/>
      <c r="AA125" s="1082"/>
      <c r="AB125" s="1082"/>
      <c r="AC125" s="1082"/>
      <c r="AD125" s="1082"/>
      <c r="AE125" s="1082"/>
      <c r="AF125" s="1082"/>
      <c r="AG125" s="1101"/>
      <c r="AH125" s="1082"/>
      <c r="AI125" s="1101"/>
      <c r="AJ125" s="1082"/>
      <c r="AK125" s="1101"/>
      <c r="AL125" s="1082"/>
      <c r="AM125" s="2033"/>
      <c r="AN125" s="2013"/>
      <c r="AO125" s="1493"/>
      <c r="AP125" s="1450"/>
      <c r="AQ125" s="1494"/>
      <c r="AR125" s="1450"/>
      <c r="AS125" s="1494"/>
      <c r="AT125" s="1450"/>
      <c r="AU125" s="1492"/>
    </row>
    <row r="126" spans="2:47" s="2001" customFormat="1" ht="12.75" customHeight="1">
      <c r="B126" s="2109" t="str">
        <f>+$B$7</f>
        <v>住宅・アパート</v>
      </c>
      <c r="C126" s="1045">
        <v>44480</v>
      </c>
      <c r="D126" s="1056">
        <v>0.75</v>
      </c>
      <c r="E126" s="1047">
        <v>1.1000000000000001</v>
      </c>
      <c r="F126" s="1047">
        <v>0.4</v>
      </c>
      <c r="G126" s="1047">
        <v>1</v>
      </c>
      <c r="H126" s="1047">
        <v>0.25</v>
      </c>
      <c r="I126" s="1048">
        <v>0.9</v>
      </c>
      <c r="J126" s="1081"/>
      <c r="K126" s="1082"/>
      <c r="L126" s="1082"/>
      <c r="M126" s="1082"/>
      <c r="N126" s="1082"/>
      <c r="O126" s="1082"/>
      <c r="P126" s="1082"/>
      <c r="Q126" s="2031"/>
      <c r="R126" s="1082"/>
      <c r="S126" s="1082"/>
      <c r="T126" s="2031"/>
      <c r="U126" s="2013"/>
      <c r="V126" s="2043"/>
      <c r="W126" s="1082"/>
      <c r="X126" s="1082"/>
      <c r="Y126" s="2031"/>
      <c r="Z126" s="1082"/>
      <c r="AA126" s="1082"/>
      <c r="AB126" s="1082"/>
      <c r="AC126" s="1082"/>
      <c r="AD126" s="1082"/>
      <c r="AE126" s="1082"/>
      <c r="AF126" s="1082"/>
      <c r="AG126" s="1101"/>
      <c r="AH126" s="1082"/>
      <c r="AI126" s="1101"/>
      <c r="AJ126" s="1082"/>
      <c r="AK126" s="1101"/>
      <c r="AL126" s="1082"/>
      <c r="AM126" s="2032"/>
      <c r="AN126" s="2013"/>
      <c r="AO126" s="1493"/>
      <c r="AP126" s="1450"/>
      <c r="AQ126" s="1494"/>
      <c r="AR126" s="1450"/>
      <c r="AS126" s="1494"/>
      <c r="AT126" s="1450"/>
      <c r="AU126" s="1492"/>
    </row>
    <row r="127" spans="2:47" s="2001" customFormat="1" ht="12.75" customHeight="1">
      <c r="B127" s="2109" t="str">
        <f>+$B$8</f>
        <v>病院・ホテル</v>
      </c>
      <c r="C127" s="1045">
        <v>44480</v>
      </c>
      <c r="D127" s="1056">
        <v>0.75</v>
      </c>
      <c r="E127" s="1047">
        <v>1.1000000000000001</v>
      </c>
      <c r="F127" s="1047">
        <v>0.4</v>
      </c>
      <c r="G127" s="1047">
        <v>1</v>
      </c>
      <c r="H127" s="1047">
        <v>0.25</v>
      </c>
      <c r="I127" s="1048">
        <v>0.9</v>
      </c>
      <c r="J127" s="1081"/>
      <c r="K127" s="1082"/>
      <c r="L127" s="1082"/>
      <c r="M127" s="1082"/>
      <c r="N127" s="1082"/>
      <c r="O127" s="1082"/>
      <c r="P127" s="1082"/>
      <c r="Q127" s="2031"/>
      <c r="R127" s="1082"/>
      <c r="S127" s="1082"/>
      <c r="T127" s="2031"/>
      <c r="U127" s="2013"/>
      <c r="V127" s="2043"/>
      <c r="W127" s="1082"/>
      <c r="X127" s="1082"/>
      <c r="Y127" s="2031"/>
      <c r="Z127" s="1082"/>
      <c r="AA127" s="1082"/>
      <c r="AB127" s="1082"/>
      <c r="AC127" s="1082"/>
      <c r="AD127" s="1082"/>
      <c r="AE127" s="1082"/>
      <c r="AF127" s="1082"/>
      <c r="AG127" s="1101"/>
      <c r="AH127" s="1082"/>
      <c r="AI127" s="1101"/>
      <c r="AJ127" s="1082"/>
      <c r="AK127" s="1101"/>
      <c r="AL127" s="1082"/>
      <c r="AM127" s="2033"/>
      <c r="AN127" s="2013"/>
      <c r="AO127" s="1493"/>
      <c r="AP127" s="1450"/>
      <c r="AQ127" s="1494"/>
      <c r="AR127" s="1450"/>
      <c r="AS127" s="1494"/>
      <c r="AT127" s="1450"/>
      <c r="AU127" s="1492"/>
    </row>
    <row r="128" spans="2:47" s="2001" customFormat="1" ht="12.75" customHeight="1">
      <c r="B128" s="2109" t="str">
        <f>+$B$9</f>
        <v>工場・倉庫・市場</v>
      </c>
      <c r="C128" s="1045">
        <v>44480</v>
      </c>
      <c r="D128" s="1056">
        <v>0.75</v>
      </c>
      <c r="E128" s="1047">
        <v>1.1000000000000001</v>
      </c>
      <c r="F128" s="1047">
        <v>0.4</v>
      </c>
      <c r="G128" s="1047">
        <v>1</v>
      </c>
      <c r="H128" s="1047">
        <v>0.25</v>
      </c>
      <c r="I128" s="1048">
        <v>0.9</v>
      </c>
      <c r="J128" s="1081"/>
      <c r="K128" s="1082"/>
      <c r="L128" s="1082"/>
      <c r="M128" s="1082"/>
      <c r="N128" s="1082"/>
      <c r="O128" s="1082"/>
      <c r="P128" s="1082"/>
      <c r="Q128" s="2031"/>
      <c r="R128" s="1082"/>
      <c r="S128" s="1082"/>
      <c r="T128" s="2031"/>
      <c r="U128" s="2013"/>
      <c r="V128" s="2043"/>
      <c r="W128" s="1082"/>
      <c r="X128" s="1082"/>
      <c r="Y128" s="2031"/>
      <c r="Z128" s="1082"/>
      <c r="AA128" s="1082"/>
      <c r="AB128" s="1082"/>
      <c r="AC128" s="1082"/>
      <c r="AD128" s="1082"/>
      <c r="AE128" s="1082"/>
      <c r="AF128" s="1082"/>
      <c r="AG128" s="1101"/>
      <c r="AH128" s="1082"/>
      <c r="AI128" s="1101"/>
      <c r="AJ128" s="1082"/>
      <c r="AK128" s="1101"/>
      <c r="AL128" s="1082"/>
      <c r="AM128" s="2033"/>
      <c r="AN128" s="2013"/>
      <c r="AO128" s="1493"/>
      <c r="AP128" s="1450"/>
      <c r="AQ128" s="1494"/>
      <c r="AR128" s="1450"/>
      <c r="AS128" s="1494"/>
      <c r="AT128" s="1450"/>
      <c r="AU128" s="1492"/>
    </row>
    <row r="129" spans="2:51" s="2001" customFormat="1" ht="12.75" customHeight="1">
      <c r="B129" s="2110" t="str">
        <f>+$B$10</f>
        <v>劇場型建物</v>
      </c>
      <c r="C129" s="2463">
        <v>44480</v>
      </c>
      <c r="D129" s="1063">
        <v>0.75</v>
      </c>
      <c r="E129" s="1061">
        <v>1.1000000000000001</v>
      </c>
      <c r="F129" s="1061">
        <v>0.4</v>
      </c>
      <c r="G129" s="1061">
        <v>1</v>
      </c>
      <c r="H129" s="1061">
        <v>0.25</v>
      </c>
      <c r="I129" s="1062">
        <v>0.9</v>
      </c>
      <c r="J129" s="1857"/>
      <c r="K129" s="1858"/>
      <c r="L129" s="1858"/>
      <c r="M129" s="1858"/>
      <c r="N129" s="1858"/>
      <c r="O129" s="1858"/>
      <c r="P129" s="1858"/>
      <c r="Q129" s="2034"/>
      <c r="R129" s="1858"/>
      <c r="S129" s="1858"/>
      <c r="T129" s="2034"/>
      <c r="U129" s="2016"/>
      <c r="V129" s="2044"/>
      <c r="W129" s="1858"/>
      <c r="X129" s="1858"/>
      <c r="Y129" s="2034"/>
      <c r="Z129" s="1858"/>
      <c r="AA129" s="1858"/>
      <c r="AB129" s="1858"/>
      <c r="AC129" s="1858"/>
      <c r="AD129" s="1858"/>
      <c r="AE129" s="1858"/>
      <c r="AF129" s="1858"/>
      <c r="AG129" s="2035"/>
      <c r="AH129" s="1858"/>
      <c r="AI129" s="2035"/>
      <c r="AJ129" s="1858"/>
      <c r="AK129" s="2035"/>
      <c r="AL129" s="1858"/>
      <c r="AM129" s="2036"/>
      <c r="AN129" s="2016"/>
      <c r="AO129" s="1495"/>
      <c r="AP129" s="1496"/>
      <c r="AQ129" s="1497"/>
      <c r="AR129" s="1496"/>
      <c r="AS129" s="1497"/>
      <c r="AT129" s="1496"/>
      <c r="AU129" s="1498"/>
    </row>
    <row r="130" spans="2:51" ht="12.75" customHeight="1">
      <c r="B130" s="1008" t="s">
        <v>359</v>
      </c>
      <c r="C130" s="1121" t="s">
        <v>963</v>
      </c>
      <c r="D130" s="1014" t="s">
        <v>964</v>
      </c>
      <c r="E130" s="1015"/>
      <c r="F130" s="1015"/>
      <c r="G130" s="1015"/>
      <c r="H130" s="1015"/>
      <c r="I130" s="1017"/>
      <c r="J130" s="1014" t="s">
        <v>965</v>
      </c>
      <c r="K130" s="1015"/>
      <c r="L130" s="1015"/>
      <c r="M130" s="1015"/>
      <c r="N130" s="1015"/>
      <c r="O130" s="1017"/>
      <c r="P130" s="1014" t="s">
        <v>966</v>
      </c>
      <c r="Q130" s="1015"/>
      <c r="R130" s="1015"/>
      <c r="S130" s="1015"/>
      <c r="T130" s="1015"/>
      <c r="U130" s="1016"/>
      <c r="V130" s="1013" t="s">
        <v>967</v>
      </c>
      <c r="W130" s="1015"/>
      <c r="X130" s="1015"/>
      <c r="Y130" s="1015"/>
      <c r="Z130" s="1015"/>
      <c r="AA130" s="1017"/>
      <c r="AB130" s="1113"/>
      <c r="AC130" s="1021"/>
      <c r="AD130" s="1021"/>
      <c r="AE130" s="1021"/>
      <c r="AF130" s="1021"/>
      <c r="AG130" s="1021"/>
      <c r="AH130" s="1021"/>
      <c r="AI130" s="1021"/>
      <c r="AJ130" s="1021"/>
      <c r="AK130" s="1021"/>
      <c r="AL130" s="1021"/>
      <c r="AM130" s="1021"/>
      <c r="AN130" s="1021"/>
      <c r="AO130" s="1021"/>
      <c r="AP130" s="1021"/>
      <c r="AQ130" s="1021"/>
      <c r="AR130" s="1021"/>
      <c r="AS130" s="1021"/>
      <c r="AT130" s="1021"/>
      <c r="AU130" s="1021"/>
      <c r="AV130" s="1021"/>
      <c r="AW130" s="1021"/>
      <c r="AX130" s="1021"/>
      <c r="AY130" s="1022"/>
    </row>
    <row r="131" spans="2:51" ht="12.75" customHeight="1">
      <c r="B131" s="1023"/>
      <c r="C131" s="1024" t="s">
        <v>968</v>
      </c>
      <c r="D131" s="1029" t="s">
        <v>366</v>
      </c>
      <c r="E131" s="1030"/>
      <c r="F131" s="1030" t="s">
        <v>367</v>
      </c>
      <c r="G131" s="1030"/>
      <c r="H131" s="1030" t="s">
        <v>368</v>
      </c>
      <c r="I131" s="1032"/>
      <c r="J131" s="1029" t="s">
        <v>366</v>
      </c>
      <c r="K131" s="1030"/>
      <c r="L131" s="1030" t="s">
        <v>367</v>
      </c>
      <c r="M131" s="1030"/>
      <c r="N131" s="1030" t="s">
        <v>368</v>
      </c>
      <c r="O131" s="1032"/>
      <c r="P131" s="1029" t="s">
        <v>366</v>
      </c>
      <c r="Q131" s="1030"/>
      <c r="R131" s="1030" t="s">
        <v>367</v>
      </c>
      <c r="S131" s="1030"/>
      <c r="T131" s="1030" t="s">
        <v>368</v>
      </c>
      <c r="U131" s="1031"/>
      <c r="V131" s="1028" t="s">
        <v>366</v>
      </c>
      <c r="W131" s="1030"/>
      <c r="X131" s="1030" t="s">
        <v>367</v>
      </c>
      <c r="Y131" s="1030"/>
      <c r="Z131" s="1444" t="s">
        <v>1298</v>
      </c>
      <c r="AA131" s="1032"/>
      <c r="AB131" s="1114"/>
      <c r="AC131" s="1036"/>
      <c r="AD131" s="1036"/>
      <c r="AE131" s="1036"/>
      <c r="AF131" s="1036"/>
      <c r="AG131" s="1036"/>
      <c r="AH131" s="1036"/>
      <c r="AI131" s="1036"/>
      <c r="AJ131" s="1036"/>
      <c r="AK131" s="1036"/>
      <c r="AL131" s="1036"/>
      <c r="AM131" s="1036"/>
      <c r="AN131" s="1036"/>
      <c r="AO131" s="1036"/>
      <c r="AP131" s="1036"/>
      <c r="AQ131" s="1036"/>
      <c r="AR131" s="1036"/>
      <c r="AS131" s="1036"/>
      <c r="AT131" s="1036"/>
      <c r="AU131" s="1036"/>
      <c r="AV131" s="1036"/>
      <c r="AW131" s="1036"/>
      <c r="AX131" s="1036"/>
      <c r="AY131" s="1037"/>
    </row>
    <row r="132" spans="2:51" ht="12.75" customHeight="1">
      <c r="B132" s="2108" t="str">
        <f>+$B$6</f>
        <v>事務所・店舗・百貨店</v>
      </c>
      <c r="C132" s="2258">
        <v>1600</v>
      </c>
      <c r="D132" s="1038" t="s">
        <v>2012</v>
      </c>
      <c r="E132" s="1039">
        <v>1.2</v>
      </c>
      <c r="F132" s="1039" t="s">
        <v>2013</v>
      </c>
      <c r="G132" s="1039">
        <v>1</v>
      </c>
      <c r="H132" s="1039" t="s">
        <v>2014</v>
      </c>
      <c r="I132" s="1040">
        <v>0.8</v>
      </c>
      <c r="J132" s="1038"/>
      <c r="K132" s="1039"/>
      <c r="L132" s="1470" t="s">
        <v>1318</v>
      </c>
      <c r="M132" s="1039">
        <v>1</v>
      </c>
      <c r="N132" s="1470" t="s">
        <v>1320</v>
      </c>
      <c r="O132" s="1040">
        <v>0.95</v>
      </c>
      <c r="P132" s="1038" t="s">
        <v>969</v>
      </c>
      <c r="Q132" s="1039">
        <v>1.2</v>
      </c>
      <c r="R132" s="1039" t="s">
        <v>970</v>
      </c>
      <c r="S132" s="1039">
        <v>1</v>
      </c>
      <c r="T132" s="1039" t="s">
        <v>971</v>
      </c>
      <c r="U132" s="1042">
        <v>0.8</v>
      </c>
      <c r="V132" s="1083">
        <v>1000</v>
      </c>
      <c r="W132" s="1039">
        <v>1.05</v>
      </c>
      <c r="X132" s="1044">
        <v>3000</v>
      </c>
      <c r="Y132" s="1039">
        <v>1</v>
      </c>
      <c r="Z132" s="1044">
        <v>10000</v>
      </c>
      <c r="AA132" s="1040">
        <v>0.93</v>
      </c>
      <c r="AB132" s="1114"/>
      <c r="AC132" s="1036"/>
      <c r="AD132" s="1036"/>
      <c r="AE132" s="1036"/>
      <c r="AF132" s="1036"/>
      <c r="AG132" s="1036"/>
      <c r="AH132" s="1036"/>
      <c r="AI132" s="1036"/>
      <c r="AJ132" s="1036"/>
      <c r="AK132" s="1036"/>
      <c r="AL132" s="1036"/>
      <c r="AM132" s="1036"/>
      <c r="AN132" s="1036"/>
      <c r="AO132" s="1036"/>
      <c r="AP132" s="1036"/>
      <c r="AQ132" s="1036"/>
      <c r="AR132" s="1036"/>
      <c r="AS132" s="1036"/>
      <c r="AT132" s="1036"/>
      <c r="AU132" s="1036"/>
      <c r="AV132" s="1036"/>
      <c r="AW132" s="1036"/>
      <c r="AX132" s="1036"/>
      <c r="AY132" s="1037"/>
    </row>
    <row r="133" spans="2:51" ht="12.75" customHeight="1">
      <c r="B133" s="2109" t="str">
        <f>+$B$7</f>
        <v>住宅・アパート</v>
      </c>
      <c r="C133" s="1045">
        <v>3310</v>
      </c>
      <c r="D133" s="1038" t="s">
        <v>2012</v>
      </c>
      <c r="E133" s="1047">
        <v>1.2</v>
      </c>
      <c r="F133" s="1039" t="s">
        <v>2013</v>
      </c>
      <c r="G133" s="1047">
        <v>1</v>
      </c>
      <c r="H133" s="1039" t="s">
        <v>2014</v>
      </c>
      <c r="I133" s="1048">
        <v>0.8</v>
      </c>
      <c r="J133" s="1046"/>
      <c r="K133" s="1047"/>
      <c r="L133" s="1039" t="s">
        <v>1317</v>
      </c>
      <c r="M133" s="1047">
        <v>1</v>
      </c>
      <c r="N133" s="1047" t="s">
        <v>1319</v>
      </c>
      <c r="O133" s="1048">
        <v>0.95</v>
      </c>
      <c r="P133" s="1046" t="s">
        <v>969</v>
      </c>
      <c r="Q133" s="1047">
        <v>1.2</v>
      </c>
      <c r="R133" s="1047" t="s">
        <v>970</v>
      </c>
      <c r="S133" s="1047">
        <v>1</v>
      </c>
      <c r="T133" s="1039" t="s">
        <v>971</v>
      </c>
      <c r="U133" s="1053">
        <v>0.8</v>
      </c>
      <c r="V133" s="1084">
        <v>360</v>
      </c>
      <c r="W133" s="1122">
        <v>1.05</v>
      </c>
      <c r="X133" s="1055">
        <v>1800</v>
      </c>
      <c r="Y133" s="1122">
        <v>1</v>
      </c>
      <c r="Z133" s="1055">
        <v>3600</v>
      </c>
      <c r="AA133" s="1123">
        <v>0.93</v>
      </c>
      <c r="AB133" s="1114"/>
      <c r="AC133" s="1036"/>
      <c r="AD133" s="1036"/>
      <c r="AE133" s="1036"/>
      <c r="AF133" s="1036"/>
      <c r="AG133" s="1036"/>
      <c r="AH133" s="1036"/>
      <c r="AI133" s="1036"/>
      <c r="AJ133" s="1036"/>
      <c r="AK133" s="1036"/>
      <c r="AL133" s="1036"/>
      <c r="AM133" s="1036"/>
      <c r="AN133" s="1036"/>
      <c r="AO133" s="1036"/>
      <c r="AP133" s="1036"/>
      <c r="AQ133" s="1036"/>
      <c r="AR133" s="1036"/>
      <c r="AS133" s="1036"/>
      <c r="AT133" s="1036"/>
      <c r="AU133" s="1036"/>
      <c r="AV133" s="1036"/>
      <c r="AW133" s="1036"/>
      <c r="AX133" s="1036"/>
      <c r="AY133" s="1037"/>
    </row>
    <row r="134" spans="2:51" ht="12.75" customHeight="1">
      <c r="B134" s="2109" t="str">
        <f>+$B$8</f>
        <v>病院・ホテル</v>
      </c>
      <c r="C134" s="1045">
        <v>3310</v>
      </c>
      <c r="D134" s="1038" t="s">
        <v>2012</v>
      </c>
      <c r="E134" s="1047">
        <v>1.2</v>
      </c>
      <c r="F134" s="1039" t="s">
        <v>2013</v>
      </c>
      <c r="G134" s="1047">
        <v>1</v>
      </c>
      <c r="H134" s="1039" t="s">
        <v>2014</v>
      </c>
      <c r="I134" s="1048">
        <v>0.8</v>
      </c>
      <c r="J134" s="1046"/>
      <c r="K134" s="1047"/>
      <c r="L134" s="1039" t="s">
        <v>1317</v>
      </c>
      <c r="M134" s="1047">
        <v>1</v>
      </c>
      <c r="N134" s="1047" t="s">
        <v>1319</v>
      </c>
      <c r="O134" s="1048">
        <v>0.95</v>
      </c>
      <c r="P134" s="1046" t="s">
        <v>969</v>
      </c>
      <c r="Q134" s="1047">
        <v>1.5</v>
      </c>
      <c r="R134" s="1047" t="s">
        <v>970</v>
      </c>
      <c r="S134" s="1047">
        <v>1</v>
      </c>
      <c r="T134" s="1039" t="s">
        <v>971</v>
      </c>
      <c r="U134" s="1053">
        <v>0.7</v>
      </c>
      <c r="V134" s="1084">
        <v>1000</v>
      </c>
      <c r="W134" s="1047">
        <v>1.05</v>
      </c>
      <c r="X134" s="1055">
        <v>3000</v>
      </c>
      <c r="Y134" s="1047">
        <v>1</v>
      </c>
      <c r="Z134" s="1055">
        <v>10000</v>
      </c>
      <c r="AA134" s="1048">
        <v>0.93</v>
      </c>
      <c r="AB134" s="1114"/>
      <c r="AC134" s="1036"/>
      <c r="AD134" s="1036"/>
      <c r="AE134" s="1036"/>
      <c r="AF134" s="1036"/>
      <c r="AG134" s="1036"/>
      <c r="AH134" s="1036"/>
      <c r="AI134" s="1036"/>
      <c r="AJ134" s="1036"/>
      <c r="AK134" s="1036"/>
      <c r="AL134" s="1036"/>
      <c r="AM134" s="1036"/>
      <c r="AN134" s="1036"/>
      <c r="AO134" s="1036"/>
      <c r="AP134" s="1036"/>
      <c r="AQ134" s="1036"/>
      <c r="AR134" s="1036"/>
      <c r="AS134" s="1036"/>
      <c r="AT134" s="1036"/>
      <c r="AU134" s="1036"/>
      <c r="AV134" s="1036"/>
      <c r="AW134" s="1036"/>
      <c r="AX134" s="1036"/>
      <c r="AY134" s="1037"/>
    </row>
    <row r="135" spans="2:51" ht="12.75" customHeight="1">
      <c r="B135" s="2109" t="str">
        <f>+$B$9</f>
        <v>工場・倉庫・市場</v>
      </c>
      <c r="C135" s="1045"/>
      <c r="D135" s="1046"/>
      <c r="E135" s="1047"/>
      <c r="F135" s="1047"/>
      <c r="G135" s="1047"/>
      <c r="H135" s="1047"/>
      <c r="I135" s="1048"/>
      <c r="J135" s="1046"/>
      <c r="K135" s="1047"/>
      <c r="L135" s="1047"/>
      <c r="M135" s="1047"/>
      <c r="N135" s="1047"/>
      <c r="O135" s="1048"/>
      <c r="P135" s="1046"/>
      <c r="Q135" s="1047"/>
      <c r="R135" s="1047"/>
      <c r="S135" s="1047"/>
      <c r="T135" s="1047"/>
      <c r="U135" s="1053"/>
      <c r="V135" s="1084"/>
      <c r="W135" s="1047"/>
      <c r="X135" s="1055"/>
      <c r="Y135" s="1047"/>
      <c r="Z135" s="1055"/>
      <c r="AA135" s="1048"/>
      <c r="AB135" s="1479" t="s">
        <v>1321</v>
      </c>
      <c r="AC135" s="1036"/>
      <c r="AD135" s="1036"/>
      <c r="AE135" s="1036"/>
      <c r="AF135" s="1036"/>
      <c r="AG135" s="1036"/>
      <c r="AH135" s="1036"/>
      <c r="AI135" s="1036"/>
      <c r="AJ135" s="1036"/>
      <c r="AK135" s="1036"/>
      <c r="AL135" s="1036"/>
      <c r="AM135" s="1036"/>
      <c r="AN135" s="1036"/>
      <c r="AO135" s="1036"/>
      <c r="AP135" s="1036"/>
      <c r="AQ135" s="1036"/>
      <c r="AR135" s="1036"/>
      <c r="AS135" s="1036"/>
      <c r="AT135" s="1036"/>
      <c r="AU135" s="1036"/>
      <c r="AV135" s="1036"/>
      <c r="AW135" s="1036"/>
      <c r="AX135" s="1036"/>
      <c r="AY135" s="1037"/>
    </row>
    <row r="136" spans="2:51" ht="12.75" customHeight="1">
      <c r="B136" s="2110" t="str">
        <f>+$B$10</f>
        <v>劇場型建物</v>
      </c>
      <c r="C136" s="2463">
        <v>1600</v>
      </c>
      <c r="D136" s="1075" t="s">
        <v>2012</v>
      </c>
      <c r="E136" s="1076">
        <v>1.2</v>
      </c>
      <c r="F136" s="1076" t="s">
        <v>2013</v>
      </c>
      <c r="G136" s="1076">
        <v>1</v>
      </c>
      <c r="H136" s="1076" t="s">
        <v>2014</v>
      </c>
      <c r="I136" s="1062">
        <v>0.8</v>
      </c>
      <c r="J136" s="1060"/>
      <c r="K136" s="1061"/>
      <c r="L136" s="1076" t="s">
        <v>1317</v>
      </c>
      <c r="M136" s="1061">
        <v>1</v>
      </c>
      <c r="N136" s="1061" t="s">
        <v>1319</v>
      </c>
      <c r="O136" s="1062">
        <v>0.95</v>
      </c>
      <c r="P136" s="1060" t="s">
        <v>969</v>
      </c>
      <c r="Q136" s="1061">
        <v>1.2</v>
      </c>
      <c r="R136" s="1061" t="s">
        <v>970</v>
      </c>
      <c r="S136" s="1061">
        <v>1</v>
      </c>
      <c r="T136" s="1076" t="s">
        <v>971</v>
      </c>
      <c r="U136" s="1064">
        <v>0.8</v>
      </c>
      <c r="V136" s="1085">
        <v>900</v>
      </c>
      <c r="W136" s="1061">
        <v>1.05</v>
      </c>
      <c r="X136" s="1066">
        <v>1800</v>
      </c>
      <c r="Y136" s="1061">
        <v>1</v>
      </c>
      <c r="Z136" s="1066">
        <v>3600</v>
      </c>
      <c r="AA136" s="1062">
        <v>0.93</v>
      </c>
      <c r="AB136" s="1114"/>
      <c r="AC136" s="1036"/>
      <c r="AD136" s="1036"/>
      <c r="AE136" s="1036"/>
      <c r="AF136" s="1036"/>
      <c r="AG136" s="1036"/>
      <c r="AH136" s="1036"/>
      <c r="AI136" s="1036"/>
      <c r="AJ136" s="1036"/>
      <c r="AK136" s="1036"/>
      <c r="AL136" s="1036"/>
      <c r="AM136" s="1036"/>
      <c r="AN136" s="1036"/>
      <c r="AO136" s="1036"/>
      <c r="AP136" s="1036"/>
      <c r="AQ136" s="1036"/>
      <c r="AR136" s="1036"/>
      <c r="AS136" s="1036"/>
      <c r="AT136" s="1036"/>
      <c r="AU136" s="1036"/>
      <c r="AV136" s="1036"/>
      <c r="AW136" s="1036"/>
      <c r="AX136" s="1036"/>
      <c r="AY136" s="1037"/>
    </row>
    <row r="137" spans="2:51" ht="12.75" customHeight="1">
      <c r="B137" s="1008" t="s">
        <v>359</v>
      </c>
      <c r="C137" s="1121" t="s">
        <v>2129</v>
      </c>
      <c r="D137" s="3866" t="s">
        <v>794</v>
      </c>
      <c r="E137" s="3895"/>
      <c r="F137" s="3895"/>
      <c r="G137" s="3895"/>
      <c r="H137" s="3895"/>
      <c r="I137" s="3896"/>
      <c r="J137" s="2037"/>
      <c r="K137" s="2037"/>
      <c r="L137" s="2037"/>
      <c r="M137" s="2037"/>
      <c r="N137" s="2037"/>
      <c r="O137" s="2037"/>
      <c r="P137" s="2037"/>
      <c r="Q137" s="2037"/>
      <c r="R137" s="2037"/>
      <c r="S137" s="2040"/>
      <c r="T137" s="1448"/>
      <c r="U137" s="1448"/>
      <c r="V137" s="1448"/>
      <c r="W137" s="1448"/>
      <c r="X137" s="1448"/>
      <c r="Y137" s="1446"/>
      <c r="Z137" s="1020"/>
      <c r="AA137" s="1021"/>
      <c r="AB137" s="1021"/>
      <c r="AC137" s="1021"/>
      <c r="AD137" s="1021"/>
      <c r="AE137" s="1021"/>
      <c r="AF137" s="1021"/>
      <c r="AG137" s="1021"/>
      <c r="AH137" s="1021"/>
      <c r="AI137" s="1021"/>
      <c r="AJ137" s="1021"/>
      <c r="AK137" s="1021"/>
      <c r="AL137" s="1021"/>
      <c r="AM137" s="1021"/>
      <c r="AN137" s="1021"/>
      <c r="AO137" s="1021"/>
      <c r="AP137" s="1021"/>
      <c r="AQ137" s="1021"/>
      <c r="AR137" s="1021"/>
      <c r="AS137" s="1021"/>
      <c r="AT137" s="1021"/>
      <c r="AU137" s="1021"/>
      <c r="AV137" s="1021"/>
      <c r="AW137" s="1021"/>
      <c r="AX137" s="1021"/>
      <c r="AY137" s="1022"/>
    </row>
    <row r="138" spans="2:51" ht="12.75" customHeight="1">
      <c r="B138" s="1023"/>
      <c r="C138" s="1024" t="s">
        <v>2130</v>
      </c>
      <c r="D138" s="1070" t="s">
        <v>366</v>
      </c>
      <c r="E138" s="1029"/>
      <c r="F138" s="1031" t="s">
        <v>367</v>
      </c>
      <c r="G138" s="1029"/>
      <c r="H138" s="3862" t="s">
        <v>368</v>
      </c>
      <c r="I138" s="3863"/>
      <c r="J138" s="2054"/>
      <c r="K138" s="1134"/>
      <c r="L138" s="1134"/>
      <c r="M138" s="1134"/>
      <c r="N138" s="1134"/>
      <c r="O138" s="1134"/>
      <c r="P138" s="1134"/>
      <c r="Q138" s="1134"/>
      <c r="R138" s="1134"/>
      <c r="S138" s="1450"/>
      <c r="T138" s="1450"/>
      <c r="U138" s="1450"/>
      <c r="V138" s="1450"/>
      <c r="W138" s="1450"/>
      <c r="X138" s="1450"/>
      <c r="Y138" s="1483"/>
      <c r="Z138" s="1035"/>
      <c r="AA138" s="1036"/>
      <c r="AB138" s="1036"/>
      <c r="AC138" s="1036"/>
      <c r="AD138" s="1036"/>
      <c r="AE138" s="1036"/>
      <c r="AF138" s="1036"/>
      <c r="AG138" s="1036"/>
      <c r="AH138" s="1036"/>
      <c r="AI138" s="1036"/>
      <c r="AJ138" s="1036"/>
      <c r="AK138" s="1036"/>
      <c r="AL138" s="1036"/>
      <c r="AM138" s="1036"/>
      <c r="AN138" s="1036"/>
      <c r="AO138" s="1036"/>
      <c r="AP138" s="1036"/>
      <c r="AQ138" s="1036"/>
      <c r="AR138" s="1036"/>
      <c r="AS138" s="1036"/>
      <c r="AT138" s="1036"/>
      <c r="AU138" s="1036"/>
      <c r="AV138" s="1036"/>
      <c r="AW138" s="1036"/>
      <c r="AX138" s="1036"/>
      <c r="AY138" s="1037"/>
    </row>
    <row r="139" spans="2:51" ht="12.75" customHeight="1">
      <c r="B139" s="2108" t="str">
        <f>+$B$6</f>
        <v>事務所・店舗・百貨店</v>
      </c>
      <c r="C139" s="2258">
        <v>8430</v>
      </c>
      <c r="D139" s="1038" t="s">
        <v>434</v>
      </c>
      <c r="E139" s="1039">
        <v>1.3</v>
      </c>
      <c r="F139" s="1039" t="s">
        <v>375</v>
      </c>
      <c r="G139" s="1039">
        <v>1</v>
      </c>
      <c r="H139" s="1039" t="s">
        <v>435</v>
      </c>
      <c r="I139" s="1042">
        <v>0.7</v>
      </c>
      <c r="J139" s="2030"/>
      <c r="K139" s="2031"/>
      <c r="L139" s="1082"/>
      <c r="M139" s="1082"/>
      <c r="N139" s="1082"/>
      <c r="O139" s="1082"/>
      <c r="P139" s="1082"/>
      <c r="Q139" s="1082"/>
      <c r="R139" s="1082"/>
      <c r="S139" s="1451"/>
      <c r="T139" s="1452"/>
      <c r="U139" s="1451"/>
      <c r="V139" s="1452"/>
      <c r="W139" s="1451"/>
      <c r="X139" s="1452"/>
      <c r="Y139" s="1483"/>
      <c r="Z139" s="1035"/>
      <c r="AA139" s="1036"/>
      <c r="AB139" s="1036"/>
      <c r="AC139" s="1036"/>
      <c r="AD139" s="1036"/>
      <c r="AE139" s="1036"/>
      <c r="AF139" s="1036"/>
      <c r="AG139" s="1036"/>
      <c r="AH139" s="1036"/>
      <c r="AI139" s="1036"/>
      <c r="AJ139" s="1036"/>
      <c r="AK139" s="1036"/>
      <c r="AL139" s="1036"/>
      <c r="AM139" s="1036"/>
      <c r="AN139" s="1036"/>
      <c r="AO139" s="1036"/>
      <c r="AP139" s="1036"/>
      <c r="AQ139" s="1036"/>
      <c r="AR139" s="1036"/>
      <c r="AS139" s="1036"/>
      <c r="AT139" s="1036"/>
      <c r="AU139" s="1036"/>
      <c r="AV139" s="1036"/>
      <c r="AW139" s="1036"/>
      <c r="AX139" s="1036"/>
      <c r="AY139" s="1037"/>
    </row>
    <row r="140" spans="2:51" ht="12.75" customHeight="1">
      <c r="B140" s="2109" t="str">
        <f>+$B$7</f>
        <v>住宅・アパート</v>
      </c>
      <c r="C140" s="1045">
        <v>8430</v>
      </c>
      <c r="D140" s="1046" t="s">
        <v>434</v>
      </c>
      <c r="E140" s="1047">
        <v>1.3</v>
      </c>
      <c r="F140" s="1047" t="s">
        <v>375</v>
      </c>
      <c r="G140" s="1047">
        <v>1</v>
      </c>
      <c r="H140" s="1047" t="s">
        <v>435</v>
      </c>
      <c r="I140" s="1053">
        <v>0.7</v>
      </c>
      <c r="J140" s="2030"/>
      <c r="K140" s="2031"/>
      <c r="L140" s="1082"/>
      <c r="M140" s="1082"/>
      <c r="N140" s="1082"/>
      <c r="O140" s="1082"/>
      <c r="P140" s="1082"/>
      <c r="Q140" s="1082"/>
      <c r="R140" s="1082"/>
      <c r="S140" s="1451"/>
      <c r="T140" s="1499"/>
      <c r="U140" s="1451"/>
      <c r="V140" s="1499"/>
      <c r="W140" s="1451"/>
      <c r="X140" s="1499"/>
      <c r="Y140" s="1483"/>
      <c r="Z140" s="1035"/>
      <c r="AA140" s="1036"/>
      <c r="AB140" s="1036"/>
      <c r="AC140" s="1036"/>
      <c r="AD140" s="1036"/>
      <c r="AE140" s="1036"/>
      <c r="AF140" s="1036"/>
      <c r="AG140" s="1036"/>
      <c r="AH140" s="1036"/>
      <c r="AI140" s="1036"/>
      <c r="AJ140" s="1036"/>
      <c r="AK140" s="1036"/>
      <c r="AL140" s="1036"/>
      <c r="AM140" s="1036"/>
      <c r="AN140" s="1036"/>
      <c r="AO140" s="1036"/>
      <c r="AP140" s="1036"/>
      <c r="AQ140" s="1036"/>
      <c r="AR140" s="1036"/>
      <c r="AS140" s="1036"/>
      <c r="AT140" s="1036"/>
      <c r="AU140" s="1036"/>
      <c r="AV140" s="1036"/>
      <c r="AW140" s="1036"/>
      <c r="AX140" s="1036"/>
      <c r="AY140" s="1037"/>
    </row>
    <row r="141" spans="2:51" ht="12.75" customHeight="1">
      <c r="B141" s="2109" t="str">
        <f>+$B$8</f>
        <v>病院・ホテル</v>
      </c>
      <c r="C141" s="1045">
        <v>8430</v>
      </c>
      <c r="D141" s="1046" t="s">
        <v>434</v>
      </c>
      <c r="E141" s="1047">
        <v>1.3</v>
      </c>
      <c r="F141" s="1047" t="s">
        <v>375</v>
      </c>
      <c r="G141" s="1047">
        <v>1</v>
      </c>
      <c r="H141" s="1047" t="s">
        <v>435</v>
      </c>
      <c r="I141" s="1053">
        <v>0.7</v>
      </c>
      <c r="J141" s="2030"/>
      <c r="K141" s="2031"/>
      <c r="L141" s="1082"/>
      <c r="M141" s="1082"/>
      <c r="N141" s="1082"/>
      <c r="O141" s="1082"/>
      <c r="P141" s="1082"/>
      <c r="Q141" s="1082"/>
      <c r="R141" s="1082"/>
      <c r="S141" s="1451"/>
      <c r="T141" s="1452"/>
      <c r="U141" s="1451"/>
      <c r="V141" s="1452"/>
      <c r="W141" s="1451"/>
      <c r="X141" s="1452"/>
      <c r="Y141" s="1483"/>
      <c r="Z141" s="1035"/>
      <c r="AA141" s="1036"/>
      <c r="AB141" s="1036"/>
      <c r="AC141" s="1036"/>
      <c r="AD141" s="1036"/>
      <c r="AE141" s="1036"/>
      <c r="AF141" s="1036"/>
      <c r="AG141" s="1036"/>
      <c r="AH141" s="1036"/>
      <c r="AI141" s="1036"/>
      <c r="AJ141" s="1036"/>
      <c r="AK141" s="1036"/>
      <c r="AL141" s="1036"/>
      <c r="AM141" s="1036"/>
      <c r="AN141" s="1036"/>
      <c r="AO141" s="1036"/>
      <c r="AP141" s="1036"/>
      <c r="AQ141" s="1036"/>
      <c r="AR141" s="1036"/>
      <c r="AS141" s="1036"/>
      <c r="AT141" s="1036"/>
      <c r="AU141" s="1036"/>
      <c r="AV141" s="1036"/>
      <c r="AW141" s="1036"/>
      <c r="AX141" s="1036"/>
      <c r="AY141" s="1037"/>
    </row>
    <row r="142" spans="2:51" ht="12.75" customHeight="1">
      <c r="B142" s="2109" t="str">
        <f>+$B$9</f>
        <v>工場・倉庫・市場</v>
      </c>
      <c r="C142" s="1045">
        <v>8430</v>
      </c>
      <c r="D142" s="1046" t="s">
        <v>434</v>
      </c>
      <c r="E142" s="1047">
        <v>1.3</v>
      </c>
      <c r="F142" s="1047" t="s">
        <v>375</v>
      </c>
      <c r="G142" s="1047">
        <v>1</v>
      </c>
      <c r="H142" s="1047" t="s">
        <v>435</v>
      </c>
      <c r="I142" s="1053">
        <v>0.7</v>
      </c>
      <c r="J142" s="2030"/>
      <c r="K142" s="2031"/>
      <c r="L142" s="1082"/>
      <c r="M142" s="1082"/>
      <c r="N142" s="1082"/>
      <c r="O142" s="1082"/>
      <c r="P142" s="1082"/>
      <c r="Q142" s="1082"/>
      <c r="R142" s="1082"/>
      <c r="S142" s="1451"/>
      <c r="T142" s="1452"/>
      <c r="U142" s="1451"/>
      <c r="V142" s="1452"/>
      <c r="W142" s="1451"/>
      <c r="X142" s="1452"/>
      <c r="Y142" s="1483"/>
      <c r="Z142" s="1035"/>
      <c r="AA142" s="1036"/>
      <c r="AB142" s="1036"/>
      <c r="AC142" s="1036"/>
      <c r="AD142" s="1036"/>
      <c r="AE142" s="1036"/>
      <c r="AF142" s="1036"/>
      <c r="AG142" s="1036"/>
      <c r="AH142" s="1036"/>
      <c r="AI142" s="1036"/>
      <c r="AJ142" s="1036"/>
      <c r="AK142" s="1036"/>
      <c r="AL142" s="1036"/>
      <c r="AM142" s="1036"/>
      <c r="AN142" s="1036"/>
      <c r="AO142" s="1036"/>
      <c r="AP142" s="1036"/>
      <c r="AQ142" s="1036"/>
      <c r="AR142" s="1036"/>
      <c r="AS142" s="1036"/>
      <c r="AT142" s="1036"/>
      <c r="AU142" s="1036"/>
      <c r="AV142" s="1036"/>
      <c r="AW142" s="1036"/>
      <c r="AX142" s="1036"/>
      <c r="AY142" s="1037"/>
    </row>
    <row r="143" spans="2:51" ht="12.75" customHeight="1">
      <c r="B143" s="2110" t="str">
        <f>+$B$10</f>
        <v>劇場型建物</v>
      </c>
      <c r="C143" s="2463">
        <v>8430</v>
      </c>
      <c r="D143" s="1060" t="s">
        <v>434</v>
      </c>
      <c r="E143" s="1061">
        <v>1.3</v>
      </c>
      <c r="F143" s="1061" t="s">
        <v>375</v>
      </c>
      <c r="G143" s="1061">
        <v>1</v>
      </c>
      <c r="H143" s="1061" t="s">
        <v>435</v>
      </c>
      <c r="I143" s="1064">
        <v>0.7</v>
      </c>
      <c r="J143" s="2053"/>
      <c r="K143" s="2034"/>
      <c r="L143" s="1858"/>
      <c r="M143" s="1858"/>
      <c r="N143" s="1858"/>
      <c r="O143" s="1858"/>
      <c r="P143" s="1858"/>
      <c r="Q143" s="1858"/>
      <c r="R143" s="1858"/>
      <c r="S143" s="2055"/>
      <c r="T143" s="1455"/>
      <c r="U143" s="1454"/>
      <c r="V143" s="1455"/>
      <c r="W143" s="1454"/>
      <c r="X143" s="1455"/>
      <c r="Y143" s="1486"/>
      <c r="Z143" s="1035"/>
      <c r="AA143" s="1036"/>
      <c r="AB143" s="1036"/>
      <c r="AC143" s="1036"/>
      <c r="AD143" s="1036"/>
      <c r="AE143" s="1036"/>
      <c r="AF143" s="1036"/>
      <c r="AG143" s="1036"/>
      <c r="AH143" s="1036"/>
      <c r="AI143" s="1036"/>
      <c r="AJ143" s="1036"/>
      <c r="AK143" s="1036"/>
      <c r="AL143" s="1036"/>
      <c r="AM143" s="1036"/>
      <c r="AN143" s="1036"/>
      <c r="AO143" s="1036"/>
      <c r="AP143" s="1036"/>
      <c r="AQ143" s="1036"/>
      <c r="AR143" s="1036"/>
      <c r="AS143" s="1036"/>
      <c r="AT143" s="1036"/>
      <c r="AU143" s="1036"/>
      <c r="AV143" s="1036"/>
      <c r="AW143" s="1036"/>
      <c r="AX143" s="1036"/>
      <c r="AY143" s="1037"/>
    </row>
    <row r="144" spans="2:51" s="2001" customFormat="1" ht="12.75" customHeight="1">
      <c r="B144" s="1008" t="s">
        <v>359</v>
      </c>
      <c r="C144" s="1121" t="s">
        <v>2133</v>
      </c>
      <c r="D144" s="3866" t="s">
        <v>794</v>
      </c>
      <c r="E144" s="3895"/>
      <c r="F144" s="3895"/>
      <c r="G144" s="3895"/>
      <c r="H144" s="3895"/>
      <c r="I144" s="3896"/>
      <c r="J144" s="2037"/>
      <c r="K144" s="2037"/>
      <c r="L144" s="2037"/>
      <c r="M144" s="2037"/>
      <c r="N144" s="2037"/>
      <c r="O144" s="2037"/>
      <c r="P144" s="2037"/>
      <c r="Q144" s="2037"/>
      <c r="R144" s="2037"/>
      <c r="S144" s="2040"/>
      <c r="T144" s="1448"/>
      <c r="U144" s="1448"/>
      <c r="V144" s="1448"/>
      <c r="W144" s="1448"/>
      <c r="X144" s="1448"/>
      <c r="Y144" s="1446"/>
      <c r="Z144" s="1020"/>
      <c r="AA144" s="1021"/>
      <c r="AB144" s="1021"/>
      <c r="AC144" s="1021"/>
      <c r="AD144" s="1021"/>
      <c r="AE144" s="1021"/>
      <c r="AF144" s="1021"/>
      <c r="AG144" s="1021"/>
      <c r="AH144" s="1021"/>
      <c r="AI144" s="1021"/>
      <c r="AJ144" s="1021"/>
      <c r="AK144" s="1021"/>
      <c r="AL144" s="1021"/>
      <c r="AM144" s="1021"/>
      <c r="AN144" s="1021"/>
      <c r="AO144" s="1021"/>
      <c r="AP144" s="1021"/>
      <c r="AQ144" s="1021"/>
      <c r="AR144" s="1021"/>
      <c r="AS144" s="1021"/>
      <c r="AT144" s="1021"/>
      <c r="AU144" s="1021"/>
      <c r="AV144" s="1021"/>
      <c r="AW144" s="1021"/>
      <c r="AX144" s="1021"/>
      <c r="AY144" s="1022"/>
    </row>
    <row r="145" spans="2:51" s="2001" customFormat="1" ht="12.75" customHeight="1">
      <c r="B145" s="1023"/>
      <c r="C145" s="1024" t="s">
        <v>2143</v>
      </c>
      <c r="D145" s="1070" t="s">
        <v>366</v>
      </c>
      <c r="E145" s="1029"/>
      <c r="F145" s="1031" t="s">
        <v>367</v>
      </c>
      <c r="G145" s="1029"/>
      <c r="H145" s="3862" t="s">
        <v>368</v>
      </c>
      <c r="I145" s="3863"/>
      <c r="J145" s="2054"/>
      <c r="K145" s="1134"/>
      <c r="L145" s="1134"/>
      <c r="M145" s="1134"/>
      <c r="N145" s="1134"/>
      <c r="O145" s="1134"/>
      <c r="P145" s="1134"/>
      <c r="Q145" s="1134"/>
      <c r="R145" s="1134"/>
      <c r="S145" s="1450"/>
      <c r="T145" s="1450"/>
      <c r="U145" s="1450"/>
      <c r="V145" s="1450"/>
      <c r="W145" s="1450"/>
      <c r="X145" s="1450"/>
      <c r="Y145" s="1483"/>
      <c r="Z145" s="1035"/>
      <c r="AA145" s="1036"/>
      <c r="AB145" s="1036"/>
      <c r="AC145" s="1036"/>
      <c r="AD145" s="1036"/>
      <c r="AE145" s="1036"/>
      <c r="AF145" s="1036"/>
      <c r="AG145" s="1036"/>
      <c r="AH145" s="1036"/>
      <c r="AI145" s="1036"/>
      <c r="AJ145" s="1036"/>
      <c r="AK145" s="1036"/>
      <c r="AL145" s="1036"/>
      <c r="AM145" s="1036"/>
      <c r="AN145" s="1036"/>
      <c r="AO145" s="1036"/>
      <c r="AP145" s="1036"/>
      <c r="AQ145" s="1036"/>
      <c r="AR145" s="1036"/>
      <c r="AS145" s="1036"/>
      <c r="AT145" s="1036"/>
      <c r="AU145" s="1036"/>
      <c r="AV145" s="1036"/>
      <c r="AW145" s="1036"/>
      <c r="AX145" s="1036"/>
      <c r="AY145" s="1037"/>
    </row>
    <row r="146" spans="2:51" s="2001" customFormat="1" ht="12.75" customHeight="1">
      <c r="B146" s="2108" t="str">
        <f>+$B$6</f>
        <v>事務所・店舗・百貨店</v>
      </c>
      <c r="C146" s="2258">
        <v>53360</v>
      </c>
      <c r="D146" s="1038" t="s">
        <v>434</v>
      </c>
      <c r="E146" s="1039">
        <v>1.5</v>
      </c>
      <c r="F146" s="1039" t="s">
        <v>375</v>
      </c>
      <c r="G146" s="1039">
        <v>1</v>
      </c>
      <c r="H146" s="1039" t="s">
        <v>435</v>
      </c>
      <c r="I146" s="1042">
        <v>0.8</v>
      </c>
      <c r="J146" s="2030"/>
      <c r="K146" s="2031"/>
      <c r="L146" s="1082"/>
      <c r="M146" s="1082"/>
      <c r="N146" s="1082"/>
      <c r="O146" s="1082"/>
      <c r="P146" s="1082"/>
      <c r="Q146" s="1082"/>
      <c r="R146" s="1082"/>
      <c r="S146" s="1451"/>
      <c r="T146" s="1452"/>
      <c r="U146" s="1451"/>
      <c r="V146" s="1452"/>
      <c r="W146" s="1451"/>
      <c r="X146" s="1452"/>
      <c r="Y146" s="1483"/>
      <c r="Z146" s="1035"/>
      <c r="AA146" s="1036"/>
      <c r="AB146" s="1036"/>
      <c r="AC146" s="1036"/>
      <c r="AD146" s="1036"/>
      <c r="AE146" s="1036"/>
      <c r="AF146" s="1036"/>
      <c r="AG146" s="1036"/>
      <c r="AH146" s="1036"/>
      <c r="AI146" s="1036"/>
      <c r="AJ146" s="1036"/>
      <c r="AK146" s="1036"/>
      <c r="AL146" s="1036"/>
      <c r="AM146" s="1036"/>
      <c r="AN146" s="1036"/>
      <c r="AO146" s="1036"/>
      <c r="AP146" s="1036"/>
      <c r="AQ146" s="1036"/>
      <c r="AR146" s="1036"/>
      <c r="AS146" s="1036"/>
      <c r="AT146" s="1036"/>
      <c r="AU146" s="1036"/>
      <c r="AV146" s="1036"/>
      <c r="AW146" s="1036"/>
      <c r="AX146" s="1036"/>
      <c r="AY146" s="1037"/>
    </row>
    <row r="147" spans="2:51" s="2001" customFormat="1" ht="12.75" customHeight="1">
      <c r="B147" s="2109" t="str">
        <f>+$B$7</f>
        <v>住宅・アパート</v>
      </c>
      <c r="C147" s="1045">
        <v>53360</v>
      </c>
      <c r="D147" s="1046" t="s">
        <v>434</v>
      </c>
      <c r="E147" s="1047">
        <v>1.5</v>
      </c>
      <c r="F147" s="1047" t="s">
        <v>375</v>
      </c>
      <c r="G147" s="1047">
        <v>1</v>
      </c>
      <c r="H147" s="1047" t="s">
        <v>435</v>
      </c>
      <c r="I147" s="1053">
        <v>0.8</v>
      </c>
      <c r="J147" s="2030"/>
      <c r="K147" s="2031"/>
      <c r="L147" s="1082"/>
      <c r="M147" s="1082"/>
      <c r="N147" s="1082"/>
      <c r="O147" s="1082"/>
      <c r="P147" s="1082"/>
      <c r="Q147" s="1082"/>
      <c r="R147" s="1082"/>
      <c r="S147" s="1451"/>
      <c r="T147" s="1499"/>
      <c r="U147" s="1451"/>
      <c r="V147" s="1499"/>
      <c r="W147" s="1451"/>
      <c r="X147" s="1499"/>
      <c r="Y147" s="1483"/>
      <c r="Z147" s="1035"/>
      <c r="AA147" s="1036"/>
      <c r="AB147" s="1036"/>
      <c r="AC147" s="1036"/>
      <c r="AD147" s="1036"/>
      <c r="AE147" s="1036"/>
      <c r="AF147" s="1036"/>
      <c r="AG147" s="1036"/>
      <c r="AH147" s="1036"/>
      <c r="AI147" s="1036"/>
      <c r="AJ147" s="1036"/>
      <c r="AK147" s="1036"/>
      <c r="AL147" s="1036"/>
      <c r="AM147" s="1036"/>
      <c r="AN147" s="1036"/>
      <c r="AO147" s="1036"/>
      <c r="AP147" s="1036"/>
      <c r="AQ147" s="1036"/>
      <c r="AR147" s="1036"/>
      <c r="AS147" s="1036"/>
      <c r="AT147" s="1036"/>
      <c r="AU147" s="1036"/>
      <c r="AV147" s="1036"/>
      <c r="AW147" s="1036"/>
      <c r="AX147" s="1036"/>
      <c r="AY147" s="1037"/>
    </row>
    <row r="148" spans="2:51" s="2001" customFormat="1" ht="12.75" customHeight="1">
      <c r="B148" s="2109" t="str">
        <f>+$B$8</f>
        <v>病院・ホテル</v>
      </c>
      <c r="C148" s="1045">
        <v>53360</v>
      </c>
      <c r="D148" s="1046" t="s">
        <v>434</v>
      </c>
      <c r="E148" s="1047">
        <v>1.5</v>
      </c>
      <c r="F148" s="1047" t="s">
        <v>375</v>
      </c>
      <c r="G148" s="1047">
        <v>1</v>
      </c>
      <c r="H148" s="1047" t="s">
        <v>435</v>
      </c>
      <c r="I148" s="1053">
        <v>0.8</v>
      </c>
      <c r="J148" s="2030"/>
      <c r="K148" s="2031"/>
      <c r="L148" s="1082"/>
      <c r="M148" s="1082"/>
      <c r="N148" s="1082"/>
      <c r="O148" s="1082"/>
      <c r="P148" s="1082"/>
      <c r="Q148" s="1082"/>
      <c r="R148" s="1082"/>
      <c r="S148" s="1451"/>
      <c r="T148" s="1452"/>
      <c r="U148" s="1451"/>
      <c r="V148" s="1452"/>
      <c r="W148" s="1451"/>
      <c r="X148" s="1452"/>
      <c r="Y148" s="1483"/>
      <c r="Z148" s="1035"/>
      <c r="AA148" s="1036"/>
      <c r="AB148" s="1036"/>
      <c r="AC148" s="1036"/>
      <c r="AD148" s="1036"/>
      <c r="AE148" s="1036"/>
      <c r="AF148" s="1036"/>
      <c r="AG148" s="1036"/>
      <c r="AH148" s="1036"/>
      <c r="AI148" s="1036"/>
      <c r="AJ148" s="1036"/>
      <c r="AK148" s="1036"/>
      <c r="AL148" s="1036"/>
      <c r="AM148" s="1036"/>
      <c r="AN148" s="1036"/>
      <c r="AO148" s="1036"/>
      <c r="AP148" s="1036"/>
      <c r="AQ148" s="1036"/>
      <c r="AR148" s="1036"/>
      <c r="AS148" s="1036"/>
      <c r="AT148" s="1036"/>
      <c r="AU148" s="1036"/>
      <c r="AV148" s="1036"/>
      <c r="AW148" s="1036"/>
      <c r="AX148" s="1036"/>
      <c r="AY148" s="1037"/>
    </row>
    <row r="149" spans="2:51" s="2001" customFormat="1" ht="12.75" customHeight="1">
      <c r="B149" s="2109" t="str">
        <f>+$B$9</f>
        <v>工場・倉庫・市場</v>
      </c>
      <c r="C149" s="1045">
        <v>53360</v>
      </c>
      <c r="D149" s="1046" t="s">
        <v>434</v>
      </c>
      <c r="E149" s="1047">
        <v>1.5</v>
      </c>
      <c r="F149" s="1047" t="s">
        <v>375</v>
      </c>
      <c r="G149" s="1047">
        <v>1</v>
      </c>
      <c r="H149" s="1047" t="s">
        <v>435</v>
      </c>
      <c r="I149" s="1053">
        <v>0.8</v>
      </c>
      <c r="J149" s="2030"/>
      <c r="K149" s="2031"/>
      <c r="L149" s="1082"/>
      <c r="M149" s="1082"/>
      <c r="N149" s="1082"/>
      <c r="O149" s="1082"/>
      <c r="P149" s="1082"/>
      <c r="Q149" s="1082"/>
      <c r="R149" s="1082"/>
      <c r="S149" s="1451"/>
      <c r="T149" s="1452"/>
      <c r="U149" s="1451"/>
      <c r="V149" s="1452"/>
      <c r="W149" s="1451"/>
      <c r="X149" s="1452"/>
      <c r="Y149" s="1483"/>
      <c r="Z149" s="1035"/>
      <c r="AA149" s="1036"/>
      <c r="AB149" s="1036"/>
      <c r="AC149" s="1036"/>
      <c r="AD149" s="1036"/>
      <c r="AE149" s="1036"/>
      <c r="AF149" s="1036"/>
      <c r="AG149" s="1036"/>
      <c r="AH149" s="1036"/>
      <c r="AI149" s="1036"/>
      <c r="AJ149" s="1036"/>
      <c r="AK149" s="1036"/>
      <c r="AL149" s="1036"/>
      <c r="AM149" s="1036"/>
      <c r="AN149" s="1036"/>
      <c r="AO149" s="1036"/>
      <c r="AP149" s="1036"/>
      <c r="AQ149" s="1036"/>
      <c r="AR149" s="1036"/>
      <c r="AS149" s="1036"/>
      <c r="AT149" s="1036"/>
      <c r="AU149" s="1036"/>
      <c r="AV149" s="1036"/>
      <c r="AW149" s="1036"/>
      <c r="AX149" s="1036"/>
      <c r="AY149" s="1037"/>
    </row>
    <row r="150" spans="2:51" s="2001" customFormat="1" ht="12.75" customHeight="1">
      <c r="B150" s="2110" t="str">
        <f>+$B$10</f>
        <v>劇場型建物</v>
      </c>
      <c r="C150" s="2463">
        <v>53360</v>
      </c>
      <c r="D150" s="1060" t="s">
        <v>434</v>
      </c>
      <c r="E150" s="1061">
        <v>1.5</v>
      </c>
      <c r="F150" s="1061" t="s">
        <v>375</v>
      </c>
      <c r="G150" s="1061">
        <v>1</v>
      </c>
      <c r="H150" s="1061" t="s">
        <v>435</v>
      </c>
      <c r="I150" s="1064">
        <v>0.8</v>
      </c>
      <c r="J150" s="2053"/>
      <c r="K150" s="2034"/>
      <c r="L150" s="1858"/>
      <c r="M150" s="1858"/>
      <c r="N150" s="1858"/>
      <c r="O150" s="1858"/>
      <c r="P150" s="1858"/>
      <c r="Q150" s="1858"/>
      <c r="R150" s="1858"/>
      <c r="S150" s="2055"/>
      <c r="T150" s="1455"/>
      <c r="U150" s="1454"/>
      <c r="V150" s="1455"/>
      <c r="W150" s="1454"/>
      <c r="X150" s="1455"/>
      <c r="Y150" s="1486"/>
      <c r="Z150" s="1035"/>
      <c r="AA150" s="1036"/>
      <c r="AB150" s="1036"/>
      <c r="AC150" s="1036"/>
      <c r="AD150" s="1036"/>
      <c r="AE150" s="1036"/>
      <c r="AF150" s="1036"/>
      <c r="AG150" s="1036"/>
      <c r="AH150" s="1036"/>
      <c r="AI150" s="1036"/>
      <c r="AJ150" s="1036"/>
      <c r="AK150" s="1036"/>
      <c r="AL150" s="1036"/>
      <c r="AM150" s="1036"/>
      <c r="AN150" s="1036"/>
      <c r="AO150" s="1036"/>
      <c r="AP150" s="1036"/>
      <c r="AQ150" s="1036"/>
      <c r="AR150" s="1036"/>
      <c r="AS150" s="1036"/>
      <c r="AT150" s="1036"/>
      <c r="AU150" s="1036"/>
      <c r="AV150" s="1036"/>
      <c r="AW150" s="1036"/>
      <c r="AX150" s="1036"/>
      <c r="AY150" s="1037"/>
    </row>
    <row r="151" spans="2:51" s="2001" customFormat="1" ht="12.75" customHeight="1">
      <c r="B151" s="1008" t="s">
        <v>359</v>
      </c>
      <c r="C151" s="1121" t="s">
        <v>2132</v>
      </c>
      <c r="D151" s="3866" t="s">
        <v>794</v>
      </c>
      <c r="E151" s="3895"/>
      <c r="F151" s="3895"/>
      <c r="G151" s="3895"/>
      <c r="H151" s="3895"/>
      <c r="I151" s="3896"/>
      <c r="J151" s="2037"/>
      <c r="K151" s="2037"/>
      <c r="L151" s="2037"/>
      <c r="M151" s="2037"/>
      <c r="N151" s="2037"/>
      <c r="O151" s="2037"/>
      <c r="P151" s="2037"/>
      <c r="Q151" s="2037"/>
      <c r="R151" s="2037"/>
      <c r="S151" s="2040"/>
      <c r="T151" s="1448"/>
      <c r="U151" s="1448"/>
      <c r="V151" s="1448"/>
      <c r="W151" s="1448"/>
      <c r="X151" s="1448"/>
      <c r="Y151" s="1446"/>
      <c r="Z151" s="1020"/>
      <c r="AA151" s="1021"/>
      <c r="AB151" s="1021"/>
      <c r="AC151" s="1021"/>
      <c r="AD151" s="1021"/>
      <c r="AE151" s="1021"/>
      <c r="AF151" s="1021"/>
      <c r="AG151" s="1021"/>
      <c r="AH151" s="1021"/>
      <c r="AI151" s="1021"/>
      <c r="AJ151" s="1021"/>
      <c r="AK151" s="1021"/>
      <c r="AL151" s="1021"/>
      <c r="AM151" s="1021"/>
      <c r="AN151" s="1021"/>
      <c r="AO151" s="1021"/>
      <c r="AP151" s="1021"/>
      <c r="AQ151" s="1021"/>
      <c r="AR151" s="1021"/>
      <c r="AS151" s="1021"/>
      <c r="AT151" s="1021"/>
      <c r="AU151" s="1021"/>
      <c r="AV151" s="1021"/>
      <c r="AW151" s="1021"/>
      <c r="AX151" s="1021"/>
      <c r="AY151" s="1022"/>
    </row>
    <row r="152" spans="2:51" s="2001" customFormat="1" ht="12.75" customHeight="1">
      <c r="B152" s="1023"/>
      <c r="C152" s="1024" t="s">
        <v>2144</v>
      </c>
      <c r="D152" s="1070" t="s">
        <v>366</v>
      </c>
      <c r="E152" s="1029"/>
      <c r="F152" s="1031" t="s">
        <v>367</v>
      </c>
      <c r="G152" s="1029"/>
      <c r="H152" s="3862" t="s">
        <v>368</v>
      </c>
      <c r="I152" s="3863"/>
      <c r="J152" s="2054"/>
      <c r="K152" s="1134"/>
      <c r="L152" s="1134"/>
      <c r="M152" s="1134"/>
      <c r="N152" s="1134"/>
      <c r="O152" s="1134"/>
      <c r="P152" s="1134"/>
      <c r="Q152" s="1134"/>
      <c r="R152" s="1134"/>
      <c r="S152" s="1450"/>
      <c r="T152" s="1450"/>
      <c r="U152" s="1450"/>
      <c r="V152" s="1450"/>
      <c r="W152" s="1450"/>
      <c r="X152" s="1450"/>
      <c r="Y152" s="1483"/>
      <c r="Z152" s="1035"/>
      <c r="AA152" s="1036"/>
      <c r="AB152" s="1036"/>
      <c r="AC152" s="1036"/>
      <c r="AD152" s="1036"/>
      <c r="AE152" s="1036"/>
      <c r="AF152" s="1036"/>
      <c r="AG152" s="1036"/>
      <c r="AH152" s="1036"/>
      <c r="AI152" s="1036"/>
      <c r="AJ152" s="1036"/>
      <c r="AK152" s="1036"/>
      <c r="AL152" s="1036"/>
      <c r="AM152" s="1036"/>
      <c r="AN152" s="1036"/>
      <c r="AO152" s="1036"/>
      <c r="AP152" s="1036"/>
      <c r="AQ152" s="1036"/>
      <c r="AR152" s="1036"/>
      <c r="AS152" s="1036"/>
      <c r="AT152" s="1036"/>
      <c r="AU152" s="1036"/>
      <c r="AV152" s="1036"/>
      <c r="AW152" s="1036"/>
      <c r="AX152" s="1036"/>
      <c r="AY152" s="1037"/>
    </row>
    <row r="153" spans="2:51" s="2001" customFormat="1" ht="12.75" customHeight="1">
      <c r="B153" s="2108" t="str">
        <f>+$B$6</f>
        <v>事務所・店舗・百貨店</v>
      </c>
      <c r="C153" s="2258">
        <v>69370</v>
      </c>
      <c r="D153" s="1038" t="s">
        <v>434</v>
      </c>
      <c r="E153" s="1039">
        <v>1.5</v>
      </c>
      <c r="F153" s="1039" t="s">
        <v>375</v>
      </c>
      <c r="G153" s="1039">
        <v>1</v>
      </c>
      <c r="H153" s="1039" t="s">
        <v>435</v>
      </c>
      <c r="I153" s="1042">
        <v>0.8</v>
      </c>
      <c r="J153" s="2030"/>
      <c r="K153" s="2031"/>
      <c r="L153" s="1082"/>
      <c r="M153" s="1082"/>
      <c r="N153" s="1082"/>
      <c r="O153" s="1082"/>
      <c r="P153" s="1082"/>
      <c r="Q153" s="1082"/>
      <c r="R153" s="1082"/>
      <c r="S153" s="1451"/>
      <c r="T153" s="1452"/>
      <c r="U153" s="1451"/>
      <c r="V153" s="1452"/>
      <c r="W153" s="1451"/>
      <c r="X153" s="1452"/>
      <c r="Y153" s="1483"/>
      <c r="Z153" s="1035"/>
      <c r="AA153" s="1036"/>
      <c r="AB153" s="1036"/>
      <c r="AC153" s="1036"/>
      <c r="AD153" s="1036"/>
      <c r="AE153" s="1036"/>
      <c r="AF153" s="1036"/>
      <c r="AG153" s="1036"/>
      <c r="AH153" s="1036"/>
      <c r="AI153" s="1036"/>
      <c r="AJ153" s="1036"/>
      <c r="AK153" s="1036"/>
      <c r="AL153" s="1036"/>
      <c r="AM153" s="1036"/>
      <c r="AN153" s="1036"/>
      <c r="AO153" s="1036"/>
      <c r="AP153" s="1036"/>
      <c r="AQ153" s="1036"/>
      <c r="AR153" s="1036"/>
      <c r="AS153" s="1036"/>
      <c r="AT153" s="1036"/>
      <c r="AU153" s="1036"/>
      <c r="AV153" s="1036"/>
      <c r="AW153" s="1036"/>
      <c r="AX153" s="1036"/>
      <c r="AY153" s="1037"/>
    </row>
    <row r="154" spans="2:51" s="2001" customFormat="1" ht="12.75" customHeight="1">
      <c r="B154" s="2109" t="str">
        <f>+$B$7</f>
        <v>住宅・アパート</v>
      </c>
      <c r="C154" s="1045">
        <v>69370</v>
      </c>
      <c r="D154" s="1046" t="s">
        <v>434</v>
      </c>
      <c r="E154" s="1047">
        <v>1.5</v>
      </c>
      <c r="F154" s="1047" t="s">
        <v>375</v>
      </c>
      <c r="G154" s="1047">
        <v>1</v>
      </c>
      <c r="H154" s="1047" t="s">
        <v>435</v>
      </c>
      <c r="I154" s="1053">
        <v>0.8</v>
      </c>
      <c r="J154" s="2030"/>
      <c r="K154" s="2031"/>
      <c r="L154" s="1082"/>
      <c r="M154" s="1082"/>
      <c r="N154" s="1082"/>
      <c r="O154" s="1082"/>
      <c r="P154" s="1082"/>
      <c r="Q154" s="1082"/>
      <c r="R154" s="1082"/>
      <c r="S154" s="1451"/>
      <c r="T154" s="1499"/>
      <c r="U154" s="1451"/>
      <c r="V154" s="1499"/>
      <c r="W154" s="1451"/>
      <c r="X154" s="1499"/>
      <c r="Y154" s="1483"/>
      <c r="Z154" s="1035"/>
      <c r="AA154" s="1036"/>
      <c r="AB154" s="1036"/>
      <c r="AC154" s="1036"/>
      <c r="AD154" s="1036"/>
      <c r="AE154" s="1036"/>
      <c r="AF154" s="1036"/>
      <c r="AG154" s="1036"/>
      <c r="AH154" s="1036"/>
      <c r="AI154" s="1036"/>
      <c r="AJ154" s="1036"/>
      <c r="AK154" s="1036"/>
      <c r="AL154" s="1036"/>
      <c r="AM154" s="1036"/>
      <c r="AN154" s="1036"/>
      <c r="AO154" s="1036"/>
      <c r="AP154" s="1036"/>
      <c r="AQ154" s="1036"/>
      <c r="AR154" s="1036"/>
      <c r="AS154" s="1036"/>
      <c r="AT154" s="1036"/>
      <c r="AU154" s="1036"/>
      <c r="AV154" s="1036"/>
      <c r="AW154" s="1036"/>
      <c r="AX154" s="1036"/>
      <c r="AY154" s="1037"/>
    </row>
    <row r="155" spans="2:51" s="2001" customFormat="1" ht="12.75" customHeight="1">
      <c r="B155" s="2109" t="str">
        <f>+$B$8</f>
        <v>病院・ホテル</v>
      </c>
      <c r="C155" s="1045">
        <v>69370</v>
      </c>
      <c r="D155" s="1046" t="s">
        <v>434</v>
      </c>
      <c r="E155" s="1047">
        <v>1.5</v>
      </c>
      <c r="F155" s="1047" t="s">
        <v>375</v>
      </c>
      <c r="G155" s="1047">
        <v>1</v>
      </c>
      <c r="H155" s="1047" t="s">
        <v>435</v>
      </c>
      <c r="I155" s="1053">
        <v>0.8</v>
      </c>
      <c r="J155" s="2030"/>
      <c r="K155" s="2031"/>
      <c r="L155" s="1082"/>
      <c r="M155" s="1082"/>
      <c r="N155" s="1082"/>
      <c r="O155" s="1082"/>
      <c r="P155" s="1082"/>
      <c r="Q155" s="1082"/>
      <c r="R155" s="1082"/>
      <c r="S155" s="1451"/>
      <c r="T155" s="1452"/>
      <c r="U155" s="1451"/>
      <c r="V155" s="1452"/>
      <c r="W155" s="1451"/>
      <c r="X155" s="1452"/>
      <c r="Y155" s="1483"/>
      <c r="Z155" s="1035"/>
      <c r="AA155" s="1036"/>
      <c r="AB155" s="1036"/>
      <c r="AC155" s="1036"/>
      <c r="AD155" s="1036"/>
      <c r="AE155" s="1036"/>
      <c r="AF155" s="1036"/>
      <c r="AG155" s="1036"/>
      <c r="AH155" s="1036"/>
      <c r="AI155" s="1036"/>
      <c r="AJ155" s="1036"/>
      <c r="AK155" s="1036"/>
      <c r="AL155" s="1036"/>
      <c r="AM155" s="1036"/>
      <c r="AN155" s="1036"/>
      <c r="AO155" s="1036"/>
      <c r="AP155" s="1036"/>
      <c r="AQ155" s="1036"/>
      <c r="AR155" s="1036"/>
      <c r="AS155" s="1036"/>
      <c r="AT155" s="1036"/>
      <c r="AU155" s="1036"/>
      <c r="AV155" s="1036"/>
      <c r="AW155" s="1036"/>
      <c r="AX155" s="1036"/>
      <c r="AY155" s="1037"/>
    </row>
    <row r="156" spans="2:51" s="2001" customFormat="1" ht="12.75" customHeight="1">
      <c r="B156" s="2109" t="str">
        <f>+$B$9</f>
        <v>工場・倉庫・市場</v>
      </c>
      <c r="C156" s="1045">
        <v>69370</v>
      </c>
      <c r="D156" s="1046" t="s">
        <v>434</v>
      </c>
      <c r="E156" s="1047">
        <v>1.5</v>
      </c>
      <c r="F156" s="1047" t="s">
        <v>375</v>
      </c>
      <c r="G156" s="1047">
        <v>1</v>
      </c>
      <c r="H156" s="1047" t="s">
        <v>435</v>
      </c>
      <c r="I156" s="1053">
        <v>0.8</v>
      </c>
      <c r="J156" s="2030"/>
      <c r="K156" s="2031"/>
      <c r="L156" s="1082"/>
      <c r="M156" s="1082"/>
      <c r="N156" s="1082"/>
      <c r="O156" s="1082"/>
      <c r="P156" s="1082"/>
      <c r="Q156" s="1082"/>
      <c r="R156" s="1082"/>
      <c r="S156" s="1451"/>
      <c r="T156" s="1452"/>
      <c r="U156" s="1451"/>
      <c r="V156" s="1452"/>
      <c r="W156" s="1451"/>
      <c r="X156" s="1452"/>
      <c r="Y156" s="1483"/>
      <c r="Z156" s="1035"/>
      <c r="AA156" s="1036"/>
      <c r="AB156" s="1036"/>
      <c r="AC156" s="1036"/>
      <c r="AD156" s="1036"/>
      <c r="AE156" s="1036"/>
      <c r="AF156" s="1036"/>
      <c r="AG156" s="1036"/>
      <c r="AH156" s="1036"/>
      <c r="AI156" s="1036"/>
      <c r="AJ156" s="1036"/>
      <c r="AK156" s="1036"/>
      <c r="AL156" s="1036"/>
      <c r="AM156" s="1036"/>
      <c r="AN156" s="1036"/>
      <c r="AO156" s="1036"/>
      <c r="AP156" s="1036"/>
      <c r="AQ156" s="1036"/>
      <c r="AR156" s="1036"/>
      <c r="AS156" s="1036"/>
      <c r="AT156" s="1036"/>
      <c r="AU156" s="1036"/>
      <c r="AV156" s="1036"/>
      <c r="AW156" s="1036"/>
      <c r="AX156" s="1036"/>
      <c r="AY156" s="1037"/>
    </row>
    <row r="157" spans="2:51" s="2001" customFormat="1" ht="12.75" customHeight="1">
      <c r="B157" s="2110" t="str">
        <f>+$B$10</f>
        <v>劇場型建物</v>
      </c>
      <c r="C157" s="2463">
        <v>69370</v>
      </c>
      <c r="D157" s="1060" t="s">
        <v>434</v>
      </c>
      <c r="E157" s="1061">
        <v>1.5</v>
      </c>
      <c r="F157" s="1061" t="s">
        <v>375</v>
      </c>
      <c r="G157" s="1061">
        <v>1</v>
      </c>
      <c r="H157" s="1061" t="s">
        <v>435</v>
      </c>
      <c r="I157" s="1064">
        <v>0.8</v>
      </c>
      <c r="J157" s="2053"/>
      <c r="K157" s="2034"/>
      <c r="L157" s="1858"/>
      <c r="M157" s="1858"/>
      <c r="N157" s="1858"/>
      <c r="O157" s="1858"/>
      <c r="P157" s="1858"/>
      <c r="Q157" s="1858"/>
      <c r="R157" s="1858"/>
      <c r="S157" s="2055"/>
      <c r="T157" s="1455"/>
      <c r="U157" s="1454"/>
      <c r="V157" s="1455"/>
      <c r="W157" s="1454"/>
      <c r="X157" s="1455"/>
      <c r="Y157" s="1486"/>
      <c r="Z157" s="1035"/>
      <c r="AA157" s="1036"/>
      <c r="AB157" s="1036"/>
      <c r="AC157" s="1036"/>
      <c r="AD157" s="1036"/>
      <c r="AE157" s="1036"/>
      <c r="AF157" s="1036"/>
      <c r="AG157" s="1036"/>
      <c r="AH157" s="1036"/>
      <c r="AI157" s="1036"/>
      <c r="AJ157" s="1036"/>
      <c r="AK157" s="1036"/>
      <c r="AL157" s="1036"/>
      <c r="AM157" s="1036"/>
      <c r="AN157" s="1036"/>
      <c r="AO157" s="1036"/>
      <c r="AP157" s="1036"/>
      <c r="AQ157" s="1036"/>
      <c r="AR157" s="1036"/>
      <c r="AS157" s="1036"/>
      <c r="AT157" s="1036"/>
      <c r="AU157" s="1036"/>
      <c r="AV157" s="1036"/>
      <c r="AW157" s="1036"/>
      <c r="AX157" s="1036"/>
      <c r="AY157" s="1037"/>
    </row>
    <row r="158" spans="2:51" s="2001" customFormat="1" ht="12.75" customHeight="1">
      <c r="B158" s="1008" t="s">
        <v>359</v>
      </c>
      <c r="C158" s="1121" t="s">
        <v>2134</v>
      </c>
      <c r="D158" s="3866" t="s">
        <v>794</v>
      </c>
      <c r="E158" s="3895"/>
      <c r="F158" s="3895"/>
      <c r="G158" s="3895"/>
      <c r="H158" s="3895"/>
      <c r="I158" s="3896"/>
      <c r="J158" s="2037"/>
      <c r="K158" s="2037"/>
      <c r="L158" s="2037"/>
      <c r="M158" s="2037"/>
      <c r="N158" s="2037"/>
      <c r="O158" s="2037"/>
      <c r="P158" s="2037"/>
      <c r="Q158" s="2037"/>
      <c r="R158" s="2037"/>
      <c r="S158" s="2040"/>
      <c r="T158" s="1448"/>
      <c r="U158" s="1448"/>
      <c r="V158" s="1448"/>
      <c r="W158" s="1448"/>
      <c r="X158" s="1448"/>
      <c r="Y158" s="1446"/>
      <c r="Z158" s="1020"/>
      <c r="AA158" s="1021"/>
      <c r="AB158" s="1021"/>
      <c r="AC158" s="1021"/>
      <c r="AD158" s="1021"/>
      <c r="AE158" s="1021"/>
      <c r="AF158" s="1021"/>
      <c r="AG158" s="1021"/>
      <c r="AH158" s="1021"/>
      <c r="AI158" s="1021"/>
      <c r="AJ158" s="1021"/>
      <c r="AK158" s="1021"/>
      <c r="AL158" s="1021"/>
      <c r="AM158" s="1021"/>
      <c r="AN158" s="1021"/>
      <c r="AO158" s="1021"/>
      <c r="AP158" s="1021"/>
      <c r="AQ158" s="1021"/>
      <c r="AR158" s="1021"/>
      <c r="AS158" s="1021"/>
      <c r="AT158" s="1021"/>
      <c r="AU158" s="1021"/>
      <c r="AV158" s="1021"/>
      <c r="AW158" s="1021"/>
      <c r="AX158" s="1021"/>
      <c r="AY158" s="1022"/>
    </row>
    <row r="159" spans="2:51" s="2001" customFormat="1" ht="12.75" customHeight="1">
      <c r="B159" s="1023"/>
      <c r="C159" s="1024" t="s">
        <v>2135</v>
      </c>
      <c r="D159" s="1070" t="s">
        <v>366</v>
      </c>
      <c r="E159" s="1029"/>
      <c r="F159" s="1031" t="s">
        <v>367</v>
      </c>
      <c r="G159" s="1029"/>
      <c r="H159" s="3862" t="s">
        <v>368</v>
      </c>
      <c r="I159" s="3863"/>
      <c r="J159" s="2054"/>
      <c r="K159" s="1134"/>
      <c r="L159" s="1134"/>
      <c r="M159" s="1134"/>
      <c r="N159" s="1134"/>
      <c r="O159" s="1134"/>
      <c r="P159" s="1134"/>
      <c r="Q159" s="1134"/>
      <c r="R159" s="1134"/>
      <c r="S159" s="1450"/>
      <c r="T159" s="1450"/>
      <c r="U159" s="1450"/>
      <c r="V159" s="1450"/>
      <c r="W159" s="1450"/>
      <c r="X159" s="1450"/>
      <c r="Y159" s="1483"/>
      <c r="Z159" s="1035"/>
      <c r="AA159" s="1036"/>
      <c r="AB159" s="1036"/>
      <c r="AC159" s="1036"/>
      <c r="AD159" s="1036"/>
      <c r="AE159" s="1036"/>
      <c r="AF159" s="1036"/>
      <c r="AG159" s="1036"/>
      <c r="AH159" s="1036"/>
      <c r="AI159" s="1036"/>
      <c r="AJ159" s="1036"/>
      <c r="AK159" s="1036"/>
      <c r="AL159" s="1036"/>
      <c r="AM159" s="1036"/>
      <c r="AN159" s="1036"/>
      <c r="AO159" s="1036"/>
      <c r="AP159" s="1036"/>
      <c r="AQ159" s="1036"/>
      <c r="AR159" s="1036"/>
      <c r="AS159" s="1036"/>
      <c r="AT159" s="1036"/>
      <c r="AU159" s="1036"/>
      <c r="AV159" s="1036"/>
      <c r="AW159" s="1036"/>
      <c r="AX159" s="1036"/>
      <c r="AY159" s="1037"/>
    </row>
    <row r="160" spans="2:51" s="2001" customFormat="1" ht="12.75" customHeight="1">
      <c r="B160" s="2108" t="str">
        <f>+$B$6</f>
        <v>事務所・店舗・百貨店</v>
      </c>
      <c r="C160" s="2258">
        <v>45370</v>
      </c>
      <c r="D160" s="1038" t="s">
        <v>434</v>
      </c>
      <c r="E160" s="1039">
        <v>1.5</v>
      </c>
      <c r="F160" s="1039" t="s">
        <v>375</v>
      </c>
      <c r="G160" s="1039">
        <v>1</v>
      </c>
      <c r="H160" s="1039" t="s">
        <v>435</v>
      </c>
      <c r="I160" s="1042">
        <v>0.8</v>
      </c>
      <c r="J160" s="2030"/>
      <c r="K160" s="2031"/>
      <c r="L160" s="1082"/>
      <c r="M160" s="1082"/>
      <c r="N160" s="1082"/>
      <c r="O160" s="1082"/>
      <c r="P160" s="1082"/>
      <c r="Q160" s="1082"/>
      <c r="R160" s="1082"/>
      <c r="S160" s="1451"/>
      <c r="T160" s="1452"/>
      <c r="U160" s="1451"/>
      <c r="V160" s="1452"/>
      <c r="W160" s="1451"/>
      <c r="X160" s="1452"/>
      <c r="Y160" s="1483"/>
      <c r="Z160" s="1035"/>
      <c r="AA160" s="1036"/>
      <c r="AB160" s="1036"/>
      <c r="AC160" s="1036"/>
      <c r="AD160" s="1036"/>
      <c r="AE160" s="1036"/>
      <c r="AF160" s="1036"/>
      <c r="AG160" s="1036"/>
      <c r="AH160" s="1036"/>
      <c r="AI160" s="1036"/>
      <c r="AJ160" s="1036"/>
      <c r="AK160" s="1036"/>
      <c r="AL160" s="1036"/>
      <c r="AM160" s="1036"/>
      <c r="AN160" s="1036"/>
      <c r="AO160" s="1036"/>
      <c r="AP160" s="1036"/>
      <c r="AQ160" s="1036"/>
      <c r="AR160" s="1036"/>
      <c r="AS160" s="1036"/>
      <c r="AT160" s="1036"/>
      <c r="AU160" s="1036"/>
      <c r="AV160" s="1036"/>
      <c r="AW160" s="1036"/>
      <c r="AX160" s="1036"/>
      <c r="AY160" s="1037"/>
    </row>
    <row r="161" spans="2:51" s="2001" customFormat="1" ht="12.75" customHeight="1">
      <c r="B161" s="2109" t="str">
        <f>+$B$7</f>
        <v>住宅・アパート</v>
      </c>
      <c r="C161" s="1045">
        <v>45370</v>
      </c>
      <c r="D161" s="1046" t="s">
        <v>434</v>
      </c>
      <c r="E161" s="1047">
        <v>1.5</v>
      </c>
      <c r="F161" s="1047" t="s">
        <v>375</v>
      </c>
      <c r="G161" s="1047">
        <v>1</v>
      </c>
      <c r="H161" s="1047" t="s">
        <v>435</v>
      </c>
      <c r="I161" s="1053">
        <v>0.8</v>
      </c>
      <c r="J161" s="2030"/>
      <c r="K161" s="2031"/>
      <c r="L161" s="1082"/>
      <c r="M161" s="1082"/>
      <c r="N161" s="1082"/>
      <c r="O161" s="1082"/>
      <c r="P161" s="1082"/>
      <c r="Q161" s="1082"/>
      <c r="R161" s="1082"/>
      <c r="S161" s="1451"/>
      <c r="T161" s="1499"/>
      <c r="U161" s="1451"/>
      <c r="V161" s="1499"/>
      <c r="W161" s="1451"/>
      <c r="X161" s="1499"/>
      <c r="Y161" s="1483"/>
      <c r="Z161" s="1035"/>
      <c r="AA161" s="1036"/>
      <c r="AB161" s="1036"/>
      <c r="AC161" s="1036"/>
      <c r="AD161" s="1036"/>
      <c r="AE161" s="1036"/>
      <c r="AF161" s="1036"/>
      <c r="AG161" s="1036"/>
      <c r="AH161" s="1036"/>
      <c r="AI161" s="1036"/>
      <c r="AJ161" s="1036"/>
      <c r="AK161" s="1036"/>
      <c r="AL161" s="1036"/>
      <c r="AM161" s="1036"/>
      <c r="AN161" s="1036"/>
      <c r="AO161" s="1036"/>
      <c r="AP161" s="1036"/>
      <c r="AQ161" s="1036"/>
      <c r="AR161" s="1036"/>
      <c r="AS161" s="1036"/>
      <c r="AT161" s="1036"/>
      <c r="AU161" s="1036"/>
      <c r="AV161" s="1036"/>
      <c r="AW161" s="1036"/>
      <c r="AX161" s="1036"/>
      <c r="AY161" s="1037"/>
    </row>
    <row r="162" spans="2:51" s="2001" customFormat="1" ht="12.75" customHeight="1">
      <c r="B162" s="2109" t="str">
        <f>+$B$8</f>
        <v>病院・ホテル</v>
      </c>
      <c r="C162" s="1045">
        <v>45370</v>
      </c>
      <c r="D162" s="1046" t="s">
        <v>434</v>
      </c>
      <c r="E162" s="1047">
        <v>1.5</v>
      </c>
      <c r="F162" s="1047" t="s">
        <v>375</v>
      </c>
      <c r="G162" s="1047">
        <v>1</v>
      </c>
      <c r="H162" s="1047" t="s">
        <v>435</v>
      </c>
      <c r="I162" s="1053">
        <v>0.8</v>
      </c>
      <c r="J162" s="2030"/>
      <c r="K162" s="2031"/>
      <c r="L162" s="1082"/>
      <c r="M162" s="1082"/>
      <c r="N162" s="1082"/>
      <c r="O162" s="1082"/>
      <c r="P162" s="1082"/>
      <c r="Q162" s="1082"/>
      <c r="R162" s="1082"/>
      <c r="S162" s="1451"/>
      <c r="T162" s="1452"/>
      <c r="U162" s="1451"/>
      <c r="V162" s="1452"/>
      <c r="W162" s="1451"/>
      <c r="X162" s="1452"/>
      <c r="Y162" s="1483"/>
      <c r="Z162" s="1035"/>
      <c r="AA162" s="1036"/>
      <c r="AB162" s="1036"/>
      <c r="AC162" s="1036"/>
      <c r="AD162" s="1036"/>
      <c r="AE162" s="1036"/>
      <c r="AF162" s="1036"/>
      <c r="AG162" s="1036"/>
      <c r="AH162" s="1036"/>
      <c r="AI162" s="1036"/>
      <c r="AJ162" s="1036"/>
      <c r="AK162" s="1036"/>
      <c r="AL162" s="1036"/>
      <c r="AM162" s="1036"/>
      <c r="AN162" s="1036"/>
      <c r="AO162" s="1036"/>
      <c r="AP162" s="1036"/>
      <c r="AQ162" s="1036"/>
      <c r="AR162" s="1036"/>
      <c r="AS162" s="1036"/>
      <c r="AT162" s="1036"/>
      <c r="AU162" s="1036"/>
      <c r="AV162" s="1036"/>
      <c r="AW162" s="1036"/>
      <c r="AX162" s="1036"/>
      <c r="AY162" s="1037"/>
    </row>
    <row r="163" spans="2:51" s="2001" customFormat="1" ht="12.75" customHeight="1">
      <c r="B163" s="2109" t="str">
        <f>+$B$9</f>
        <v>工場・倉庫・市場</v>
      </c>
      <c r="C163" s="1045">
        <v>45370</v>
      </c>
      <c r="D163" s="1046" t="s">
        <v>434</v>
      </c>
      <c r="E163" s="1047">
        <v>1.5</v>
      </c>
      <c r="F163" s="1047" t="s">
        <v>375</v>
      </c>
      <c r="G163" s="1047">
        <v>1</v>
      </c>
      <c r="H163" s="1047" t="s">
        <v>435</v>
      </c>
      <c r="I163" s="1053">
        <v>0.8</v>
      </c>
      <c r="J163" s="2030"/>
      <c r="K163" s="2031"/>
      <c r="L163" s="1082"/>
      <c r="M163" s="1082"/>
      <c r="N163" s="1082"/>
      <c r="O163" s="1082"/>
      <c r="P163" s="1082"/>
      <c r="Q163" s="1082"/>
      <c r="R163" s="1082"/>
      <c r="S163" s="1451"/>
      <c r="T163" s="1452"/>
      <c r="U163" s="1451"/>
      <c r="V163" s="1452"/>
      <c r="W163" s="1451"/>
      <c r="X163" s="1452"/>
      <c r="Y163" s="1483"/>
      <c r="Z163" s="1035"/>
      <c r="AA163" s="1036"/>
      <c r="AB163" s="1036"/>
      <c r="AC163" s="1036"/>
      <c r="AD163" s="1036"/>
      <c r="AE163" s="1036"/>
      <c r="AF163" s="1036"/>
      <c r="AG163" s="1036"/>
      <c r="AH163" s="1036"/>
      <c r="AI163" s="1036"/>
      <c r="AJ163" s="1036"/>
      <c r="AK163" s="1036"/>
      <c r="AL163" s="1036"/>
      <c r="AM163" s="1036"/>
      <c r="AN163" s="1036"/>
      <c r="AO163" s="1036"/>
      <c r="AP163" s="1036"/>
      <c r="AQ163" s="1036"/>
      <c r="AR163" s="1036"/>
      <c r="AS163" s="1036"/>
      <c r="AT163" s="1036"/>
      <c r="AU163" s="1036"/>
      <c r="AV163" s="1036"/>
      <c r="AW163" s="1036"/>
      <c r="AX163" s="1036"/>
      <c r="AY163" s="1037"/>
    </row>
    <row r="164" spans="2:51" s="2001" customFormat="1" ht="12.75" customHeight="1">
      <c r="B164" s="2110" t="str">
        <f>+$B$10</f>
        <v>劇場型建物</v>
      </c>
      <c r="C164" s="2463">
        <v>45370</v>
      </c>
      <c r="D164" s="1060" t="s">
        <v>434</v>
      </c>
      <c r="E164" s="1061">
        <v>1.5</v>
      </c>
      <c r="F164" s="1061" t="s">
        <v>375</v>
      </c>
      <c r="G164" s="1061">
        <v>1</v>
      </c>
      <c r="H164" s="1061" t="s">
        <v>435</v>
      </c>
      <c r="I164" s="1064">
        <v>0.8</v>
      </c>
      <c r="J164" s="2053"/>
      <c r="K164" s="2034"/>
      <c r="L164" s="1858"/>
      <c r="M164" s="1858"/>
      <c r="N164" s="1858"/>
      <c r="O164" s="1858"/>
      <c r="P164" s="1858"/>
      <c r="Q164" s="1858"/>
      <c r="R164" s="1858"/>
      <c r="S164" s="2055"/>
      <c r="T164" s="1455"/>
      <c r="U164" s="1454"/>
      <c r="V164" s="1455"/>
      <c r="W164" s="1454"/>
      <c r="X164" s="1455"/>
      <c r="Y164" s="1486"/>
      <c r="Z164" s="1035"/>
      <c r="AA164" s="1036"/>
      <c r="AB164" s="1036"/>
      <c r="AC164" s="1036"/>
      <c r="AD164" s="1036"/>
      <c r="AE164" s="1036"/>
      <c r="AF164" s="1036"/>
      <c r="AG164" s="1036"/>
      <c r="AH164" s="1036"/>
      <c r="AI164" s="1036"/>
      <c r="AJ164" s="1036"/>
      <c r="AK164" s="1036"/>
      <c r="AL164" s="1036"/>
      <c r="AM164" s="1036"/>
      <c r="AN164" s="1036"/>
      <c r="AO164" s="1036"/>
      <c r="AP164" s="1036"/>
      <c r="AQ164" s="1036"/>
      <c r="AR164" s="1036"/>
      <c r="AS164" s="1036"/>
      <c r="AT164" s="1036"/>
      <c r="AU164" s="1036"/>
      <c r="AV164" s="1036"/>
      <c r="AW164" s="1036"/>
      <c r="AX164" s="1036"/>
      <c r="AY164" s="1037"/>
    </row>
    <row r="165" spans="2:51" s="2001" customFormat="1" ht="12.75" customHeight="1">
      <c r="B165" s="1008" t="s">
        <v>359</v>
      </c>
      <c r="C165" s="1121" t="s">
        <v>2136</v>
      </c>
      <c r="D165" s="3866" t="s">
        <v>794</v>
      </c>
      <c r="E165" s="3867"/>
      <c r="F165" s="3867"/>
      <c r="G165" s="3867"/>
      <c r="H165" s="3867"/>
      <c r="I165" s="3867"/>
      <c r="J165" s="3867"/>
      <c r="K165" s="3867"/>
      <c r="L165" s="2037"/>
      <c r="M165" s="2037"/>
      <c r="N165" s="2037"/>
      <c r="O165" s="2037"/>
      <c r="P165" s="2037"/>
      <c r="Q165" s="2037"/>
      <c r="R165" s="2037"/>
      <c r="S165" s="2040"/>
      <c r="T165" s="1448"/>
      <c r="U165" s="1448"/>
      <c r="V165" s="1448"/>
      <c r="W165" s="1448"/>
      <c r="X165" s="1448"/>
      <c r="Y165" s="1446"/>
      <c r="Z165" s="1020"/>
      <c r="AA165" s="1021"/>
      <c r="AB165" s="1021"/>
      <c r="AC165" s="1021"/>
      <c r="AD165" s="1021"/>
      <c r="AE165" s="1021"/>
      <c r="AF165" s="1021"/>
      <c r="AG165" s="1021"/>
      <c r="AH165" s="1021"/>
      <c r="AI165" s="1021"/>
      <c r="AJ165" s="1021"/>
      <c r="AK165" s="1021"/>
      <c r="AL165" s="1021"/>
      <c r="AM165" s="1021"/>
      <c r="AN165" s="1021"/>
      <c r="AO165" s="1021"/>
      <c r="AP165" s="1021"/>
      <c r="AQ165" s="1021"/>
      <c r="AR165" s="1021"/>
      <c r="AS165" s="1021"/>
      <c r="AT165" s="1021"/>
      <c r="AU165" s="1021"/>
      <c r="AV165" s="1021"/>
      <c r="AW165" s="1021"/>
      <c r="AX165" s="1021"/>
      <c r="AY165" s="1022"/>
    </row>
    <row r="166" spans="2:51" s="2001" customFormat="1" ht="12.75" customHeight="1">
      <c r="B166" s="1023"/>
      <c r="C166" s="1024" t="s">
        <v>2137</v>
      </c>
      <c r="D166" s="1070" t="s">
        <v>366</v>
      </c>
      <c r="E166" s="1029"/>
      <c r="F166" s="1031" t="s">
        <v>367</v>
      </c>
      <c r="G166" s="1029"/>
      <c r="H166" s="3862" t="s">
        <v>368</v>
      </c>
      <c r="I166" s="3863"/>
      <c r="J166" s="3862" t="s">
        <v>368</v>
      </c>
      <c r="K166" s="3863"/>
      <c r="L166" s="1134"/>
      <c r="M166" s="1134"/>
      <c r="N166" s="1134"/>
      <c r="O166" s="1134"/>
      <c r="P166" s="1134"/>
      <c r="Q166" s="1134"/>
      <c r="R166" s="1134"/>
      <c r="S166" s="1450"/>
      <c r="T166" s="1450"/>
      <c r="U166" s="1450"/>
      <c r="V166" s="1450"/>
      <c r="W166" s="1450"/>
      <c r="X166" s="1450"/>
      <c r="Y166" s="1483"/>
      <c r="Z166" s="1035"/>
      <c r="AA166" s="1036"/>
      <c r="AB166" s="1036"/>
      <c r="AC166" s="1036"/>
      <c r="AD166" s="1036"/>
      <c r="AE166" s="1036"/>
      <c r="AF166" s="1036"/>
      <c r="AG166" s="1036"/>
      <c r="AH166" s="1036"/>
      <c r="AI166" s="1036"/>
      <c r="AJ166" s="1036"/>
      <c r="AK166" s="1036"/>
      <c r="AL166" s="1036"/>
      <c r="AM166" s="1036"/>
      <c r="AN166" s="1036"/>
      <c r="AO166" s="1036"/>
      <c r="AP166" s="1036"/>
      <c r="AQ166" s="1036"/>
      <c r="AR166" s="1036"/>
      <c r="AS166" s="1036"/>
      <c r="AT166" s="1036"/>
      <c r="AU166" s="1036"/>
      <c r="AV166" s="1036"/>
      <c r="AW166" s="1036"/>
      <c r="AX166" s="1036"/>
      <c r="AY166" s="1037"/>
    </row>
    <row r="167" spans="2:51" s="2001" customFormat="1" ht="12.75" customHeight="1">
      <c r="B167" s="2108" t="str">
        <f>+$B$6</f>
        <v>事務所・店舗・百貨店</v>
      </c>
      <c r="C167" s="2258">
        <v>52070</v>
      </c>
      <c r="D167" s="1038" t="s">
        <v>434</v>
      </c>
      <c r="E167" s="1039">
        <v>1.5</v>
      </c>
      <c r="F167" s="1039" t="s">
        <v>375</v>
      </c>
      <c r="G167" s="1039">
        <v>1</v>
      </c>
      <c r="H167" s="1039" t="s">
        <v>435</v>
      </c>
      <c r="I167" s="1042">
        <v>0.7</v>
      </c>
      <c r="J167" s="1039" t="s">
        <v>2282</v>
      </c>
      <c r="K167" s="1042">
        <v>0.55000000000000004</v>
      </c>
      <c r="L167" s="1082"/>
      <c r="M167" s="1082"/>
      <c r="N167" s="1082"/>
      <c r="O167" s="1082"/>
      <c r="P167" s="1082"/>
      <c r="Q167" s="1082"/>
      <c r="R167" s="1082"/>
      <c r="S167" s="1451"/>
      <c r="T167" s="1452"/>
      <c r="U167" s="1451"/>
      <c r="V167" s="1452"/>
      <c r="W167" s="1451"/>
      <c r="X167" s="1452"/>
      <c r="Y167" s="1483"/>
      <c r="Z167" s="1035"/>
      <c r="AA167" s="1036"/>
      <c r="AB167" s="1036"/>
      <c r="AC167" s="1036"/>
      <c r="AD167" s="1036"/>
      <c r="AE167" s="1036"/>
      <c r="AF167" s="1036"/>
      <c r="AG167" s="1036"/>
      <c r="AH167" s="1036"/>
      <c r="AI167" s="1036"/>
      <c r="AJ167" s="1036"/>
      <c r="AK167" s="1036"/>
      <c r="AL167" s="1036"/>
      <c r="AM167" s="1036"/>
      <c r="AN167" s="1036"/>
      <c r="AO167" s="1036"/>
      <c r="AP167" s="1036"/>
      <c r="AQ167" s="1036"/>
      <c r="AR167" s="1036"/>
      <c r="AS167" s="1036"/>
      <c r="AT167" s="1036"/>
      <c r="AU167" s="1036"/>
      <c r="AV167" s="1036"/>
      <c r="AW167" s="1036"/>
      <c r="AX167" s="1036"/>
      <c r="AY167" s="1037"/>
    </row>
    <row r="168" spans="2:51" s="2001" customFormat="1" ht="12.75" customHeight="1">
      <c r="B168" s="2109" t="str">
        <f>+$B$7</f>
        <v>住宅・アパート</v>
      </c>
      <c r="C168" s="1045">
        <v>52070</v>
      </c>
      <c r="D168" s="1046" t="s">
        <v>434</v>
      </c>
      <c r="E168" s="1047">
        <v>1.5</v>
      </c>
      <c r="F168" s="1047" t="s">
        <v>375</v>
      </c>
      <c r="G168" s="1047">
        <v>1</v>
      </c>
      <c r="H168" s="1047" t="s">
        <v>435</v>
      </c>
      <c r="I168" s="1053">
        <v>0.7</v>
      </c>
      <c r="J168" s="1047" t="s">
        <v>2282</v>
      </c>
      <c r="K168" s="1053">
        <v>0.55000000000000004</v>
      </c>
      <c r="L168" s="1082"/>
      <c r="M168" s="1082"/>
      <c r="N168" s="1082"/>
      <c r="O168" s="1082"/>
      <c r="P168" s="1082"/>
      <c r="Q168" s="1082"/>
      <c r="R168" s="1082"/>
      <c r="S168" s="1451"/>
      <c r="T168" s="1499"/>
      <c r="U168" s="1451"/>
      <c r="V168" s="1499"/>
      <c r="W168" s="1451"/>
      <c r="X168" s="1499"/>
      <c r="Y168" s="1483"/>
      <c r="Z168" s="1035"/>
      <c r="AA168" s="1036"/>
      <c r="AB168" s="1036"/>
      <c r="AC168" s="1036"/>
      <c r="AD168" s="1036"/>
      <c r="AE168" s="1036"/>
      <c r="AF168" s="1036"/>
      <c r="AG168" s="1036"/>
      <c r="AH168" s="1036"/>
      <c r="AI168" s="1036"/>
      <c r="AJ168" s="1036"/>
      <c r="AK168" s="1036"/>
      <c r="AL168" s="1036"/>
      <c r="AM168" s="1036"/>
      <c r="AN168" s="1036"/>
      <c r="AO168" s="1036"/>
      <c r="AP168" s="1036"/>
      <c r="AQ168" s="1036"/>
      <c r="AR168" s="1036"/>
      <c r="AS168" s="1036"/>
      <c r="AT168" s="1036"/>
      <c r="AU168" s="1036"/>
      <c r="AV168" s="1036"/>
      <c r="AW168" s="1036"/>
      <c r="AX168" s="1036"/>
      <c r="AY168" s="1037"/>
    </row>
    <row r="169" spans="2:51" s="2001" customFormat="1" ht="12.75" customHeight="1">
      <c r="B169" s="2109" t="str">
        <f>+$B$8</f>
        <v>病院・ホテル</v>
      </c>
      <c r="C169" s="1045">
        <v>52070</v>
      </c>
      <c r="D169" s="1046" t="s">
        <v>434</v>
      </c>
      <c r="E169" s="1047">
        <v>1.5</v>
      </c>
      <c r="F169" s="1047" t="s">
        <v>375</v>
      </c>
      <c r="G169" s="1047">
        <v>1</v>
      </c>
      <c r="H169" s="1047" t="s">
        <v>435</v>
      </c>
      <c r="I169" s="1053">
        <v>0.7</v>
      </c>
      <c r="J169" s="1047" t="s">
        <v>2282</v>
      </c>
      <c r="K169" s="1053">
        <v>0.55000000000000004</v>
      </c>
      <c r="L169" s="1082"/>
      <c r="M169" s="1082"/>
      <c r="N169" s="1082"/>
      <c r="O169" s="1082"/>
      <c r="P169" s="1082"/>
      <c r="Q169" s="1082"/>
      <c r="R169" s="1082"/>
      <c r="S169" s="1451"/>
      <c r="T169" s="1452"/>
      <c r="U169" s="1451"/>
      <c r="V169" s="1452"/>
      <c r="W169" s="1451"/>
      <c r="X169" s="1452"/>
      <c r="Y169" s="1483"/>
      <c r="Z169" s="1035"/>
      <c r="AA169" s="1036"/>
      <c r="AB169" s="1036"/>
      <c r="AC169" s="1036"/>
      <c r="AD169" s="1036"/>
      <c r="AE169" s="1036"/>
      <c r="AF169" s="1036"/>
      <c r="AG169" s="1036"/>
      <c r="AH169" s="1036"/>
      <c r="AI169" s="1036"/>
      <c r="AJ169" s="1036"/>
      <c r="AK169" s="1036"/>
      <c r="AL169" s="1036"/>
      <c r="AM169" s="1036"/>
      <c r="AN169" s="1036"/>
      <c r="AO169" s="1036"/>
      <c r="AP169" s="1036"/>
      <c r="AQ169" s="1036"/>
      <c r="AR169" s="1036"/>
      <c r="AS169" s="1036"/>
      <c r="AT169" s="1036"/>
      <c r="AU169" s="1036"/>
      <c r="AV169" s="1036"/>
      <c r="AW169" s="1036"/>
      <c r="AX169" s="1036"/>
      <c r="AY169" s="1037"/>
    </row>
    <row r="170" spans="2:51" s="2001" customFormat="1" ht="12.75" customHeight="1">
      <c r="B170" s="2109" t="str">
        <f>+$B$9</f>
        <v>工場・倉庫・市場</v>
      </c>
      <c r="C170" s="1045">
        <v>52070</v>
      </c>
      <c r="D170" s="1046" t="s">
        <v>434</v>
      </c>
      <c r="E170" s="1047">
        <v>1.5</v>
      </c>
      <c r="F170" s="1047" t="s">
        <v>375</v>
      </c>
      <c r="G170" s="1047">
        <v>1</v>
      </c>
      <c r="H170" s="1047" t="s">
        <v>435</v>
      </c>
      <c r="I170" s="1053">
        <v>0.7</v>
      </c>
      <c r="J170" s="1047" t="s">
        <v>2282</v>
      </c>
      <c r="K170" s="1053">
        <v>0.55000000000000004</v>
      </c>
      <c r="L170" s="1082"/>
      <c r="M170" s="1082"/>
      <c r="N170" s="1082"/>
      <c r="O170" s="1082"/>
      <c r="P170" s="1082"/>
      <c r="Q170" s="1082"/>
      <c r="R170" s="1082"/>
      <c r="S170" s="1451"/>
      <c r="T170" s="1452"/>
      <c r="U170" s="1451"/>
      <c r="V170" s="1452"/>
      <c r="W170" s="1451"/>
      <c r="X170" s="1452"/>
      <c r="Y170" s="1483"/>
      <c r="Z170" s="1035"/>
      <c r="AA170" s="1036"/>
      <c r="AB170" s="1036"/>
      <c r="AC170" s="1036"/>
      <c r="AD170" s="1036"/>
      <c r="AE170" s="1036"/>
      <c r="AF170" s="1036"/>
      <c r="AG170" s="1036"/>
      <c r="AH170" s="1036"/>
      <c r="AI170" s="1036"/>
      <c r="AJ170" s="1036"/>
      <c r="AK170" s="1036"/>
      <c r="AL170" s="1036"/>
      <c r="AM170" s="1036"/>
      <c r="AN170" s="1036"/>
      <c r="AO170" s="1036"/>
      <c r="AP170" s="1036"/>
      <c r="AQ170" s="1036"/>
      <c r="AR170" s="1036"/>
      <c r="AS170" s="1036"/>
      <c r="AT170" s="1036"/>
      <c r="AU170" s="1036"/>
      <c r="AV170" s="1036"/>
      <c r="AW170" s="1036"/>
      <c r="AX170" s="1036"/>
      <c r="AY170" s="1037"/>
    </row>
    <row r="171" spans="2:51" s="2001" customFormat="1" ht="12.75" customHeight="1">
      <c r="B171" s="2110" t="str">
        <f>+$B$10</f>
        <v>劇場型建物</v>
      </c>
      <c r="C171" s="2463">
        <v>52070</v>
      </c>
      <c r="D171" s="1060" t="s">
        <v>434</v>
      </c>
      <c r="E171" s="1061">
        <v>1.5</v>
      </c>
      <c r="F171" s="1061" t="s">
        <v>375</v>
      </c>
      <c r="G171" s="1061">
        <v>1</v>
      </c>
      <c r="H171" s="1061" t="s">
        <v>435</v>
      </c>
      <c r="I171" s="1064">
        <v>0.7</v>
      </c>
      <c r="J171" s="1061" t="s">
        <v>2282</v>
      </c>
      <c r="K171" s="1064">
        <v>0.55000000000000004</v>
      </c>
      <c r="L171" s="1858"/>
      <c r="M171" s="1858"/>
      <c r="N171" s="1858"/>
      <c r="O171" s="1858"/>
      <c r="P171" s="1858"/>
      <c r="Q171" s="1858"/>
      <c r="R171" s="1858"/>
      <c r="S171" s="2055"/>
      <c r="T171" s="1455"/>
      <c r="U171" s="1454"/>
      <c r="V171" s="1455"/>
      <c r="W171" s="1454"/>
      <c r="X171" s="1455"/>
      <c r="Y171" s="1486"/>
      <c r="Z171" s="1035"/>
      <c r="AA171" s="1036"/>
      <c r="AB171" s="1036"/>
      <c r="AC171" s="1036"/>
      <c r="AD171" s="1036"/>
      <c r="AE171" s="1036"/>
      <c r="AF171" s="1036"/>
      <c r="AG171" s="1036"/>
      <c r="AH171" s="1036"/>
      <c r="AI171" s="1036"/>
      <c r="AJ171" s="1036"/>
      <c r="AK171" s="1036"/>
      <c r="AL171" s="1036"/>
      <c r="AM171" s="1036"/>
      <c r="AN171" s="1036"/>
      <c r="AO171" s="1036"/>
      <c r="AP171" s="1036"/>
      <c r="AQ171" s="1036"/>
      <c r="AR171" s="1036"/>
      <c r="AS171" s="1036"/>
      <c r="AT171" s="1036"/>
      <c r="AU171" s="1036"/>
      <c r="AV171" s="1036"/>
      <c r="AW171" s="1036"/>
      <c r="AX171" s="1036"/>
      <c r="AY171" s="1037"/>
    </row>
    <row r="172" spans="2:51" s="2001" customFormat="1" ht="12.75" customHeight="1">
      <c r="B172" s="1008" t="s">
        <v>359</v>
      </c>
      <c r="C172" s="1121" t="s">
        <v>2298</v>
      </c>
      <c r="D172" s="1987" t="s">
        <v>196</v>
      </c>
      <c r="E172" s="1124"/>
      <c r="F172" s="1124"/>
      <c r="G172" s="1124"/>
      <c r="H172" s="1124"/>
      <c r="I172" s="1125"/>
      <c r="J172" s="1987" t="s">
        <v>794</v>
      </c>
      <c r="K172" s="1124"/>
      <c r="L172" s="1124"/>
      <c r="M172" s="1124"/>
      <c r="N172" s="1124"/>
      <c r="O172" s="1125"/>
      <c r="P172" s="1126"/>
      <c r="Q172" s="1126"/>
      <c r="R172" s="1126"/>
      <c r="S172" s="1118"/>
      <c r="T172" s="1126"/>
      <c r="U172" s="1118"/>
      <c r="V172" s="1098"/>
      <c r="W172" s="1098"/>
      <c r="X172" s="1098"/>
      <c r="Y172" s="1098"/>
      <c r="Z172" s="1098"/>
      <c r="AA172" s="1098"/>
      <c r="AB172" s="1020"/>
      <c r="AC172" s="1020"/>
      <c r="AD172" s="1021"/>
      <c r="AE172" s="1021"/>
      <c r="AF172" s="1021"/>
      <c r="AG172" s="1021"/>
      <c r="AH172" s="1021"/>
      <c r="AI172" s="1021"/>
      <c r="AJ172" s="1021"/>
      <c r="AK172" s="1021"/>
      <c r="AL172" s="1021"/>
      <c r="AM172" s="1021"/>
      <c r="AN172" s="1021"/>
      <c r="AO172" s="1021"/>
      <c r="AP172" s="1021"/>
      <c r="AQ172" s="1021"/>
      <c r="AR172" s="1021"/>
      <c r="AS172" s="1021"/>
      <c r="AT172" s="1021"/>
      <c r="AU172" s="1021"/>
      <c r="AV172" s="1021"/>
      <c r="AW172" s="1021"/>
      <c r="AX172" s="1021"/>
      <c r="AY172" s="1022"/>
    </row>
    <row r="173" spans="2:51" s="2001" customFormat="1" ht="12.75" customHeight="1">
      <c r="B173" s="1023"/>
      <c r="C173" s="1024" t="s">
        <v>2138</v>
      </c>
      <c r="D173" s="1070" t="s">
        <v>366</v>
      </c>
      <c r="E173" s="1029"/>
      <c r="F173" s="1031" t="s">
        <v>367</v>
      </c>
      <c r="G173" s="1029"/>
      <c r="H173" s="1031" t="s">
        <v>368</v>
      </c>
      <c r="I173" s="1071"/>
      <c r="J173" s="1070" t="s">
        <v>366</v>
      </c>
      <c r="K173" s="1029"/>
      <c r="L173" s="1031" t="s">
        <v>367</v>
      </c>
      <c r="M173" s="1029"/>
      <c r="N173" s="1031" t="s">
        <v>368</v>
      </c>
      <c r="O173" s="1071"/>
      <c r="P173" s="1500"/>
      <c r="Q173" s="1127"/>
      <c r="R173" s="1127"/>
      <c r="S173" s="1120"/>
      <c r="T173" s="1127"/>
      <c r="U173" s="1120"/>
      <c r="V173" s="1082"/>
      <c r="W173" s="1082"/>
      <c r="X173" s="1082"/>
      <c r="Y173" s="1082"/>
      <c r="Z173" s="1082"/>
      <c r="AA173" s="1082"/>
      <c r="AB173" s="1035"/>
      <c r="AC173" s="1035"/>
      <c r="AD173" s="1036"/>
      <c r="AE173" s="1036"/>
      <c r="AF173" s="1036"/>
      <c r="AG173" s="1036"/>
      <c r="AH173" s="1036"/>
      <c r="AI173" s="1036"/>
      <c r="AJ173" s="1036"/>
      <c r="AK173" s="1036"/>
      <c r="AL173" s="1036"/>
      <c r="AM173" s="1036"/>
      <c r="AN173" s="1036"/>
      <c r="AO173" s="1036"/>
      <c r="AP173" s="1036"/>
      <c r="AQ173" s="1036"/>
      <c r="AR173" s="1036"/>
      <c r="AS173" s="1036"/>
      <c r="AT173" s="1036"/>
      <c r="AU173" s="1036"/>
      <c r="AV173" s="1036"/>
      <c r="AW173" s="1036"/>
      <c r="AX173" s="1036"/>
      <c r="AY173" s="1037"/>
    </row>
    <row r="174" spans="2:51" s="2001" customFormat="1" ht="12.75" customHeight="1">
      <c r="B174" s="2108" t="str">
        <f>+$B$6</f>
        <v>事務所・店舗・百貨店</v>
      </c>
      <c r="C174" s="2258">
        <v>61610</v>
      </c>
      <c r="D174" s="1038" t="s">
        <v>59</v>
      </c>
      <c r="E174" s="1039" t="s">
        <v>59</v>
      </c>
      <c r="F174" s="1039" t="s">
        <v>2140</v>
      </c>
      <c r="G174" s="1039">
        <v>1</v>
      </c>
      <c r="H174" s="1039" t="s">
        <v>2142</v>
      </c>
      <c r="I174" s="1040">
        <v>0.9</v>
      </c>
      <c r="J174" s="1041" t="s">
        <v>434</v>
      </c>
      <c r="K174" s="1039">
        <v>1.3</v>
      </c>
      <c r="L174" s="1039" t="s">
        <v>375</v>
      </c>
      <c r="M174" s="1039">
        <v>1</v>
      </c>
      <c r="N174" s="1039" t="s">
        <v>435</v>
      </c>
      <c r="O174" s="1040">
        <v>0.7</v>
      </c>
      <c r="P174" s="1127"/>
      <c r="Q174" s="1127"/>
      <c r="R174" s="1127"/>
      <c r="S174" s="1120"/>
      <c r="T174" s="1127"/>
      <c r="U174" s="1120"/>
      <c r="V174" s="1082"/>
      <c r="W174" s="1082"/>
      <c r="X174" s="1082"/>
      <c r="Y174" s="1082"/>
      <c r="Z174" s="1082"/>
      <c r="AA174" s="1082"/>
      <c r="AB174" s="1035"/>
      <c r="AC174" s="1035"/>
      <c r="AD174" s="1036"/>
      <c r="AE174" s="1036"/>
      <c r="AF174" s="1036"/>
      <c r="AG174" s="1036"/>
      <c r="AH174" s="1036"/>
      <c r="AI174" s="1036"/>
      <c r="AJ174" s="1036"/>
      <c r="AK174" s="1036"/>
      <c r="AL174" s="1036"/>
      <c r="AM174" s="1036"/>
      <c r="AN174" s="1036"/>
      <c r="AO174" s="1036"/>
      <c r="AP174" s="1036"/>
      <c r="AQ174" s="1036"/>
      <c r="AR174" s="1036"/>
      <c r="AS174" s="1036"/>
      <c r="AT174" s="1036"/>
      <c r="AU174" s="1036"/>
      <c r="AV174" s="1036"/>
      <c r="AW174" s="1036"/>
      <c r="AX174" s="1036"/>
      <c r="AY174" s="1037"/>
    </row>
    <row r="175" spans="2:51" s="2001" customFormat="1" ht="12.75" customHeight="1">
      <c r="B175" s="2109" t="str">
        <f>+$B$7</f>
        <v>住宅・アパート</v>
      </c>
      <c r="C175" s="1045">
        <v>61610</v>
      </c>
      <c r="D175" s="1046" t="s">
        <v>1195</v>
      </c>
      <c r="E175" s="1047" t="s">
        <v>1195</v>
      </c>
      <c r="F175" s="1047" t="s">
        <v>2139</v>
      </c>
      <c r="G175" s="1047">
        <v>1</v>
      </c>
      <c r="H175" s="1047" t="s">
        <v>2141</v>
      </c>
      <c r="I175" s="1048">
        <v>0.9</v>
      </c>
      <c r="J175" s="1056" t="s">
        <v>434</v>
      </c>
      <c r="K175" s="1047">
        <v>1.3</v>
      </c>
      <c r="L175" s="1047" t="s">
        <v>375</v>
      </c>
      <c r="M175" s="1047">
        <v>1</v>
      </c>
      <c r="N175" s="1047" t="s">
        <v>435</v>
      </c>
      <c r="O175" s="1048">
        <v>0.7</v>
      </c>
      <c r="P175" s="1127"/>
      <c r="Q175" s="1127"/>
      <c r="R175" s="1127"/>
      <c r="S175" s="1120"/>
      <c r="T175" s="1127"/>
      <c r="U175" s="1120"/>
      <c r="V175" s="1082"/>
      <c r="W175" s="1082"/>
      <c r="X175" s="1082"/>
      <c r="Y175" s="1082"/>
      <c r="Z175" s="1082"/>
      <c r="AA175" s="1082"/>
      <c r="AB175" s="1035"/>
      <c r="AC175" s="1035"/>
      <c r="AD175" s="1036"/>
      <c r="AE175" s="1036"/>
      <c r="AF175" s="1036"/>
      <c r="AG175" s="1036"/>
      <c r="AH175" s="1036"/>
      <c r="AI175" s="1036"/>
      <c r="AJ175" s="1036"/>
      <c r="AK175" s="1036"/>
      <c r="AL175" s="1036"/>
      <c r="AM175" s="1036"/>
      <c r="AN175" s="1036"/>
      <c r="AO175" s="1036"/>
      <c r="AP175" s="1036"/>
      <c r="AQ175" s="1036"/>
      <c r="AR175" s="1036"/>
      <c r="AS175" s="1036"/>
      <c r="AT175" s="1036"/>
      <c r="AU175" s="1036"/>
      <c r="AV175" s="1036"/>
      <c r="AW175" s="1036"/>
      <c r="AX175" s="1036"/>
      <c r="AY175" s="1037"/>
    </row>
    <row r="176" spans="2:51" s="2001" customFormat="1" ht="12.75" customHeight="1">
      <c r="B176" s="2109" t="str">
        <f>+$B$8</f>
        <v>病院・ホテル</v>
      </c>
      <c r="C176" s="1045">
        <v>61610</v>
      </c>
      <c r="D176" s="1046" t="s">
        <v>1195</v>
      </c>
      <c r="E176" s="1047" t="s">
        <v>1195</v>
      </c>
      <c r="F176" s="1047" t="s">
        <v>2139</v>
      </c>
      <c r="G176" s="1047">
        <v>1</v>
      </c>
      <c r="H176" s="1047" t="s">
        <v>2141</v>
      </c>
      <c r="I176" s="1048">
        <v>0.9</v>
      </c>
      <c r="J176" s="1056" t="s">
        <v>434</v>
      </c>
      <c r="K176" s="1047">
        <v>1.3</v>
      </c>
      <c r="L176" s="1047" t="s">
        <v>375</v>
      </c>
      <c r="M176" s="1047">
        <v>1</v>
      </c>
      <c r="N176" s="1047" t="s">
        <v>435</v>
      </c>
      <c r="O176" s="1048">
        <v>0.7</v>
      </c>
      <c r="P176" s="1127"/>
      <c r="Q176" s="1127"/>
      <c r="R176" s="1127"/>
      <c r="S176" s="1120"/>
      <c r="T176" s="1127"/>
      <c r="U176" s="1120"/>
      <c r="V176" s="1082"/>
      <c r="W176" s="1082"/>
      <c r="X176" s="1082"/>
      <c r="Y176" s="1082"/>
      <c r="Z176" s="1082"/>
      <c r="AA176" s="1082"/>
      <c r="AB176" s="1035"/>
      <c r="AC176" s="1035"/>
      <c r="AD176" s="1036"/>
      <c r="AE176" s="1036"/>
      <c r="AF176" s="1036"/>
      <c r="AG176" s="1036"/>
      <c r="AH176" s="1036"/>
      <c r="AI176" s="1036"/>
      <c r="AJ176" s="1036"/>
      <c r="AK176" s="1036"/>
      <c r="AL176" s="1036"/>
      <c r="AM176" s="1036"/>
      <c r="AN176" s="1036"/>
      <c r="AO176" s="1036"/>
      <c r="AP176" s="1036"/>
      <c r="AQ176" s="1036"/>
      <c r="AR176" s="1036"/>
      <c r="AS176" s="1036"/>
      <c r="AT176" s="1036"/>
      <c r="AU176" s="1036"/>
      <c r="AV176" s="1036"/>
      <c r="AW176" s="1036"/>
      <c r="AX176" s="1036"/>
      <c r="AY176" s="1037"/>
    </row>
    <row r="177" spans="2:51" s="2001" customFormat="1" ht="12.75" customHeight="1">
      <c r="B177" s="2109" t="str">
        <f>+$B$9</f>
        <v>工場・倉庫・市場</v>
      </c>
      <c r="C177" s="1045">
        <v>61610</v>
      </c>
      <c r="D177" s="1046" t="s">
        <v>1195</v>
      </c>
      <c r="E177" s="1047" t="s">
        <v>1195</v>
      </c>
      <c r="F177" s="1047" t="s">
        <v>2139</v>
      </c>
      <c r="G177" s="1047">
        <v>1</v>
      </c>
      <c r="H177" s="1047" t="s">
        <v>2141</v>
      </c>
      <c r="I177" s="1048">
        <v>0.9</v>
      </c>
      <c r="J177" s="1056" t="s">
        <v>434</v>
      </c>
      <c r="K177" s="1047">
        <v>1.5</v>
      </c>
      <c r="L177" s="1047" t="s">
        <v>375</v>
      </c>
      <c r="M177" s="1047">
        <v>1</v>
      </c>
      <c r="N177" s="1047" t="s">
        <v>435</v>
      </c>
      <c r="O177" s="1048">
        <v>0.7</v>
      </c>
      <c r="P177" s="1127"/>
      <c r="Q177" s="1127"/>
      <c r="R177" s="1127"/>
      <c r="S177" s="1120"/>
      <c r="T177" s="1127"/>
      <c r="U177" s="1120"/>
      <c r="V177" s="1082"/>
      <c r="W177" s="1082"/>
      <c r="X177" s="1082"/>
      <c r="Y177" s="1082"/>
      <c r="Z177" s="1082"/>
      <c r="AA177" s="1082"/>
      <c r="AB177" s="1035"/>
      <c r="AC177" s="1035"/>
      <c r="AD177" s="1036"/>
      <c r="AE177" s="1036"/>
      <c r="AF177" s="1036"/>
      <c r="AG177" s="1036"/>
      <c r="AH177" s="1036"/>
      <c r="AI177" s="1036"/>
      <c r="AJ177" s="1036"/>
      <c r="AK177" s="1036"/>
      <c r="AL177" s="1036"/>
      <c r="AM177" s="1036"/>
      <c r="AN177" s="1036"/>
      <c r="AO177" s="1036"/>
      <c r="AP177" s="1036"/>
      <c r="AQ177" s="1036"/>
      <c r="AR177" s="1036"/>
      <c r="AS177" s="1036"/>
      <c r="AT177" s="1036"/>
      <c r="AU177" s="1036"/>
      <c r="AV177" s="1036"/>
      <c r="AW177" s="1036"/>
      <c r="AX177" s="1036"/>
      <c r="AY177" s="1037"/>
    </row>
    <row r="178" spans="2:51" s="2001" customFormat="1" ht="12.75" customHeight="1">
      <c r="B178" s="2110" t="str">
        <f>+$B$10</f>
        <v>劇場型建物</v>
      </c>
      <c r="C178" s="1102">
        <v>61610</v>
      </c>
      <c r="D178" s="1060" t="s">
        <v>1195</v>
      </c>
      <c r="E178" s="1061" t="s">
        <v>1195</v>
      </c>
      <c r="F178" s="1061" t="s">
        <v>2139</v>
      </c>
      <c r="G178" s="1061">
        <v>1</v>
      </c>
      <c r="H178" s="1061" t="s">
        <v>2141</v>
      </c>
      <c r="I178" s="1062">
        <v>0.9</v>
      </c>
      <c r="J178" s="1056" t="s">
        <v>434</v>
      </c>
      <c r="K178" s="1047">
        <v>1.5</v>
      </c>
      <c r="L178" s="1047" t="s">
        <v>375</v>
      </c>
      <c r="M178" s="1047">
        <v>1</v>
      </c>
      <c r="N178" s="1047" t="s">
        <v>435</v>
      </c>
      <c r="O178" s="1048">
        <v>0.7</v>
      </c>
      <c r="P178" s="1127"/>
      <c r="Q178" s="1127"/>
      <c r="R178" s="1127"/>
      <c r="S178" s="1120"/>
      <c r="T178" s="1127"/>
      <c r="U178" s="1120"/>
      <c r="V178" s="1082"/>
      <c r="W178" s="1082"/>
      <c r="X178" s="1082"/>
      <c r="Y178" s="1082"/>
      <c r="Z178" s="1082"/>
      <c r="AA178" s="1082"/>
      <c r="AB178" s="1035"/>
      <c r="AC178" s="1035"/>
      <c r="AD178" s="1036"/>
      <c r="AE178" s="1036"/>
      <c r="AF178" s="1036"/>
      <c r="AG178" s="1036"/>
      <c r="AH178" s="1036"/>
      <c r="AI178" s="1036"/>
      <c r="AJ178" s="1036"/>
      <c r="AK178" s="1036"/>
      <c r="AL178" s="1036"/>
      <c r="AM178" s="1036"/>
      <c r="AN178" s="1036"/>
      <c r="AO178" s="1036"/>
      <c r="AP178" s="1036"/>
      <c r="AQ178" s="1036"/>
      <c r="AR178" s="1036"/>
      <c r="AS178" s="1036"/>
      <c r="AT178" s="1036"/>
      <c r="AU178" s="1036"/>
      <c r="AV178" s="1036"/>
      <c r="AW178" s="1036"/>
      <c r="AX178" s="1036"/>
      <c r="AY178" s="1037"/>
    </row>
    <row r="179" spans="2:51" s="2001" customFormat="1" ht="12.75" customHeight="1">
      <c r="B179" s="1008" t="s">
        <v>359</v>
      </c>
      <c r="C179" s="1121" t="s">
        <v>2148</v>
      </c>
      <c r="D179" s="1987" t="s">
        <v>1338</v>
      </c>
      <c r="E179" s="1124"/>
      <c r="F179" s="1124"/>
      <c r="G179" s="1124"/>
      <c r="H179" s="1124"/>
      <c r="I179" s="1125"/>
      <c r="J179" s="1987" t="s">
        <v>794</v>
      </c>
      <c r="K179" s="1124"/>
      <c r="L179" s="1124"/>
      <c r="M179" s="1124"/>
      <c r="N179" s="1124"/>
      <c r="O179" s="1125"/>
      <c r="P179" s="1126"/>
      <c r="Q179" s="1126"/>
      <c r="R179" s="1126"/>
      <c r="S179" s="1118"/>
      <c r="T179" s="1126"/>
      <c r="U179" s="1118"/>
      <c r="V179" s="1098"/>
      <c r="W179" s="1098"/>
      <c r="X179" s="1098"/>
      <c r="Y179" s="1098"/>
      <c r="Z179" s="1098"/>
      <c r="AA179" s="1098"/>
      <c r="AB179" s="1020"/>
      <c r="AC179" s="1020"/>
      <c r="AD179" s="1021"/>
      <c r="AE179" s="1021"/>
      <c r="AF179" s="1021"/>
      <c r="AG179" s="1021"/>
      <c r="AH179" s="1021"/>
      <c r="AI179" s="1021"/>
      <c r="AJ179" s="1021"/>
      <c r="AK179" s="1021"/>
      <c r="AL179" s="1021"/>
      <c r="AM179" s="1021"/>
      <c r="AN179" s="1021"/>
      <c r="AO179" s="1021"/>
      <c r="AP179" s="1021"/>
      <c r="AQ179" s="1021"/>
      <c r="AR179" s="1021"/>
      <c r="AS179" s="1021"/>
      <c r="AT179" s="1021"/>
      <c r="AU179" s="1021"/>
      <c r="AV179" s="1021"/>
      <c r="AW179" s="1021"/>
      <c r="AX179" s="1021"/>
      <c r="AY179" s="1022"/>
    </row>
    <row r="180" spans="2:51" s="2001" customFormat="1" ht="12.75" customHeight="1">
      <c r="B180" s="1023"/>
      <c r="C180" s="1024" t="s">
        <v>2149</v>
      </c>
      <c r="D180" s="1070" t="s">
        <v>366</v>
      </c>
      <c r="E180" s="1029"/>
      <c r="F180" s="1031" t="s">
        <v>367</v>
      </c>
      <c r="G180" s="1029"/>
      <c r="H180" s="1031" t="s">
        <v>368</v>
      </c>
      <c r="I180" s="1071"/>
      <c r="J180" s="1070" t="s">
        <v>366</v>
      </c>
      <c r="K180" s="1029"/>
      <c r="L180" s="1031" t="s">
        <v>367</v>
      </c>
      <c r="M180" s="1029"/>
      <c r="N180" s="1031" t="s">
        <v>368</v>
      </c>
      <c r="O180" s="1071"/>
      <c r="P180" s="1500"/>
      <c r="Q180" s="1127"/>
      <c r="R180" s="1127"/>
      <c r="S180" s="1120"/>
      <c r="T180" s="1127"/>
      <c r="U180" s="1120"/>
      <c r="V180" s="1082"/>
      <c r="W180" s="1082"/>
      <c r="X180" s="1082"/>
      <c r="Y180" s="1082"/>
      <c r="Z180" s="1082"/>
      <c r="AA180" s="1082"/>
      <c r="AB180" s="1035"/>
      <c r="AC180" s="1035"/>
      <c r="AD180" s="1036"/>
      <c r="AE180" s="1036"/>
      <c r="AF180" s="1036"/>
      <c r="AG180" s="1036"/>
      <c r="AH180" s="1036"/>
      <c r="AI180" s="1036"/>
      <c r="AJ180" s="1036"/>
      <c r="AK180" s="1036"/>
      <c r="AL180" s="1036"/>
      <c r="AM180" s="1036"/>
      <c r="AN180" s="1036"/>
      <c r="AO180" s="1036"/>
      <c r="AP180" s="1036"/>
      <c r="AQ180" s="1036"/>
      <c r="AR180" s="1036"/>
      <c r="AS180" s="1036"/>
      <c r="AT180" s="1036"/>
      <c r="AU180" s="1036"/>
      <c r="AV180" s="1036"/>
      <c r="AW180" s="1036"/>
      <c r="AX180" s="1036"/>
      <c r="AY180" s="1037"/>
    </row>
    <row r="181" spans="2:51" s="2001" customFormat="1" ht="12.75" customHeight="1">
      <c r="B181" s="2108" t="str">
        <f>+$B$6</f>
        <v>事務所・店舗・百貨店</v>
      </c>
      <c r="C181" s="2141">
        <f>+C182</f>
        <v>74300</v>
      </c>
      <c r="D181" s="2142">
        <f t="shared" ref="D181:O181" si="9">+D182</f>
        <v>120</v>
      </c>
      <c r="E181" s="2143">
        <f t="shared" si="9"/>
        <v>1.4</v>
      </c>
      <c r="F181" s="2143">
        <f t="shared" si="9"/>
        <v>75</v>
      </c>
      <c r="G181" s="2143">
        <f t="shared" si="9"/>
        <v>1</v>
      </c>
      <c r="H181" s="2143">
        <f t="shared" si="9"/>
        <v>60</v>
      </c>
      <c r="I181" s="2137">
        <f t="shared" si="9"/>
        <v>0.9</v>
      </c>
      <c r="J181" s="2145" t="str">
        <f t="shared" si="9"/>
        <v>良い</v>
      </c>
      <c r="K181" s="2143">
        <f t="shared" si="9"/>
        <v>2</v>
      </c>
      <c r="L181" s="2143" t="str">
        <f t="shared" si="9"/>
        <v>普通</v>
      </c>
      <c r="M181" s="2143">
        <f t="shared" si="9"/>
        <v>1</v>
      </c>
      <c r="N181" s="2143" t="str">
        <f t="shared" si="9"/>
        <v>悪い</v>
      </c>
      <c r="O181" s="2144">
        <f t="shared" si="9"/>
        <v>0.7</v>
      </c>
      <c r="P181" s="1127"/>
      <c r="Q181" s="1127"/>
      <c r="R181" s="1127"/>
      <c r="S181" s="1120"/>
      <c r="T181" s="1127"/>
      <c r="U181" s="1120"/>
      <c r="V181" s="1082"/>
      <c r="W181" s="1082"/>
      <c r="X181" s="1082"/>
      <c r="Y181" s="1082"/>
      <c r="Z181" s="1082"/>
      <c r="AA181" s="1082"/>
      <c r="AB181" s="1035"/>
      <c r="AC181" s="1035"/>
      <c r="AD181" s="1036"/>
      <c r="AE181" s="1036"/>
      <c r="AF181" s="1036"/>
      <c r="AG181" s="1036"/>
      <c r="AH181" s="1036"/>
      <c r="AI181" s="1036"/>
      <c r="AJ181" s="1036"/>
      <c r="AK181" s="1036"/>
      <c r="AL181" s="1036"/>
      <c r="AM181" s="1036"/>
      <c r="AN181" s="1036"/>
      <c r="AO181" s="1036"/>
      <c r="AP181" s="1036"/>
      <c r="AQ181" s="1036"/>
      <c r="AR181" s="1036"/>
      <c r="AS181" s="1036"/>
      <c r="AT181" s="1036"/>
      <c r="AU181" s="1036"/>
      <c r="AV181" s="1036"/>
      <c r="AW181" s="1036"/>
      <c r="AX181" s="1036"/>
      <c r="AY181" s="1037"/>
    </row>
    <row r="182" spans="2:51" s="2001" customFormat="1" ht="12.75" customHeight="1">
      <c r="B182" s="2109" t="str">
        <f>+$B$7</f>
        <v>住宅・アパート</v>
      </c>
      <c r="C182" s="1045">
        <v>74300</v>
      </c>
      <c r="D182" s="1050">
        <v>120</v>
      </c>
      <c r="E182" s="1047">
        <v>1.4</v>
      </c>
      <c r="F182" s="1051">
        <v>75</v>
      </c>
      <c r="G182" s="1047">
        <v>1</v>
      </c>
      <c r="H182" s="1051">
        <v>60</v>
      </c>
      <c r="I182" s="1048">
        <v>0.9</v>
      </c>
      <c r="J182" s="1056" t="s">
        <v>434</v>
      </c>
      <c r="K182" s="1047">
        <v>2</v>
      </c>
      <c r="L182" s="1047" t="s">
        <v>375</v>
      </c>
      <c r="M182" s="1047">
        <v>1</v>
      </c>
      <c r="N182" s="1047" t="s">
        <v>435</v>
      </c>
      <c r="O182" s="1048">
        <v>0.7</v>
      </c>
      <c r="P182" s="1101"/>
      <c r="Q182" s="1127"/>
      <c r="R182" s="1127"/>
      <c r="S182" s="1120"/>
      <c r="T182" s="1127"/>
      <c r="U182" s="1120"/>
      <c r="V182" s="1082"/>
      <c r="W182" s="1082"/>
      <c r="X182" s="1082"/>
      <c r="Y182" s="1082"/>
      <c r="Z182" s="1082"/>
      <c r="AA182" s="1082"/>
      <c r="AB182" s="1035"/>
      <c r="AC182" s="1035"/>
      <c r="AD182" s="1036"/>
      <c r="AE182" s="1036"/>
      <c r="AF182" s="1036"/>
      <c r="AG182" s="1036"/>
      <c r="AH182" s="1036"/>
      <c r="AI182" s="1036"/>
      <c r="AJ182" s="1036"/>
      <c r="AK182" s="1036"/>
      <c r="AL182" s="1036"/>
      <c r="AM182" s="1036"/>
      <c r="AN182" s="1036"/>
      <c r="AO182" s="1036"/>
      <c r="AP182" s="1036"/>
      <c r="AQ182" s="1036"/>
      <c r="AR182" s="1036"/>
      <c r="AS182" s="1036"/>
      <c r="AT182" s="1036"/>
      <c r="AU182" s="1036"/>
      <c r="AV182" s="1036"/>
      <c r="AW182" s="1036"/>
      <c r="AX182" s="1036"/>
      <c r="AY182" s="1037"/>
    </row>
    <row r="183" spans="2:51" s="2001" customFormat="1" ht="12.75" customHeight="1">
      <c r="B183" s="2109" t="str">
        <f>+$B$8</f>
        <v>病院・ホテル</v>
      </c>
      <c r="C183" s="1045">
        <v>74300</v>
      </c>
      <c r="D183" s="1050">
        <v>120</v>
      </c>
      <c r="E183" s="1047">
        <v>1.4</v>
      </c>
      <c r="F183" s="1051">
        <v>75</v>
      </c>
      <c r="G183" s="1047">
        <v>1</v>
      </c>
      <c r="H183" s="1051">
        <v>60</v>
      </c>
      <c r="I183" s="1048">
        <v>0.9</v>
      </c>
      <c r="J183" s="1041" t="s">
        <v>434</v>
      </c>
      <c r="K183" s="1039">
        <v>2</v>
      </c>
      <c r="L183" s="1039" t="s">
        <v>375</v>
      </c>
      <c r="M183" s="1039">
        <v>1</v>
      </c>
      <c r="N183" s="1039" t="s">
        <v>435</v>
      </c>
      <c r="O183" s="1040">
        <v>0.7</v>
      </c>
      <c r="P183" s="1101"/>
      <c r="Q183" s="1127"/>
      <c r="R183" s="1127"/>
      <c r="S183" s="1120"/>
      <c r="T183" s="1127"/>
      <c r="U183" s="1120"/>
      <c r="V183" s="1082"/>
      <c r="W183" s="1082"/>
      <c r="X183" s="1082"/>
      <c r="Y183" s="1082"/>
      <c r="Z183" s="1082"/>
      <c r="AA183" s="1082"/>
      <c r="AB183" s="1035"/>
      <c r="AC183" s="1035"/>
      <c r="AD183" s="1036"/>
      <c r="AE183" s="1036"/>
      <c r="AF183" s="1036"/>
      <c r="AG183" s="1036"/>
      <c r="AH183" s="1036"/>
      <c r="AI183" s="1036"/>
      <c r="AJ183" s="1036"/>
      <c r="AK183" s="1036"/>
      <c r="AL183" s="1036"/>
      <c r="AM183" s="1036"/>
      <c r="AN183" s="1036"/>
      <c r="AO183" s="1036"/>
      <c r="AP183" s="1036"/>
      <c r="AQ183" s="1036"/>
      <c r="AR183" s="1036"/>
      <c r="AS183" s="1036"/>
      <c r="AT183" s="1036"/>
      <c r="AU183" s="1036"/>
      <c r="AV183" s="1036"/>
      <c r="AW183" s="1036"/>
      <c r="AX183" s="1036"/>
      <c r="AY183" s="1037"/>
    </row>
    <row r="184" spans="2:51" s="2001" customFormat="1" ht="12.75" customHeight="1">
      <c r="B184" s="2109" t="str">
        <f>+$B$9</f>
        <v>工場・倉庫・市場</v>
      </c>
      <c r="C184" s="2119">
        <f>+C182</f>
        <v>74300</v>
      </c>
      <c r="D184" s="2146">
        <f t="shared" ref="D184:O184" si="10">+D182</f>
        <v>120</v>
      </c>
      <c r="E184" s="2147">
        <f t="shared" si="10"/>
        <v>1.4</v>
      </c>
      <c r="F184" s="2147">
        <f t="shared" si="10"/>
        <v>75</v>
      </c>
      <c r="G184" s="2147">
        <f t="shared" si="10"/>
        <v>1</v>
      </c>
      <c r="H184" s="2147">
        <f t="shared" si="10"/>
        <v>60</v>
      </c>
      <c r="I184" s="2123">
        <f t="shared" si="10"/>
        <v>0.9</v>
      </c>
      <c r="J184" s="2149" t="str">
        <f t="shared" si="10"/>
        <v>良い</v>
      </c>
      <c r="K184" s="2147">
        <f t="shared" si="10"/>
        <v>2</v>
      </c>
      <c r="L184" s="2147" t="str">
        <f t="shared" si="10"/>
        <v>普通</v>
      </c>
      <c r="M184" s="2147">
        <f t="shared" si="10"/>
        <v>1</v>
      </c>
      <c r="N184" s="2147" t="str">
        <f t="shared" si="10"/>
        <v>悪い</v>
      </c>
      <c r="O184" s="2148">
        <f t="shared" si="10"/>
        <v>0.7</v>
      </c>
      <c r="P184" s="1127"/>
      <c r="Q184" s="1127"/>
      <c r="R184" s="1127"/>
      <c r="S184" s="1120"/>
      <c r="T184" s="1127"/>
      <c r="U184" s="1120"/>
      <c r="V184" s="1082"/>
      <c r="W184" s="1082"/>
      <c r="X184" s="1082"/>
      <c r="Y184" s="1082"/>
      <c r="Z184" s="1082"/>
      <c r="AA184" s="1082"/>
      <c r="AB184" s="1035"/>
      <c r="AC184" s="1035"/>
      <c r="AD184" s="1036"/>
      <c r="AE184" s="1036"/>
      <c r="AF184" s="1036"/>
      <c r="AG184" s="1036"/>
      <c r="AH184" s="1036"/>
      <c r="AI184" s="1036"/>
      <c r="AJ184" s="1036"/>
      <c r="AK184" s="1036"/>
      <c r="AL184" s="1036"/>
      <c r="AM184" s="1036"/>
      <c r="AN184" s="1036"/>
      <c r="AO184" s="1036"/>
      <c r="AP184" s="1036"/>
      <c r="AQ184" s="1036"/>
      <c r="AR184" s="1036"/>
      <c r="AS184" s="1036"/>
      <c r="AT184" s="1036"/>
      <c r="AU184" s="1036"/>
      <c r="AV184" s="1036"/>
      <c r="AW184" s="1036"/>
      <c r="AX184" s="1036"/>
      <c r="AY184" s="1037"/>
    </row>
    <row r="185" spans="2:51" s="2001" customFormat="1" ht="12.75" customHeight="1">
      <c r="B185" s="2110" t="str">
        <f>+$B$10</f>
        <v>劇場型建物</v>
      </c>
      <c r="C185" s="2125">
        <f>+C182</f>
        <v>74300</v>
      </c>
      <c r="D185" s="2150">
        <f t="shared" ref="D185:O185" si="11">+D182</f>
        <v>120</v>
      </c>
      <c r="E185" s="2151">
        <f t="shared" si="11"/>
        <v>1.4</v>
      </c>
      <c r="F185" s="2151">
        <f t="shared" si="11"/>
        <v>75</v>
      </c>
      <c r="G185" s="2151">
        <f t="shared" si="11"/>
        <v>1</v>
      </c>
      <c r="H185" s="2151">
        <f t="shared" si="11"/>
        <v>60</v>
      </c>
      <c r="I185" s="2129">
        <f t="shared" si="11"/>
        <v>0.9</v>
      </c>
      <c r="J185" s="2149" t="str">
        <f t="shared" si="11"/>
        <v>良い</v>
      </c>
      <c r="K185" s="2147">
        <f t="shared" si="11"/>
        <v>2</v>
      </c>
      <c r="L185" s="2147" t="str">
        <f t="shared" si="11"/>
        <v>普通</v>
      </c>
      <c r="M185" s="2147">
        <f t="shared" si="11"/>
        <v>1</v>
      </c>
      <c r="N185" s="2147" t="str">
        <f t="shared" si="11"/>
        <v>悪い</v>
      </c>
      <c r="O185" s="2148">
        <f t="shared" si="11"/>
        <v>0.7</v>
      </c>
      <c r="P185" s="1127"/>
      <c r="Q185" s="1127"/>
      <c r="R185" s="1127"/>
      <c r="S185" s="1120"/>
      <c r="T185" s="1127"/>
      <c r="U185" s="1120"/>
      <c r="V185" s="1082"/>
      <c r="W185" s="1082"/>
      <c r="X185" s="1082"/>
      <c r="Y185" s="1082"/>
      <c r="Z185" s="1082"/>
      <c r="AA185" s="1082"/>
      <c r="AB185" s="1035"/>
      <c r="AC185" s="1035"/>
      <c r="AD185" s="1036"/>
      <c r="AE185" s="1036"/>
      <c r="AF185" s="1036"/>
      <c r="AG185" s="1036"/>
      <c r="AH185" s="1036"/>
      <c r="AI185" s="1036"/>
      <c r="AJ185" s="1036"/>
      <c r="AK185" s="1036"/>
      <c r="AL185" s="1036"/>
      <c r="AM185" s="1036"/>
      <c r="AN185" s="1036"/>
      <c r="AO185" s="1036"/>
      <c r="AP185" s="1036"/>
      <c r="AQ185" s="1036"/>
      <c r="AR185" s="1036"/>
      <c r="AS185" s="1036"/>
      <c r="AT185" s="1036"/>
      <c r="AU185" s="1036"/>
      <c r="AV185" s="1036"/>
      <c r="AW185" s="1036"/>
      <c r="AX185" s="1036"/>
      <c r="AY185" s="1037"/>
    </row>
    <row r="186" spans="2:51" ht="12.75" customHeight="1">
      <c r="B186" s="1008" t="s">
        <v>359</v>
      </c>
      <c r="C186" s="1503" t="s">
        <v>2006</v>
      </c>
      <c r="D186" s="1987" t="s">
        <v>2007</v>
      </c>
      <c r="E186" s="1124"/>
      <c r="F186" s="1124"/>
      <c r="G186" s="1124"/>
      <c r="H186" s="1124"/>
      <c r="I186" s="1125"/>
      <c r="J186" s="1987" t="s">
        <v>2008</v>
      </c>
      <c r="K186" s="1124"/>
      <c r="L186" s="1124"/>
      <c r="M186" s="1124"/>
      <c r="N186" s="1124"/>
      <c r="O186" s="1125"/>
      <c r="P186" s="1126"/>
      <c r="Q186" s="1126"/>
      <c r="R186" s="1126"/>
      <c r="S186" s="1118"/>
      <c r="T186" s="1126"/>
      <c r="U186" s="1118"/>
      <c r="V186" s="1098"/>
      <c r="W186" s="1098"/>
      <c r="X186" s="1098"/>
      <c r="Y186" s="1098"/>
      <c r="Z186" s="1098"/>
      <c r="AA186" s="1098"/>
      <c r="AB186" s="1020"/>
      <c r="AC186" s="1020"/>
      <c r="AD186" s="1021"/>
      <c r="AE186" s="1021"/>
      <c r="AF186" s="1021"/>
      <c r="AG186" s="1021"/>
      <c r="AH186" s="1021"/>
      <c r="AI186" s="1021"/>
      <c r="AJ186" s="1021"/>
      <c r="AK186" s="1021"/>
      <c r="AL186" s="1021"/>
      <c r="AM186" s="1021"/>
      <c r="AN186" s="1021"/>
      <c r="AO186" s="1021"/>
      <c r="AP186" s="1021"/>
      <c r="AQ186" s="1021"/>
      <c r="AR186" s="1021"/>
      <c r="AS186" s="1021"/>
      <c r="AT186" s="1021"/>
      <c r="AU186" s="1021"/>
      <c r="AV186" s="1021"/>
      <c r="AW186" s="1021"/>
      <c r="AX186" s="1021"/>
      <c r="AY186" s="1022"/>
    </row>
    <row r="187" spans="2:51" ht="12.75" customHeight="1">
      <c r="B187" s="1023"/>
      <c r="C187" s="1024" t="s">
        <v>430</v>
      </c>
      <c r="D187" s="1070" t="s">
        <v>366</v>
      </c>
      <c r="E187" s="1029"/>
      <c r="F187" s="1031" t="s">
        <v>367</v>
      </c>
      <c r="G187" s="1029"/>
      <c r="H187" s="1031" t="s">
        <v>368</v>
      </c>
      <c r="I187" s="1071"/>
      <c r="J187" s="1070" t="s">
        <v>366</v>
      </c>
      <c r="K187" s="1029"/>
      <c r="L187" s="1031" t="s">
        <v>367</v>
      </c>
      <c r="M187" s="1029"/>
      <c r="N187" s="1031" t="s">
        <v>368</v>
      </c>
      <c r="O187" s="1071"/>
      <c r="P187" s="1494" t="s">
        <v>2323</v>
      </c>
      <c r="Q187" s="1127"/>
      <c r="R187" s="1127"/>
      <c r="S187" s="1120"/>
      <c r="T187" s="1127"/>
      <c r="U187" s="1120"/>
      <c r="V187" s="1082"/>
      <c r="W187" s="1082"/>
      <c r="X187" s="1082"/>
      <c r="Y187" s="1082"/>
      <c r="Z187" s="1082"/>
      <c r="AA187" s="1082"/>
      <c r="AB187" s="1035"/>
      <c r="AC187" s="1035"/>
      <c r="AD187" s="1036"/>
      <c r="AE187" s="1036"/>
      <c r="AF187" s="1036"/>
      <c r="AG187" s="1036"/>
      <c r="AH187" s="1036"/>
      <c r="AI187" s="1036"/>
      <c r="AJ187" s="1036"/>
      <c r="AK187" s="1036"/>
      <c r="AL187" s="1036"/>
      <c r="AM187" s="1036"/>
      <c r="AN187" s="1036"/>
      <c r="AO187" s="1036"/>
      <c r="AP187" s="1036"/>
      <c r="AQ187" s="1036"/>
      <c r="AR187" s="1036"/>
      <c r="AS187" s="1036"/>
      <c r="AT187" s="1036"/>
      <c r="AU187" s="1036"/>
      <c r="AV187" s="1036"/>
      <c r="AW187" s="1036"/>
      <c r="AX187" s="1036"/>
      <c r="AY187" s="1037"/>
    </row>
    <row r="188" spans="2:51" ht="12.75" customHeight="1">
      <c r="B188" s="2108" t="str">
        <f>+$B$6</f>
        <v>事務所・店舗・百貨店</v>
      </c>
      <c r="C188" s="2465">
        <v>325690</v>
      </c>
      <c r="D188" s="2264" t="s">
        <v>431</v>
      </c>
      <c r="E188" s="2265">
        <v>1.5</v>
      </c>
      <c r="F188" s="2265" t="s">
        <v>432</v>
      </c>
      <c r="G188" s="2265">
        <v>1</v>
      </c>
      <c r="H188" s="2265" t="s">
        <v>433</v>
      </c>
      <c r="I188" s="2266">
        <v>0.8</v>
      </c>
      <c r="J188" s="2267" t="s">
        <v>434</v>
      </c>
      <c r="K188" s="2265">
        <v>1.5</v>
      </c>
      <c r="L188" s="2265" t="s">
        <v>375</v>
      </c>
      <c r="M188" s="2265">
        <v>1</v>
      </c>
      <c r="N188" s="2265" t="s">
        <v>435</v>
      </c>
      <c r="O188" s="2266">
        <v>0.9</v>
      </c>
      <c r="P188" s="1127"/>
      <c r="Q188" s="1127"/>
      <c r="R188" s="1127"/>
      <c r="S188" s="1120"/>
      <c r="T188" s="1127"/>
      <c r="U188" s="1120"/>
      <c r="V188" s="1082"/>
      <c r="W188" s="1082"/>
      <c r="X188" s="1082"/>
      <c r="Y188" s="1082"/>
      <c r="Z188" s="1082"/>
      <c r="AA188" s="1082"/>
      <c r="AB188" s="1035"/>
      <c r="AC188" s="1035"/>
      <c r="AD188" s="1036"/>
      <c r="AE188" s="1036"/>
      <c r="AF188" s="1036"/>
      <c r="AG188" s="1036"/>
      <c r="AH188" s="1036"/>
      <c r="AI188" s="1036"/>
      <c r="AJ188" s="1036"/>
      <c r="AK188" s="1036"/>
      <c r="AL188" s="1036"/>
      <c r="AM188" s="1036"/>
      <c r="AN188" s="1036"/>
      <c r="AO188" s="1036"/>
      <c r="AP188" s="1036"/>
      <c r="AQ188" s="1036"/>
      <c r="AR188" s="1036"/>
      <c r="AS188" s="1036"/>
      <c r="AT188" s="1036"/>
      <c r="AU188" s="1036"/>
      <c r="AV188" s="1036"/>
      <c r="AW188" s="1036"/>
      <c r="AX188" s="1036"/>
      <c r="AY188" s="1037"/>
    </row>
    <row r="189" spans="2:51" ht="12.75" customHeight="1">
      <c r="B189" s="2109" t="str">
        <f>+$B$7</f>
        <v>住宅・アパート</v>
      </c>
      <c r="C189" s="2466">
        <v>325690</v>
      </c>
      <c r="D189" s="2268" t="s">
        <v>431</v>
      </c>
      <c r="E189" s="2269">
        <v>1.5</v>
      </c>
      <c r="F189" s="2269" t="s">
        <v>432</v>
      </c>
      <c r="G189" s="2269">
        <v>1</v>
      </c>
      <c r="H189" s="2269" t="s">
        <v>433</v>
      </c>
      <c r="I189" s="2270">
        <v>0.8</v>
      </c>
      <c r="J189" s="2271" t="s">
        <v>434</v>
      </c>
      <c r="K189" s="2269">
        <v>1.5</v>
      </c>
      <c r="L189" s="2269" t="s">
        <v>375</v>
      </c>
      <c r="M189" s="2269">
        <v>1</v>
      </c>
      <c r="N189" s="2269" t="s">
        <v>435</v>
      </c>
      <c r="O189" s="2270">
        <v>0.9</v>
      </c>
      <c r="P189" s="1127"/>
      <c r="Q189" s="1127"/>
      <c r="R189" s="1127"/>
      <c r="S189" s="1120"/>
      <c r="T189" s="1127"/>
      <c r="U189" s="1120"/>
      <c r="V189" s="1082"/>
      <c r="W189" s="1082"/>
      <c r="X189" s="1082"/>
      <c r="Y189" s="1082"/>
      <c r="Z189" s="1082"/>
      <c r="AA189" s="1082"/>
      <c r="AB189" s="1035"/>
      <c r="AC189" s="1035"/>
      <c r="AD189" s="1036"/>
      <c r="AE189" s="1036"/>
      <c r="AF189" s="1036"/>
      <c r="AG189" s="1036"/>
      <c r="AH189" s="1036"/>
      <c r="AI189" s="1036"/>
      <c r="AJ189" s="1036"/>
      <c r="AK189" s="1036"/>
      <c r="AL189" s="1036"/>
      <c r="AM189" s="1036"/>
      <c r="AN189" s="1036"/>
      <c r="AO189" s="1036"/>
      <c r="AP189" s="1036"/>
      <c r="AQ189" s="1036"/>
      <c r="AR189" s="1036"/>
      <c r="AS189" s="1036"/>
      <c r="AT189" s="1036"/>
      <c r="AU189" s="1036"/>
      <c r="AV189" s="1036"/>
      <c r="AW189" s="1036"/>
      <c r="AX189" s="1036"/>
      <c r="AY189" s="1037"/>
    </row>
    <row r="190" spans="2:51" ht="12.75" customHeight="1">
      <c r="B190" s="2109" t="str">
        <f>+$B$8</f>
        <v>病院・ホテル</v>
      </c>
      <c r="C190" s="2466">
        <v>325690</v>
      </c>
      <c r="D190" s="2268" t="s">
        <v>431</v>
      </c>
      <c r="E190" s="2269">
        <v>1.5</v>
      </c>
      <c r="F190" s="2269" t="s">
        <v>432</v>
      </c>
      <c r="G190" s="2269">
        <v>1</v>
      </c>
      <c r="H190" s="2269" t="s">
        <v>433</v>
      </c>
      <c r="I190" s="2270">
        <v>0.8</v>
      </c>
      <c r="J190" s="2267" t="s">
        <v>434</v>
      </c>
      <c r="K190" s="2265">
        <v>1.5</v>
      </c>
      <c r="L190" s="2265" t="s">
        <v>375</v>
      </c>
      <c r="M190" s="2265">
        <v>1</v>
      </c>
      <c r="N190" s="2265" t="s">
        <v>435</v>
      </c>
      <c r="O190" s="2266">
        <v>0.9</v>
      </c>
      <c r="P190" s="1127"/>
      <c r="Q190" s="1127"/>
      <c r="R190" s="1127"/>
      <c r="S190" s="1120"/>
      <c r="T190" s="1127"/>
      <c r="U190" s="1120"/>
      <c r="V190" s="1082"/>
      <c r="W190" s="1082"/>
      <c r="X190" s="1082"/>
      <c r="Y190" s="1082"/>
      <c r="Z190" s="1082"/>
      <c r="AA190" s="1082"/>
      <c r="AB190" s="1035"/>
      <c r="AC190" s="1035"/>
      <c r="AD190" s="1036"/>
      <c r="AE190" s="1036"/>
      <c r="AF190" s="1036"/>
      <c r="AG190" s="1036"/>
      <c r="AH190" s="1036"/>
      <c r="AI190" s="1036"/>
      <c r="AJ190" s="1036"/>
      <c r="AK190" s="1036"/>
      <c r="AL190" s="1036"/>
      <c r="AM190" s="1036"/>
      <c r="AN190" s="1036"/>
      <c r="AO190" s="1036"/>
      <c r="AP190" s="1036"/>
      <c r="AQ190" s="1036"/>
      <c r="AR190" s="1036"/>
      <c r="AS190" s="1036"/>
      <c r="AT190" s="1036"/>
      <c r="AU190" s="1036"/>
      <c r="AV190" s="1036"/>
      <c r="AW190" s="1036"/>
      <c r="AX190" s="1036"/>
      <c r="AY190" s="1037"/>
    </row>
    <row r="191" spans="2:51" ht="12.75" customHeight="1">
      <c r="B191" s="2109" t="str">
        <f>+$B$9</f>
        <v>工場・倉庫・市場</v>
      </c>
      <c r="C191" s="2466">
        <v>325690</v>
      </c>
      <c r="D191" s="2268" t="s">
        <v>431</v>
      </c>
      <c r="E191" s="2269">
        <v>1.5</v>
      </c>
      <c r="F191" s="2269" t="s">
        <v>432</v>
      </c>
      <c r="G191" s="2269">
        <v>1</v>
      </c>
      <c r="H191" s="2269" t="s">
        <v>433</v>
      </c>
      <c r="I191" s="2270">
        <v>0.8</v>
      </c>
      <c r="J191" s="2271" t="s">
        <v>434</v>
      </c>
      <c r="K191" s="2269">
        <v>1.5</v>
      </c>
      <c r="L191" s="2269" t="s">
        <v>375</v>
      </c>
      <c r="M191" s="2269">
        <v>1</v>
      </c>
      <c r="N191" s="2269" t="s">
        <v>435</v>
      </c>
      <c r="O191" s="2270">
        <v>0.9</v>
      </c>
      <c r="P191" s="1127"/>
      <c r="Q191" s="1127"/>
      <c r="R191" s="1127"/>
      <c r="S191" s="1120"/>
      <c r="T191" s="1127"/>
      <c r="U191" s="1120"/>
      <c r="V191" s="1082"/>
      <c r="W191" s="1082"/>
      <c r="X191" s="1082"/>
      <c r="Y191" s="1082"/>
      <c r="Z191" s="1082"/>
      <c r="AA191" s="1082"/>
      <c r="AB191" s="1035"/>
      <c r="AC191" s="1035"/>
      <c r="AD191" s="1036"/>
      <c r="AE191" s="1036"/>
      <c r="AF191" s="1036"/>
      <c r="AG191" s="1036"/>
      <c r="AH191" s="1036"/>
      <c r="AI191" s="1036"/>
      <c r="AJ191" s="1036"/>
      <c r="AK191" s="1036"/>
      <c r="AL191" s="1036"/>
      <c r="AM191" s="1036"/>
      <c r="AN191" s="1036"/>
      <c r="AO191" s="1036"/>
      <c r="AP191" s="1036"/>
      <c r="AQ191" s="1036"/>
      <c r="AR191" s="1036"/>
      <c r="AS191" s="1036"/>
      <c r="AT191" s="1036"/>
      <c r="AU191" s="1036"/>
      <c r="AV191" s="1036"/>
      <c r="AW191" s="1036"/>
      <c r="AX191" s="1036"/>
      <c r="AY191" s="1037"/>
    </row>
    <row r="192" spans="2:51" ht="12.75" customHeight="1">
      <c r="B192" s="2110" t="str">
        <f>+$B$10</f>
        <v>劇場型建物</v>
      </c>
      <c r="C192" s="2467">
        <v>325690</v>
      </c>
      <c r="D192" s="2272" t="s">
        <v>431</v>
      </c>
      <c r="E192" s="2273">
        <v>1.5</v>
      </c>
      <c r="F192" s="2273" t="s">
        <v>432</v>
      </c>
      <c r="G192" s="2273">
        <v>1</v>
      </c>
      <c r="H192" s="2273" t="s">
        <v>433</v>
      </c>
      <c r="I192" s="2274">
        <v>0.8</v>
      </c>
      <c r="J192" s="2271" t="s">
        <v>434</v>
      </c>
      <c r="K192" s="2269">
        <v>1.5</v>
      </c>
      <c r="L192" s="2269" t="s">
        <v>375</v>
      </c>
      <c r="M192" s="2269">
        <v>1</v>
      </c>
      <c r="N192" s="2269" t="s">
        <v>435</v>
      </c>
      <c r="O192" s="2270">
        <v>0.9</v>
      </c>
      <c r="P192" s="1127"/>
      <c r="Q192" s="1127"/>
      <c r="R192" s="1127"/>
      <c r="S192" s="1120"/>
      <c r="T192" s="1127"/>
      <c r="U192" s="1120"/>
      <c r="V192" s="1082"/>
      <c r="W192" s="1082"/>
      <c r="X192" s="1082"/>
      <c r="Y192" s="1082"/>
      <c r="Z192" s="1082"/>
      <c r="AA192" s="1082"/>
      <c r="AB192" s="1035"/>
      <c r="AC192" s="1035"/>
      <c r="AD192" s="1036"/>
      <c r="AE192" s="1036"/>
      <c r="AF192" s="1036"/>
      <c r="AG192" s="1036"/>
      <c r="AH192" s="1036"/>
      <c r="AI192" s="1036"/>
      <c r="AJ192" s="1036"/>
      <c r="AK192" s="1036"/>
      <c r="AL192" s="1036"/>
      <c r="AM192" s="1036"/>
      <c r="AN192" s="1036"/>
      <c r="AO192" s="1036"/>
      <c r="AP192" s="1036"/>
      <c r="AQ192" s="1036"/>
      <c r="AR192" s="1036"/>
      <c r="AS192" s="1036"/>
      <c r="AT192" s="1036"/>
      <c r="AU192" s="1036"/>
      <c r="AV192" s="1036"/>
      <c r="AW192" s="1036"/>
      <c r="AX192" s="1036"/>
      <c r="AY192" s="1037"/>
    </row>
    <row r="193" spans="2:51" ht="12.75" customHeight="1">
      <c r="B193" s="1008" t="s">
        <v>359</v>
      </c>
      <c r="C193" s="1503" t="s">
        <v>2009</v>
      </c>
      <c r="D193" s="1988" t="s">
        <v>2010</v>
      </c>
      <c r="E193" s="1128"/>
      <c r="F193" s="1011"/>
      <c r="G193" s="1011"/>
      <c r="H193" s="1011"/>
      <c r="I193" s="1012"/>
      <c r="J193" s="1989" t="s">
        <v>2011</v>
      </c>
      <c r="K193" s="1128"/>
      <c r="L193" s="1011"/>
      <c r="M193" s="1011"/>
      <c r="N193" s="1011"/>
      <c r="O193" s="1012"/>
      <c r="P193" s="1126"/>
      <c r="Q193" s="1126"/>
      <c r="R193" s="1126"/>
      <c r="S193" s="1118"/>
      <c r="T193" s="1126"/>
      <c r="U193" s="1118"/>
      <c r="V193" s="1098"/>
      <c r="W193" s="1098"/>
      <c r="X193" s="1098"/>
      <c r="Y193" s="1098"/>
      <c r="Z193" s="1098"/>
      <c r="AA193" s="1098"/>
      <c r="AB193" s="1020"/>
      <c r="AC193" s="1020"/>
      <c r="AD193" s="1021"/>
      <c r="AE193" s="1021"/>
      <c r="AF193" s="1021"/>
      <c r="AG193" s="1021"/>
      <c r="AH193" s="1021"/>
      <c r="AI193" s="1021"/>
      <c r="AJ193" s="1021"/>
      <c r="AK193" s="1021"/>
      <c r="AL193" s="1021"/>
      <c r="AM193" s="1021"/>
      <c r="AN193" s="1021"/>
      <c r="AO193" s="1021"/>
      <c r="AP193" s="1021"/>
      <c r="AQ193" s="1021"/>
      <c r="AR193" s="1021"/>
      <c r="AS193" s="1021"/>
      <c r="AT193" s="1021"/>
      <c r="AU193" s="1021"/>
      <c r="AV193" s="1021"/>
      <c r="AW193" s="1021"/>
      <c r="AX193" s="1021"/>
      <c r="AY193" s="1022"/>
    </row>
    <row r="194" spans="2:51" ht="12.75" customHeight="1">
      <c r="B194" s="1023"/>
      <c r="C194" s="1024" t="s">
        <v>436</v>
      </c>
      <c r="D194" s="1070" t="s">
        <v>366</v>
      </c>
      <c r="E194" s="1029"/>
      <c r="F194" s="1031" t="s">
        <v>367</v>
      </c>
      <c r="G194" s="1029"/>
      <c r="H194" s="1031" t="s">
        <v>368</v>
      </c>
      <c r="I194" s="1071"/>
      <c r="J194" s="1070" t="s">
        <v>366</v>
      </c>
      <c r="K194" s="1029"/>
      <c r="L194" s="1031" t="s">
        <v>367</v>
      </c>
      <c r="M194" s="1029"/>
      <c r="N194" s="1031" t="s">
        <v>368</v>
      </c>
      <c r="O194" s="1071"/>
      <c r="P194" s="1494" t="s">
        <v>2323</v>
      </c>
      <c r="Q194" s="1127"/>
      <c r="R194" s="1127"/>
      <c r="S194" s="1120"/>
      <c r="T194" s="1127"/>
      <c r="U194" s="1120"/>
      <c r="V194" s="1082"/>
      <c r="W194" s="1082"/>
      <c r="X194" s="1082"/>
      <c r="Y194" s="1082"/>
      <c r="Z194" s="1082"/>
      <c r="AA194" s="1082"/>
      <c r="AB194" s="1035"/>
      <c r="AC194" s="1035"/>
      <c r="AD194" s="1036"/>
      <c r="AE194" s="1036"/>
      <c r="AF194" s="1036"/>
      <c r="AG194" s="1036"/>
      <c r="AH194" s="1036"/>
      <c r="AI194" s="1036"/>
      <c r="AJ194" s="1036"/>
      <c r="AK194" s="1036"/>
      <c r="AL194" s="1036"/>
      <c r="AM194" s="1036"/>
      <c r="AN194" s="1036"/>
      <c r="AO194" s="1036"/>
      <c r="AP194" s="1036"/>
      <c r="AQ194" s="1036"/>
      <c r="AR194" s="1036"/>
      <c r="AS194" s="1036"/>
      <c r="AT194" s="1036"/>
      <c r="AU194" s="1036"/>
      <c r="AV194" s="1036"/>
      <c r="AW194" s="1036"/>
      <c r="AX194" s="1036"/>
      <c r="AY194" s="1037"/>
    </row>
    <row r="195" spans="2:51" ht="12.75" customHeight="1">
      <c r="B195" s="2108" t="str">
        <f>+$B$6</f>
        <v>事務所・店舗・百貨店</v>
      </c>
      <c r="C195" s="2465">
        <v>61090</v>
      </c>
      <c r="D195" s="2264" t="s">
        <v>431</v>
      </c>
      <c r="E195" s="2265">
        <v>1.5</v>
      </c>
      <c r="F195" s="2265" t="s">
        <v>432</v>
      </c>
      <c r="G195" s="2265">
        <v>1</v>
      </c>
      <c r="H195" s="2265" t="s">
        <v>433</v>
      </c>
      <c r="I195" s="2266">
        <v>0.8</v>
      </c>
      <c r="J195" s="2267" t="s">
        <v>434</v>
      </c>
      <c r="K195" s="2265">
        <v>1.5</v>
      </c>
      <c r="L195" s="2265" t="s">
        <v>375</v>
      </c>
      <c r="M195" s="2265">
        <v>1</v>
      </c>
      <c r="N195" s="2265" t="s">
        <v>435</v>
      </c>
      <c r="O195" s="2266">
        <v>0.9</v>
      </c>
      <c r="P195" s="1127"/>
      <c r="Q195" s="1127"/>
      <c r="R195" s="1127"/>
      <c r="S195" s="1120"/>
      <c r="T195" s="1127"/>
      <c r="U195" s="1120"/>
      <c r="V195" s="1082"/>
      <c r="W195" s="1082"/>
      <c r="X195" s="1082"/>
      <c r="Y195" s="1082"/>
      <c r="Z195" s="1082"/>
      <c r="AA195" s="1082"/>
      <c r="AB195" s="1035"/>
      <c r="AC195" s="1035"/>
      <c r="AD195" s="1036"/>
      <c r="AE195" s="1036"/>
      <c r="AF195" s="1036"/>
      <c r="AG195" s="1036"/>
      <c r="AH195" s="1036"/>
      <c r="AI195" s="1036"/>
      <c r="AJ195" s="1036"/>
      <c r="AK195" s="1036"/>
      <c r="AL195" s="1036"/>
      <c r="AM195" s="1036"/>
      <c r="AN195" s="1036"/>
      <c r="AO195" s="1036"/>
      <c r="AP195" s="1036"/>
      <c r="AQ195" s="1036"/>
      <c r="AR195" s="1036"/>
      <c r="AS195" s="1036"/>
      <c r="AT195" s="1036"/>
      <c r="AU195" s="1036"/>
      <c r="AV195" s="1036"/>
      <c r="AW195" s="1036"/>
      <c r="AX195" s="1036"/>
      <c r="AY195" s="1037"/>
    </row>
    <row r="196" spans="2:51" ht="12.75" customHeight="1">
      <c r="B196" s="2109" t="str">
        <f>+$B$7</f>
        <v>住宅・アパート</v>
      </c>
      <c r="C196" s="2466">
        <v>61090</v>
      </c>
      <c r="D196" s="2268" t="s">
        <v>431</v>
      </c>
      <c r="E196" s="2269">
        <v>1.5</v>
      </c>
      <c r="F196" s="2269" t="s">
        <v>432</v>
      </c>
      <c r="G196" s="2269">
        <v>1</v>
      </c>
      <c r="H196" s="2269" t="s">
        <v>433</v>
      </c>
      <c r="I196" s="2270">
        <v>0.8</v>
      </c>
      <c r="J196" s="2271" t="s">
        <v>434</v>
      </c>
      <c r="K196" s="2269">
        <v>1.5</v>
      </c>
      <c r="L196" s="2269" t="s">
        <v>375</v>
      </c>
      <c r="M196" s="2269">
        <v>1</v>
      </c>
      <c r="N196" s="2269" t="s">
        <v>435</v>
      </c>
      <c r="O196" s="2270">
        <v>0.9</v>
      </c>
      <c r="P196" s="1127"/>
      <c r="Q196" s="1127"/>
      <c r="R196" s="1127"/>
      <c r="S196" s="1120"/>
      <c r="T196" s="1127"/>
      <c r="U196" s="1120"/>
      <c r="V196" s="1082"/>
      <c r="W196" s="1082"/>
      <c r="X196" s="1082"/>
      <c r="Y196" s="1082"/>
      <c r="Z196" s="1082"/>
      <c r="AA196" s="1082"/>
      <c r="AB196" s="1035"/>
      <c r="AC196" s="1035"/>
      <c r="AD196" s="1036"/>
      <c r="AE196" s="1036"/>
      <c r="AF196" s="1036"/>
      <c r="AG196" s="1036"/>
      <c r="AH196" s="1036"/>
      <c r="AI196" s="1036"/>
      <c r="AJ196" s="1036"/>
      <c r="AK196" s="1036"/>
      <c r="AL196" s="1036"/>
      <c r="AM196" s="1036"/>
      <c r="AN196" s="1036"/>
      <c r="AO196" s="1036"/>
      <c r="AP196" s="1036"/>
      <c r="AQ196" s="1036"/>
      <c r="AR196" s="1036"/>
      <c r="AS196" s="1036"/>
      <c r="AT196" s="1036"/>
      <c r="AU196" s="1036"/>
      <c r="AV196" s="1036"/>
      <c r="AW196" s="1036"/>
      <c r="AX196" s="1036"/>
      <c r="AY196" s="1037"/>
    </row>
    <row r="197" spans="2:51" ht="12.75" customHeight="1">
      <c r="B197" s="2109" t="str">
        <f>+$B$8</f>
        <v>病院・ホテル</v>
      </c>
      <c r="C197" s="2466">
        <v>61090</v>
      </c>
      <c r="D197" s="2268" t="s">
        <v>431</v>
      </c>
      <c r="E197" s="2269">
        <v>1.5</v>
      </c>
      <c r="F197" s="2269" t="s">
        <v>432</v>
      </c>
      <c r="G197" s="2269">
        <v>1</v>
      </c>
      <c r="H197" s="2269" t="s">
        <v>433</v>
      </c>
      <c r="I197" s="2270">
        <v>0.8</v>
      </c>
      <c r="J197" s="2267" t="s">
        <v>434</v>
      </c>
      <c r="K197" s="2265">
        <v>1.5</v>
      </c>
      <c r="L197" s="2265" t="s">
        <v>375</v>
      </c>
      <c r="M197" s="2265">
        <v>1</v>
      </c>
      <c r="N197" s="2265" t="s">
        <v>435</v>
      </c>
      <c r="O197" s="2266">
        <v>0.9</v>
      </c>
      <c r="P197" s="1127"/>
      <c r="Q197" s="1127"/>
      <c r="R197" s="1127"/>
      <c r="S197" s="1120"/>
      <c r="T197" s="1127"/>
      <c r="U197" s="1120"/>
      <c r="V197" s="1082"/>
      <c r="W197" s="1082"/>
      <c r="X197" s="1082"/>
      <c r="Y197" s="1082"/>
      <c r="Z197" s="1082"/>
      <c r="AA197" s="1082"/>
      <c r="AB197" s="1035"/>
      <c r="AC197" s="1035"/>
      <c r="AD197" s="1036"/>
      <c r="AE197" s="1036"/>
      <c r="AF197" s="1036"/>
      <c r="AG197" s="1036"/>
      <c r="AH197" s="1036"/>
      <c r="AI197" s="1036"/>
      <c r="AJ197" s="1036"/>
      <c r="AK197" s="1036"/>
      <c r="AL197" s="1036"/>
      <c r="AM197" s="1036"/>
      <c r="AN197" s="1036"/>
      <c r="AO197" s="1036"/>
      <c r="AP197" s="1036"/>
      <c r="AQ197" s="1036"/>
      <c r="AR197" s="1036"/>
      <c r="AS197" s="1036"/>
      <c r="AT197" s="1036"/>
      <c r="AU197" s="1036"/>
      <c r="AV197" s="1036"/>
      <c r="AW197" s="1036"/>
      <c r="AX197" s="1036"/>
      <c r="AY197" s="1037"/>
    </row>
    <row r="198" spans="2:51" ht="12.75" customHeight="1">
      <c r="B198" s="2109" t="str">
        <f>+$B$9</f>
        <v>工場・倉庫・市場</v>
      </c>
      <c r="C198" s="2466">
        <v>61090</v>
      </c>
      <c r="D198" s="2268" t="s">
        <v>431</v>
      </c>
      <c r="E198" s="2269">
        <v>1.5</v>
      </c>
      <c r="F198" s="2269" t="s">
        <v>432</v>
      </c>
      <c r="G198" s="2269">
        <v>1</v>
      </c>
      <c r="H198" s="2269" t="s">
        <v>433</v>
      </c>
      <c r="I198" s="2270">
        <v>0.8</v>
      </c>
      <c r="J198" s="2271" t="s">
        <v>434</v>
      </c>
      <c r="K198" s="2269">
        <v>1.5</v>
      </c>
      <c r="L198" s="2269" t="s">
        <v>375</v>
      </c>
      <c r="M198" s="2269">
        <v>1</v>
      </c>
      <c r="N198" s="2269" t="s">
        <v>435</v>
      </c>
      <c r="O198" s="2270">
        <v>0.9</v>
      </c>
      <c r="P198" s="1127"/>
      <c r="Q198" s="1127"/>
      <c r="R198" s="1127"/>
      <c r="S198" s="1120"/>
      <c r="T198" s="1127"/>
      <c r="U198" s="1120"/>
      <c r="V198" s="1082"/>
      <c r="W198" s="1082"/>
      <c r="X198" s="1082"/>
      <c r="Y198" s="1082"/>
      <c r="Z198" s="1082"/>
      <c r="AA198" s="1082"/>
      <c r="AB198" s="1035"/>
      <c r="AC198" s="1035"/>
      <c r="AD198" s="1036"/>
      <c r="AE198" s="1036"/>
      <c r="AF198" s="1036"/>
      <c r="AG198" s="1036"/>
      <c r="AH198" s="1036"/>
      <c r="AI198" s="1036"/>
      <c r="AJ198" s="1036"/>
      <c r="AK198" s="1036"/>
      <c r="AL198" s="1036"/>
      <c r="AM198" s="1036"/>
      <c r="AN198" s="1036"/>
      <c r="AO198" s="1036"/>
      <c r="AP198" s="1036"/>
      <c r="AQ198" s="1036"/>
      <c r="AR198" s="1036"/>
      <c r="AS198" s="1036"/>
      <c r="AT198" s="1036"/>
      <c r="AU198" s="1036"/>
      <c r="AV198" s="1036"/>
      <c r="AW198" s="1036"/>
      <c r="AX198" s="1036"/>
      <c r="AY198" s="1037"/>
    </row>
    <row r="199" spans="2:51" ht="12.75" customHeight="1">
      <c r="B199" s="2110" t="str">
        <f>+$B$10</f>
        <v>劇場型建物</v>
      </c>
      <c r="C199" s="2466">
        <v>61090</v>
      </c>
      <c r="D199" s="2272" t="s">
        <v>431</v>
      </c>
      <c r="E199" s="2273">
        <v>1.5</v>
      </c>
      <c r="F199" s="2273" t="s">
        <v>432</v>
      </c>
      <c r="G199" s="2273">
        <v>1</v>
      </c>
      <c r="H199" s="2273" t="s">
        <v>433</v>
      </c>
      <c r="I199" s="2274">
        <v>0.8</v>
      </c>
      <c r="J199" s="2271" t="s">
        <v>434</v>
      </c>
      <c r="K199" s="2269">
        <v>1.5</v>
      </c>
      <c r="L199" s="2269" t="s">
        <v>375</v>
      </c>
      <c r="M199" s="2269">
        <v>1</v>
      </c>
      <c r="N199" s="2269" t="s">
        <v>435</v>
      </c>
      <c r="O199" s="2270">
        <v>0.9</v>
      </c>
      <c r="P199" s="1127"/>
      <c r="Q199" s="1127"/>
      <c r="R199" s="1127"/>
      <c r="S199" s="1120"/>
      <c r="T199" s="1127"/>
      <c r="U199" s="1120"/>
      <c r="V199" s="1082"/>
      <c r="W199" s="1082"/>
      <c r="X199" s="1082"/>
      <c r="Y199" s="1082"/>
      <c r="Z199" s="1082"/>
      <c r="AA199" s="1082"/>
      <c r="AB199" s="1035"/>
      <c r="AC199" s="1035"/>
      <c r="AD199" s="1036"/>
      <c r="AE199" s="1036"/>
      <c r="AF199" s="1036"/>
      <c r="AG199" s="1036"/>
      <c r="AH199" s="1036"/>
      <c r="AI199" s="1036"/>
      <c r="AJ199" s="1036"/>
      <c r="AK199" s="1036"/>
      <c r="AL199" s="1036"/>
      <c r="AM199" s="1036"/>
      <c r="AN199" s="1036"/>
      <c r="AO199" s="1036"/>
      <c r="AP199" s="1036"/>
      <c r="AQ199" s="1036"/>
      <c r="AR199" s="1036"/>
      <c r="AS199" s="1036"/>
      <c r="AT199" s="1036"/>
      <c r="AU199" s="1036"/>
      <c r="AV199" s="1036"/>
      <c r="AW199" s="1036"/>
      <c r="AX199" s="1036"/>
      <c r="AY199" s="1037"/>
    </row>
    <row r="200" spans="2:51" ht="12.75" customHeight="1">
      <c r="B200" s="1008" t="s">
        <v>359</v>
      </c>
      <c r="C200" s="1121" t="s">
        <v>437</v>
      </c>
      <c r="D200" s="1014" t="s">
        <v>438</v>
      </c>
      <c r="E200" s="1015"/>
      <c r="F200" s="1015"/>
      <c r="G200" s="1015"/>
      <c r="H200" s="1015"/>
      <c r="I200" s="1017"/>
      <c r="J200" s="1014" t="s">
        <v>439</v>
      </c>
      <c r="K200" s="1015"/>
      <c r="L200" s="1015"/>
      <c r="M200" s="1015"/>
      <c r="N200" s="1015"/>
      <c r="O200" s="1017"/>
      <c r="P200" s="1013" t="s">
        <v>440</v>
      </c>
      <c r="Q200" s="1014"/>
      <c r="R200" s="1015"/>
      <c r="S200" s="1015"/>
      <c r="T200" s="1015"/>
      <c r="U200" s="1015"/>
      <c r="V200" s="1015"/>
      <c r="W200" s="1016"/>
      <c r="X200" s="1017"/>
      <c r="Y200" s="1020"/>
      <c r="Z200" s="1020"/>
      <c r="AA200" s="1021"/>
      <c r="AB200" s="1021"/>
      <c r="AC200" s="1021"/>
      <c r="AD200" s="1021"/>
      <c r="AE200" s="1021"/>
      <c r="AF200" s="1021"/>
      <c r="AG200" s="1021"/>
      <c r="AH200" s="1021"/>
      <c r="AI200" s="1021"/>
      <c r="AJ200" s="1021"/>
      <c r="AK200" s="1021"/>
      <c r="AL200" s="1021"/>
      <c r="AM200" s="1021"/>
      <c r="AN200" s="1021"/>
      <c r="AO200" s="1021"/>
      <c r="AP200" s="1021"/>
      <c r="AQ200" s="1021"/>
      <c r="AR200" s="1021"/>
      <c r="AS200" s="1021"/>
      <c r="AT200" s="1021"/>
      <c r="AU200" s="1021"/>
      <c r="AV200" s="1021"/>
      <c r="AW200" s="1021"/>
      <c r="AX200" s="1021"/>
      <c r="AY200" s="1022"/>
    </row>
    <row r="201" spans="2:51" ht="12.75" customHeight="1">
      <c r="B201" s="1023"/>
      <c r="C201" s="1024" t="s">
        <v>72</v>
      </c>
      <c r="D201" s="1029" t="s">
        <v>366</v>
      </c>
      <c r="E201" s="1030"/>
      <c r="F201" s="1030" t="s">
        <v>367</v>
      </c>
      <c r="G201" s="1030"/>
      <c r="H201" s="1030" t="s">
        <v>368</v>
      </c>
      <c r="I201" s="1032"/>
      <c r="J201" s="1029" t="s">
        <v>366</v>
      </c>
      <c r="K201" s="1030"/>
      <c r="L201" s="1030" t="s">
        <v>367</v>
      </c>
      <c r="M201" s="1030"/>
      <c r="N201" s="1030" t="s">
        <v>368</v>
      </c>
      <c r="O201" s="1032"/>
      <c r="P201" s="1028" t="s">
        <v>366</v>
      </c>
      <c r="Q201" s="1029"/>
      <c r="R201" s="1030"/>
      <c r="S201" s="1030" t="s">
        <v>367</v>
      </c>
      <c r="T201" s="1030"/>
      <c r="U201" s="1030"/>
      <c r="V201" s="1030" t="s">
        <v>368</v>
      </c>
      <c r="W201" s="1031"/>
      <c r="X201" s="1032"/>
      <c r="Y201" s="1501" t="s">
        <v>1322</v>
      </c>
      <c r="Z201" s="1035"/>
      <c r="AA201" s="1036"/>
      <c r="AB201" s="1036"/>
      <c r="AC201" s="1036"/>
      <c r="AD201" s="1036"/>
      <c r="AE201" s="1036"/>
      <c r="AF201" s="1036"/>
      <c r="AG201" s="1036"/>
      <c r="AH201" s="1036"/>
      <c r="AI201" s="1036"/>
      <c r="AJ201" s="1036"/>
      <c r="AK201" s="1036"/>
      <c r="AL201" s="1036"/>
      <c r="AM201" s="1036"/>
      <c r="AN201" s="1036"/>
      <c r="AO201" s="1036"/>
      <c r="AP201" s="1036"/>
      <c r="AQ201" s="1036"/>
      <c r="AR201" s="1036"/>
      <c r="AS201" s="1036"/>
      <c r="AT201" s="1036"/>
      <c r="AU201" s="1036"/>
      <c r="AV201" s="1036"/>
      <c r="AW201" s="1036"/>
      <c r="AX201" s="1036"/>
      <c r="AY201" s="1037"/>
    </row>
    <row r="202" spans="2:51" ht="12.75" customHeight="1">
      <c r="B202" s="2108" t="str">
        <f>+$B$6</f>
        <v>事務所・店舗・百貨店</v>
      </c>
      <c r="C202" s="2141">
        <f>+C203</f>
        <v>391420</v>
      </c>
      <c r="D202" s="2153" t="s">
        <v>441</v>
      </c>
      <c r="E202" s="2136">
        <v>1.3</v>
      </c>
      <c r="F202" s="2136" t="s">
        <v>442</v>
      </c>
      <c r="G202" s="2136">
        <v>1</v>
      </c>
      <c r="H202" s="2136"/>
      <c r="I202" s="2137"/>
      <c r="J202" s="2153" t="s">
        <v>855</v>
      </c>
      <c r="K202" s="2136">
        <v>1.2</v>
      </c>
      <c r="L202" s="2136" t="s">
        <v>822</v>
      </c>
      <c r="M202" s="2136">
        <v>1</v>
      </c>
      <c r="N202" s="2136" t="s">
        <v>857</v>
      </c>
      <c r="O202" s="2137">
        <v>0.9</v>
      </c>
      <c r="P202" s="2154" t="s">
        <v>2296</v>
      </c>
      <c r="Q202" s="2155">
        <v>38400</v>
      </c>
      <c r="R202" s="2136">
        <v>1.25</v>
      </c>
      <c r="S202" s="2136" t="s">
        <v>444</v>
      </c>
      <c r="T202" s="2156">
        <v>25200</v>
      </c>
      <c r="U202" s="2136">
        <v>1</v>
      </c>
      <c r="V202" s="2136" t="s">
        <v>2297</v>
      </c>
      <c r="W202" s="2157">
        <v>19200</v>
      </c>
      <c r="X202" s="2137">
        <v>0.9</v>
      </c>
      <c r="Y202" s="1035"/>
      <c r="Z202" s="1035"/>
      <c r="AA202" s="1036"/>
      <c r="AB202" s="1036"/>
      <c r="AC202" s="1036"/>
      <c r="AD202" s="1036"/>
      <c r="AE202" s="1036"/>
      <c r="AF202" s="1036"/>
      <c r="AG202" s="1036"/>
      <c r="AH202" s="1036"/>
      <c r="AI202" s="1036"/>
      <c r="AJ202" s="1036"/>
      <c r="AK202" s="1036"/>
      <c r="AL202" s="1036"/>
      <c r="AM202" s="1036"/>
      <c r="AN202" s="1036"/>
      <c r="AO202" s="1036"/>
      <c r="AP202" s="1036"/>
      <c r="AQ202" s="1036"/>
      <c r="AR202" s="1036"/>
      <c r="AS202" s="1036"/>
      <c r="AT202" s="1036"/>
      <c r="AU202" s="1036"/>
      <c r="AV202" s="1036"/>
      <c r="AW202" s="1036"/>
      <c r="AX202" s="1036"/>
      <c r="AY202" s="1037"/>
    </row>
    <row r="203" spans="2:51" ht="12.75" customHeight="1">
      <c r="B203" s="2109" t="str">
        <f>+$B$7</f>
        <v>住宅・アパート</v>
      </c>
      <c r="C203" s="1045">
        <v>391420</v>
      </c>
      <c r="D203" s="1046" t="s">
        <v>441</v>
      </c>
      <c r="E203" s="1047">
        <v>1.3</v>
      </c>
      <c r="F203" s="1047" t="s">
        <v>442</v>
      </c>
      <c r="G203" s="1047">
        <v>1</v>
      </c>
      <c r="H203" s="1047"/>
      <c r="I203" s="1048"/>
      <c r="J203" s="1046" t="s">
        <v>855</v>
      </c>
      <c r="K203" s="1047">
        <v>1.2</v>
      </c>
      <c r="L203" s="1047" t="s">
        <v>822</v>
      </c>
      <c r="M203" s="1047">
        <v>1</v>
      </c>
      <c r="N203" s="1047" t="s">
        <v>857</v>
      </c>
      <c r="O203" s="1048">
        <v>0.9</v>
      </c>
      <c r="P203" s="1056" t="s">
        <v>2277</v>
      </c>
      <c r="Q203" s="1107">
        <v>38400</v>
      </c>
      <c r="R203" s="1047">
        <v>1.25</v>
      </c>
      <c r="S203" s="1047" t="s">
        <v>444</v>
      </c>
      <c r="T203" s="1108">
        <v>25200</v>
      </c>
      <c r="U203" s="1047">
        <v>1</v>
      </c>
      <c r="V203" s="1047" t="s">
        <v>445</v>
      </c>
      <c r="W203" s="1109">
        <v>19200</v>
      </c>
      <c r="X203" s="1048">
        <v>0.9</v>
      </c>
      <c r="Y203" s="1035"/>
      <c r="Z203" s="1035"/>
      <c r="AA203" s="1036"/>
      <c r="AB203" s="1036"/>
      <c r="AC203" s="1036"/>
      <c r="AD203" s="1036"/>
      <c r="AE203" s="1036"/>
      <c r="AF203" s="1036"/>
      <c r="AG203" s="1036"/>
      <c r="AH203" s="1036"/>
      <c r="AI203" s="1036"/>
      <c r="AJ203" s="1036"/>
      <c r="AK203" s="1036"/>
      <c r="AL203" s="1036"/>
      <c r="AM203" s="1036"/>
      <c r="AN203" s="1036"/>
      <c r="AO203" s="1036"/>
      <c r="AP203" s="1036"/>
      <c r="AQ203" s="1036"/>
      <c r="AR203" s="1036"/>
      <c r="AS203" s="1036"/>
      <c r="AT203" s="1036"/>
      <c r="AU203" s="1036"/>
      <c r="AV203" s="1036"/>
      <c r="AW203" s="1036"/>
      <c r="AX203" s="1036"/>
      <c r="AY203" s="1037"/>
    </row>
    <row r="204" spans="2:51" ht="12.75" customHeight="1">
      <c r="B204" s="2109" t="str">
        <f>+$B$8</f>
        <v>病院・ホテル</v>
      </c>
      <c r="C204" s="1045">
        <v>391420</v>
      </c>
      <c r="D204" s="1046" t="s">
        <v>441</v>
      </c>
      <c r="E204" s="1047">
        <v>1.3</v>
      </c>
      <c r="F204" s="1047" t="s">
        <v>442</v>
      </c>
      <c r="G204" s="1047">
        <v>1</v>
      </c>
      <c r="H204" s="1047"/>
      <c r="I204" s="1048"/>
      <c r="J204" s="1046" t="s">
        <v>855</v>
      </c>
      <c r="K204" s="1047">
        <v>1.2</v>
      </c>
      <c r="L204" s="1047" t="s">
        <v>822</v>
      </c>
      <c r="M204" s="1047">
        <v>1</v>
      </c>
      <c r="N204" s="1047" t="s">
        <v>857</v>
      </c>
      <c r="O204" s="1048">
        <v>0.9</v>
      </c>
      <c r="P204" s="1056" t="s">
        <v>2278</v>
      </c>
      <c r="Q204" s="1107">
        <v>38400</v>
      </c>
      <c r="R204" s="1047">
        <v>1.25</v>
      </c>
      <c r="S204" s="1047" t="s">
        <v>444</v>
      </c>
      <c r="T204" s="1108">
        <v>25200</v>
      </c>
      <c r="U204" s="1047">
        <v>1</v>
      </c>
      <c r="V204" s="1047" t="s">
        <v>446</v>
      </c>
      <c r="W204" s="1109">
        <v>19200</v>
      </c>
      <c r="X204" s="1048">
        <v>0.9</v>
      </c>
      <c r="Y204" s="1035"/>
      <c r="Z204" s="1035"/>
      <c r="AA204" s="1036"/>
      <c r="AB204" s="1036"/>
      <c r="AC204" s="1036"/>
      <c r="AD204" s="1036"/>
      <c r="AE204" s="1036"/>
      <c r="AF204" s="1036"/>
      <c r="AG204" s="1036"/>
      <c r="AH204" s="1036"/>
      <c r="AI204" s="1036"/>
      <c r="AJ204" s="1036"/>
      <c r="AK204" s="1036"/>
      <c r="AL204" s="1036"/>
      <c r="AM204" s="1036"/>
      <c r="AN204" s="1036"/>
      <c r="AO204" s="1036"/>
      <c r="AP204" s="1036"/>
      <c r="AQ204" s="1036"/>
      <c r="AR204" s="1036"/>
      <c r="AS204" s="1036"/>
      <c r="AT204" s="1036"/>
      <c r="AU204" s="1036"/>
      <c r="AV204" s="1036"/>
      <c r="AW204" s="1036"/>
      <c r="AX204" s="1036"/>
      <c r="AY204" s="1037"/>
    </row>
    <row r="205" spans="2:51" ht="12.75" customHeight="1">
      <c r="B205" s="2109" t="str">
        <f>+$B$9</f>
        <v>工場・倉庫・市場</v>
      </c>
      <c r="C205" s="2119">
        <f>+C203</f>
        <v>391420</v>
      </c>
      <c r="D205" s="2131" t="s">
        <v>441</v>
      </c>
      <c r="E205" s="2121">
        <v>1.3</v>
      </c>
      <c r="F205" s="2121" t="s">
        <v>442</v>
      </c>
      <c r="G205" s="2121">
        <v>1</v>
      </c>
      <c r="H205" s="2121"/>
      <c r="I205" s="2123"/>
      <c r="J205" s="2131" t="s">
        <v>855</v>
      </c>
      <c r="K205" s="2121">
        <v>1.2</v>
      </c>
      <c r="L205" s="2121" t="s">
        <v>822</v>
      </c>
      <c r="M205" s="2121">
        <v>1</v>
      </c>
      <c r="N205" s="2121" t="s">
        <v>857</v>
      </c>
      <c r="O205" s="2123">
        <v>0.9</v>
      </c>
      <c r="P205" s="2124" t="s">
        <v>2296</v>
      </c>
      <c r="Q205" s="2132">
        <v>38400</v>
      </c>
      <c r="R205" s="2121">
        <v>1.25</v>
      </c>
      <c r="S205" s="2121" t="s">
        <v>444</v>
      </c>
      <c r="T205" s="2133">
        <v>25200</v>
      </c>
      <c r="U205" s="2121">
        <v>1</v>
      </c>
      <c r="V205" s="2121" t="s">
        <v>2297</v>
      </c>
      <c r="W205" s="2134">
        <v>19200</v>
      </c>
      <c r="X205" s="2123">
        <v>0.9</v>
      </c>
      <c r="Y205" s="1035"/>
      <c r="Z205" s="1035"/>
      <c r="AA205" s="1036"/>
      <c r="AB205" s="1036"/>
      <c r="AC205" s="1036"/>
      <c r="AD205" s="1036"/>
      <c r="AE205" s="1036"/>
      <c r="AF205" s="1036"/>
      <c r="AG205" s="1036"/>
      <c r="AH205" s="1036"/>
      <c r="AI205" s="1036"/>
      <c r="AJ205" s="1036"/>
      <c r="AK205" s="1036"/>
      <c r="AL205" s="1036"/>
      <c r="AM205" s="1036"/>
      <c r="AN205" s="1036"/>
      <c r="AO205" s="1036"/>
      <c r="AP205" s="1036"/>
      <c r="AQ205" s="1036"/>
      <c r="AR205" s="1036"/>
      <c r="AS205" s="1036"/>
      <c r="AT205" s="1036"/>
      <c r="AU205" s="1036"/>
      <c r="AV205" s="1036"/>
      <c r="AW205" s="1036"/>
      <c r="AX205" s="1036"/>
      <c r="AY205" s="1037"/>
    </row>
    <row r="206" spans="2:51" ht="12.75" customHeight="1">
      <c r="B206" s="2110" t="str">
        <f>+$B$10</f>
        <v>劇場型建物</v>
      </c>
      <c r="C206" s="2158">
        <f>+C203</f>
        <v>391420</v>
      </c>
      <c r="D206" s="2159" t="s">
        <v>441</v>
      </c>
      <c r="E206" s="2127">
        <v>1.3</v>
      </c>
      <c r="F206" s="2127" t="s">
        <v>442</v>
      </c>
      <c r="G206" s="2127">
        <v>1</v>
      </c>
      <c r="H206" s="2127"/>
      <c r="I206" s="2129"/>
      <c r="J206" s="2159" t="s">
        <v>855</v>
      </c>
      <c r="K206" s="2127">
        <v>1.2</v>
      </c>
      <c r="L206" s="2127" t="s">
        <v>822</v>
      </c>
      <c r="M206" s="2127">
        <v>1</v>
      </c>
      <c r="N206" s="2127" t="s">
        <v>857</v>
      </c>
      <c r="O206" s="2129">
        <v>0.9</v>
      </c>
      <c r="P206" s="2160" t="s">
        <v>2296</v>
      </c>
      <c r="Q206" s="2161">
        <v>38400</v>
      </c>
      <c r="R206" s="2162">
        <v>1.25</v>
      </c>
      <c r="S206" s="2162" t="s">
        <v>444</v>
      </c>
      <c r="T206" s="2163">
        <v>25200</v>
      </c>
      <c r="U206" s="2162">
        <v>1</v>
      </c>
      <c r="V206" s="2162" t="s">
        <v>2297</v>
      </c>
      <c r="W206" s="2164">
        <v>19200</v>
      </c>
      <c r="X206" s="2165">
        <v>0.9</v>
      </c>
      <c r="Y206" s="1035"/>
      <c r="Z206" s="1035"/>
      <c r="AA206" s="1036"/>
      <c r="AB206" s="1036"/>
      <c r="AC206" s="1036"/>
      <c r="AD206" s="1036"/>
      <c r="AE206" s="1036"/>
      <c r="AF206" s="1036"/>
      <c r="AG206" s="1036"/>
      <c r="AH206" s="1036"/>
      <c r="AI206" s="1036"/>
      <c r="AJ206" s="1036"/>
      <c r="AK206" s="1036"/>
      <c r="AL206" s="1036"/>
      <c r="AM206" s="1036"/>
      <c r="AN206" s="1036"/>
      <c r="AO206" s="1036"/>
      <c r="AP206" s="1036"/>
      <c r="AQ206" s="1036"/>
      <c r="AR206" s="1036"/>
      <c r="AS206" s="1036"/>
      <c r="AT206" s="1036"/>
      <c r="AU206" s="1036"/>
      <c r="AV206" s="1036"/>
      <c r="AW206" s="1036"/>
      <c r="AX206" s="1036"/>
      <c r="AY206" s="1037"/>
    </row>
    <row r="207" spans="2:51" ht="12.75" customHeight="1">
      <c r="B207" s="1008" t="s">
        <v>359</v>
      </c>
      <c r="C207" s="1121" t="s">
        <v>447</v>
      </c>
      <c r="D207" s="1014" t="s">
        <v>448</v>
      </c>
      <c r="E207" s="1015"/>
      <c r="F207" s="1015"/>
      <c r="G207" s="1015"/>
      <c r="H207" s="1015"/>
      <c r="I207" s="1017"/>
      <c r="J207" s="1013" t="s">
        <v>449</v>
      </c>
      <c r="K207" s="1014"/>
      <c r="L207" s="1015"/>
      <c r="M207" s="1015"/>
      <c r="N207" s="1015"/>
      <c r="O207" s="1015"/>
      <c r="P207" s="1015"/>
      <c r="Q207" s="1016"/>
      <c r="R207" s="1017"/>
      <c r="S207" s="1020"/>
      <c r="T207" s="1020"/>
      <c r="U207" s="1020"/>
      <c r="V207" s="1020"/>
      <c r="W207" s="1020"/>
      <c r="X207" s="1020"/>
      <c r="Y207" s="1020"/>
      <c r="Z207" s="1020"/>
      <c r="AA207" s="1020"/>
      <c r="AB207" s="1020"/>
      <c r="AC207" s="1020"/>
      <c r="AD207" s="1021"/>
      <c r="AE207" s="1021"/>
      <c r="AF207" s="1021"/>
      <c r="AG207" s="1021"/>
      <c r="AH207" s="1021"/>
      <c r="AI207" s="1021"/>
      <c r="AJ207" s="1021"/>
      <c r="AK207" s="1021"/>
      <c r="AL207" s="1021"/>
      <c r="AM207" s="1021"/>
      <c r="AN207" s="1021"/>
      <c r="AO207" s="1021"/>
      <c r="AP207" s="1021"/>
      <c r="AQ207" s="1021"/>
      <c r="AR207" s="1021"/>
      <c r="AS207" s="1021"/>
      <c r="AT207" s="1021"/>
      <c r="AU207" s="1021"/>
      <c r="AV207" s="1021"/>
      <c r="AW207" s="1021"/>
      <c r="AX207" s="1021"/>
      <c r="AY207" s="1022"/>
    </row>
    <row r="208" spans="2:51" ht="12.75" customHeight="1">
      <c r="B208" s="1023"/>
      <c r="C208" s="1024" t="s">
        <v>73</v>
      </c>
      <c r="D208" s="1029" t="s">
        <v>366</v>
      </c>
      <c r="E208" s="1030"/>
      <c r="F208" s="1030" t="s">
        <v>367</v>
      </c>
      <c r="G208" s="1030"/>
      <c r="H208" s="1030" t="s">
        <v>368</v>
      </c>
      <c r="I208" s="1032"/>
      <c r="J208" s="1028" t="s">
        <v>366</v>
      </c>
      <c r="K208" s="1029"/>
      <c r="L208" s="1030"/>
      <c r="M208" s="1030" t="s">
        <v>367</v>
      </c>
      <c r="N208" s="1030"/>
      <c r="O208" s="1030"/>
      <c r="P208" s="1030" t="s">
        <v>368</v>
      </c>
      <c r="Q208" s="1031"/>
      <c r="R208" s="1032"/>
      <c r="S208" s="1501" t="s">
        <v>1323</v>
      </c>
      <c r="T208" s="1035"/>
      <c r="U208" s="1035"/>
      <c r="V208" s="1035"/>
      <c r="W208" s="1035"/>
      <c r="X208" s="1035"/>
      <c r="Y208" s="1035"/>
      <c r="Z208" s="1035"/>
      <c r="AA208" s="1035"/>
      <c r="AB208" s="1035"/>
      <c r="AC208" s="1035"/>
      <c r="AD208" s="1036"/>
      <c r="AE208" s="1036"/>
      <c r="AF208" s="1036"/>
      <c r="AG208" s="1036"/>
      <c r="AH208" s="1036"/>
      <c r="AI208" s="1036"/>
      <c r="AJ208" s="1036"/>
      <c r="AK208" s="1036"/>
      <c r="AL208" s="1036"/>
      <c r="AM208" s="1036"/>
      <c r="AN208" s="1036"/>
      <c r="AO208" s="1036"/>
      <c r="AP208" s="1036"/>
      <c r="AQ208" s="1036"/>
      <c r="AR208" s="1036"/>
      <c r="AS208" s="1036"/>
      <c r="AT208" s="1036"/>
      <c r="AU208" s="1036"/>
      <c r="AV208" s="1036"/>
      <c r="AW208" s="1036"/>
      <c r="AX208" s="1036"/>
      <c r="AY208" s="1037"/>
    </row>
    <row r="209" spans="2:51" ht="12.75" customHeight="1">
      <c r="B209" s="2108" t="str">
        <f>+$B$6</f>
        <v>事務所・店舗・百貨店</v>
      </c>
      <c r="C209" s="2141">
        <f>+C210</f>
        <v>259660</v>
      </c>
      <c r="D209" s="2142" t="str">
        <f t="shared" ref="D209:R209" si="12">+D210</f>
        <v>良い</v>
      </c>
      <c r="E209" s="2143">
        <f t="shared" si="12"/>
        <v>1.2</v>
      </c>
      <c r="F209" s="2143" t="str">
        <f t="shared" si="12"/>
        <v>普通</v>
      </c>
      <c r="G209" s="2143">
        <f t="shared" si="12"/>
        <v>1</v>
      </c>
      <c r="H209" s="2143" t="str">
        <f t="shared" si="12"/>
        <v>悪い</v>
      </c>
      <c r="I209" s="2144">
        <f t="shared" si="12"/>
        <v>0.9</v>
      </c>
      <c r="J209" s="2166" t="str">
        <f t="shared" si="12"/>
        <v>200cm*160cm</v>
      </c>
      <c r="K209" s="2167">
        <f t="shared" si="12"/>
        <v>32000</v>
      </c>
      <c r="L209" s="2143">
        <f t="shared" si="12"/>
        <v>1.3</v>
      </c>
      <c r="M209" s="2168" t="str">
        <f t="shared" si="12"/>
        <v>160cm*160cm</v>
      </c>
      <c r="N209" s="2168">
        <f t="shared" si="12"/>
        <v>25600</v>
      </c>
      <c r="O209" s="2143">
        <f t="shared" si="12"/>
        <v>1</v>
      </c>
      <c r="P209" s="2168" t="str">
        <f t="shared" si="12"/>
        <v>-</v>
      </c>
      <c r="Q209" s="2169" t="str">
        <f t="shared" si="12"/>
        <v>-</v>
      </c>
      <c r="R209" s="2144" t="str">
        <f t="shared" si="12"/>
        <v>-</v>
      </c>
      <c r="S209" s="1035"/>
      <c r="T209" s="1035"/>
      <c r="U209" s="1035"/>
      <c r="V209" s="1035"/>
      <c r="W209" s="1035"/>
      <c r="X209" s="1035"/>
      <c r="Y209" s="1035"/>
      <c r="Z209" s="1035"/>
      <c r="AA209" s="1035"/>
      <c r="AB209" s="1035"/>
      <c r="AC209" s="1035"/>
      <c r="AD209" s="1036"/>
      <c r="AE209" s="1036"/>
      <c r="AF209" s="1036"/>
      <c r="AG209" s="1036"/>
      <c r="AH209" s="1036"/>
      <c r="AI209" s="1036"/>
      <c r="AJ209" s="1036"/>
      <c r="AK209" s="1036"/>
      <c r="AL209" s="1036"/>
      <c r="AM209" s="1036"/>
      <c r="AN209" s="1036"/>
      <c r="AO209" s="1036"/>
      <c r="AP209" s="1036"/>
      <c r="AQ209" s="1036"/>
      <c r="AR209" s="1036"/>
      <c r="AS209" s="1036"/>
      <c r="AT209" s="1036"/>
      <c r="AU209" s="1036"/>
      <c r="AV209" s="1036"/>
      <c r="AW209" s="1036"/>
      <c r="AX209" s="1036"/>
      <c r="AY209" s="1037"/>
    </row>
    <row r="210" spans="2:51" ht="12.75" customHeight="1">
      <c r="B210" s="2109" t="str">
        <f>+$B$7</f>
        <v>住宅・アパート</v>
      </c>
      <c r="C210" s="1045">
        <v>259660</v>
      </c>
      <c r="D210" s="1046" t="s">
        <v>855</v>
      </c>
      <c r="E210" s="1047">
        <v>1.2</v>
      </c>
      <c r="F210" s="1047" t="s">
        <v>822</v>
      </c>
      <c r="G210" s="1047">
        <v>1</v>
      </c>
      <c r="H210" s="1047" t="s">
        <v>857</v>
      </c>
      <c r="I210" s="1048">
        <v>0.9</v>
      </c>
      <c r="J210" s="1130" t="s">
        <v>443</v>
      </c>
      <c r="K210" s="1107">
        <v>32000</v>
      </c>
      <c r="L210" s="2063">
        <v>1.3</v>
      </c>
      <c r="M210" s="1108" t="s">
        <v>450</v>
      </c>
      <c r="N210" s="1108">
        <v>25600</v>
      </c>
      <c r="O210" s="1047">
        <v>1</v>
      </c>
      <c r="P210" s="2067" t="s">
        <v>2152</v>
      </c>
      <c r="Q210" s="2068" t="s">
        <v>1195</v>
      </c>
      <c r="R210" s="2064" t="s">
        <v>1195</v>
      </c>
      <c r="S210" s="1035"/>
      <c r="T210" s="1035"/>
      <c r="U210" s="1035"/>
      <c r="V210" s="1035"/>
      <c r="W210" s="1035"/>
      <c r="X210" s="1035"/>
      <c r="Y210" s="1035"/>
      <c r="Z210" s="1035"/>
      <c r="AA210" s="1035"/>
      <c r="AB210" s="1035"/>
      <c r="AC210" s="1035"/>
      <c r="AD210" s="1036"/>
      <c r="AE210" s="1036"/>
      <c r="AF210" s="1036"/>
      <c r="AG210" s="1036"/>
      <c r="AH210" s="1036"/>
      <c r="AI210" s="1036"/>
      <c r="AJ210" s="1036"/>
      <c r="AK210" s="1036"/>
      <c r="AL210" s="1036"/>
      <c r="AM210" s="1036"/>
      <c r="AN210" s="1036"/>
      <c r="AO210" s="1036"/>
      <c r="AP210" s="1036"/>
      <c r="AQ210" s="1036"/>
      <c r="AR210" s="1036"/>
      <c r="AS210" s="1036"/>
      <c r="AT210" s="1036"/>
      <c r="AU210" s="1036"/>
      <c r="AV210" s="1036"/>
      <c r="AW210" s="1036"/>
      <c r="AX210" s="1036"/>
      <c r="AY210" s="1037"/>
    </row>
    <row r="211" spans="2:51" ht="12.75" customHeight="1">
      <c r="B211" s="2109" t="str">
        <f>+$B$8</f>
        <v>病院・ホテル</v>
      </c>
      <c r="C211" s="2119">
        <f>+C210</f>
        <v>259660</v>
      </c>
      <c r="D211" s="2146" t="str">
        <f t="shared" ref="D211:R211" si="13">+D210</f>
        <v>良い</v>
      </c>
      <c r="E211" s="2147">
        <f t="shared" si="13"/>
        <v>1.2</v>
      </c>
      <c r="F211" s="2147" t="str">
        <f t="shared" si="13"/>
        <v>普通</v>
      </c>
      <c r="G211" s="2147">
        <f t="shared" si="13"/>
        <v>1</v>
      </c>
      <c r="H211" s="2147" t="str">
        <f t="shared" si="13"/>
        <v>悪い</v>
      </c>
      <c r="I211" s="2148">
        <f t="shared" si="13"/>
        <v>0.9</v>
      </c>
      <c r="J211" s="2170" t="str">
        <f t="shared" si="13"/>
        <v>200cm*160cm</v>
      </c>
      <c r="K211" s="2171">
        <f t="shared" si="13"/>
        <v>32000</v>
      </c>
      <c r="L211" s="2147">
        <f t="shared" si="13"/>
        <v>1.3</v>
      </c>
      <c r="M211" s="2172" t="str">
        <f t="shared" si="13"/>
        <v>160cm*160cm</v>
      </c>
      <c r="N211" s="2172">
        <f t="shared" si="13"/>
        <v>25600</v>
      </c>
      <c r="O211" s="2147">
        <f t="shared" si="13"/>
        <v>1</v>
      </c>
      <c r="P211" s="2172" t="str">
        <f t="shared" si="13"/>
        <v>-</v>
      </c>
      <c r="Q211" s="2173" t="str">
        <f t="shared" si="13"/>
        <v>-</v>
      </c>
      <c r="R211" s="2148" t="str">
        <f t="shared" si="13"/>
        <v>-</v>
      </c>
      <c r="S211" s="1035"/>
      <c r="T211" s="1035"/>
      <c r="U211" s="1035"/>
      <c r="V211" s="1035"/>
      <c r="W211" s="1035"/>
      <c r="X211" s="1035"/>
      <c r="Y211" s="1035"/>
      <c r="Z211" s="1035"/>
      <c r="AA211" s="1035"/>
      <c r="AB211" s="1035"/>
      <c r="AC211" s="1035"/>
      <c r="AD211" s="1036"/>
      <c r="AE211" s="1036"/>
      <c r="AF211" s="1036"/>
      <c r="AG211" s="1036"/>
      <c r="AH211" s="1036"/>
      <c r="AI211" s="1036"/>
      <c r="AJ211" s="1036"/>
      <c r="AK211" s="1036"/>
      <c r="AL211" s="1036"/>
      <c r="AM211" s="1036"/>
      <c r="AN211" s="1036"/>
      <c r="AO211" s="1036"/>
      <c r="AP211" s="1036"/>
      <c r="AQ211" s="1036"/>
      <c r="AR211" s="1036"/>
      <c r="AS211" s="1036"/>
      <c r="AT211" s="1036"/>
      <c r="AU211" s="1036"/>
      <c r="AV211" s="1036"/>
      <c r="AW211" s="1036"/>
      <c r="AX211" s="1036"/>
      <c r="AY211" s="1037"/>
    </row>
    <row r="212" spans="2:51" ht="12.75" customHeight="1">
      <c r="B212" s="2109" t="str">
        <f>+$B$9</f>
        <v>工場・倉庫・市場</v>
      </c>
      <c r="C212" s="2119">
        <f>+C210</f>
        <v>259660</v>
      </c>
      <c r="D212" s="2146" t="str">
        <f t="shared" ref="D212:R212" si="14">+D210</f>
        <v>良い</v>
      </c>
      <c r="E212" s="2147">
        <f t="shared" si="14"/>
        <v>1.2</v>
      </c>
      <c r="F212" s="2147" t="str">
        <f t="shared" si="14"/>
        <v>普通</v>
      </c>
      <c r="G212" s="2147">
        <f t="shared" si="14"/>
        <v>1</v>
      </c>
      <c r="H212" s="2147" t="str">
        <f t="shared" si="14"/>
        <v>悪い</v>
      </c>
      <c r="I212" s="2148">
        <f t="shared" si="14"/>
        <v>0.9</v>
      </c>
      <c r="J212" s="2170" t="str">
        <f t="shared" si="14"/>
        <v>200cm*160cm</v>
      </c>
      <c r="K212" s="2171">
        <f t="shared" si="14"/>
        <v>32000</v>
      </c>
      <c r="L212" s="2147">
        <f t="shared" si="14"/>
        <v>1.3</v>
      </c>
      <c r="M212" s="2172" t="str">
        <f t="shared" si="14"/>
        <v>160cm*160cm</v>
      </c>
      <c r="N212" s="2172">
        <f t="shared" si="14"/>
        <v>25600</v>
      </c>
      <c r="O212" s="2147">
        <f t="shared" si="14"/>
        <v>1</v>
      </c>
      <c r="P212" s="2172" t="str">
        <f t="shared" si="14"/>
        <v>-</v>
      </c>
      <c r="Q212" s="2173" t="str">
        <f t="shared" si="14"/>
        <v>-</v>
      </c>
      <c r="R212" s="2148" t="str">
        <f t="shared" si="14"/>
        <v>-</v>
      </c>
      <c r="S212" s="1035"/>
      <c r="T212" s="1035"/>
      <c r="U212" s="1035"/>
      <c r="V212" s="1035"/>
      <c r="W212" s="1035"/>
      <c r="X212" s="1035"/>
      <c r="Y212" s="1035"/>
      <c r="Z212" s="1035"/>
      <c r="AA212" s="1035"/>
      <c r="AB212" s="1035"/>
      <c r="AC212" s="1035"/>
      <c r="AD212" s="1036"/>
      <c r="AE212" s="1036"/>
      <c r="AF212" s="1036"/>
      <c r="AG212" s="1036"/>
      <c r="AH212" s="1036"/>
      <c r="AI212" s="1036"/>
      <c r="AJ212" s="1036"/>
      <c r="AK212" s="1036"/>
      <c r="AL212" s="1036"/>
      <c r="AM212" s="1036"/>
      <c r="AN212" s="1036"/>
      <c r="AO212" s="1036"/>
      <c r="AP212" s="1036"/>
      <c r="AQ212" s="1036"/>
      <c r="AR212" s="1036"/>
      <c r="AS212" s="1036"/>
      <c r="AT212" s="1036"/>
      <c r="AU212" s="1036"/>
      <c r="AV212" s="1036"/>
      <c r="AW212" s="1036"/>
      <c r="AX212" s="1036"/>
      <c r="AY212" s="1037"/>
    </row>
    <row r="213" spans="2:51" ht="12.75" customHeight="1">
      <c r="B213" s="2110" t="str">
        <f>+$B$10</f>
        <v>劇場型建物</v>
      </c>
      <c r="C213" s="2158">
        <f>+C210</f>
        <v>259660</v>
      </c>
      <c r="D213" s="2150" t="str">
        <f t="shared" ref="D213:R213" si="15">+D210</f>
        <v>良い</v>
      </c>
      <c r="E213" s="2151">
        <f t="shared" si="15"/>
        <v>1.2</v>
      </c>
      <c r="F213" s="2151" t="str">
        <f t="shared" si="15"/>
        <v>普通</v>
      </c>
      <c r="G213" s="2151">
        <f t="shared" si="15"/>
        <v>1</v>
      </c>
      <c r="H213" s="2151" t="str">
        <f t="shared" si="15"/>
        <v>悪い</v>
      </c>
      <c r="I213" s="2152">
        <f t="shared" si="15"/>
        <v>0.9</v>
      </c>
      <c r="J213" s="2174" t="str">
        <f t="shared" si="15"/>
        <v>200cm*160cm</v>
      </c>
      <c r="K213" s="2175">
        <f t="shared" si="15"/>
        <v>32000</v>
      </c>
      <c r="L213" s="2176">
        <f t="shared" si="15"/>
        <v>1.3</v>
      </c>
      <c r="M213" s="2177" t="str">
        <f t="shared" si="15"/>
        <v>160cm*160cm</v>
      </c>
      <c r="N213" s="2177">
        <f t="shared" si="15"/>
        <v>25600</v>
      </c>
      <c r="O213" s="2176">
        <f t="shared" si="15"/>
        <v>1</v>
      </c>
      <c r="P213" s="2177" t="str">
        <f t="shared" si="15"/>
        <v>-</v>
      </c>
      <c r="Q213" s="2178" t="str">
        <f t="shared" si="15"/>
        <v>-</v>
      </c>
      <c r="R213" s="2179" t="str">
        <f t="shared" si="15"/>
        <v>-</v>
      </c>
      <c r="S213" s="1035"/>
      <c r="T213" s="1035"/>
      <c r="U213" s="1035"/>
      <c r="V213" s="1035"/>
      <c r="W213" s="1035"/>
      <c r="X213" s="1035"/>
      <c r="Y213" s="1035"/>
      <c r="Z213" s="1035"/>
      <c r="AA213" s="1035"/>
      <c r="AB213" s="1035"/>
      <c r="AC213" s="1035"/>
      <c r="AD213" s="1036"/>
      <c r="AE213" s="1036"/>
      <c r="AF213" s="1036"/>
      <c r="AG213" s="1036"/>
      <c r="AH213" s="1036"/>
      <c r="AI213" s="1036"/>
      <c r="AJ213" s="1036"/>
      <c r="AK213" s="1036"/>
      <c r="AL213" s="1036"/>
      <c r="AM213" s="1036"/>
      <c r="AN213" s="1036"/>
      <c r="AO213" s="1036"/>
      <c r="AP213" s="1036"/>
      <c r="AQ213" s="1036"/>
      <c r="AR213" s="1036"/>
      <c r="AS213" s="1036"/>
      <c r="AT213" s="1036"/>
      <c r="AU213" s="1036"/>
      <c r="AV213" s="1036"/>
      <c r="AW213" s="1036"/>
      <c r="AX213" s="1036"/>
      <c r="AY213" s="1037"/>
    </row>
    <row r="214" spans="2:51" ht="12.75" customHeight="1">
      <c r="B214" s="1008" t="s">
        <v>359</v>
      </c>
      <c r="C214" s="1121" t="s">
        <v>200</v>
      </c>
      <c r="D214" s="1014" t="s">
        <v>451</v>
      </c>
      <c r="E214" s="1015"/>
      <c r="F214" s="1015"/>
      <c r="G214" s="1015"/>
      <c r="H214" s="1015"/>
      <c r="I214" s="1016"/>
      <c r="J214" s="1131" t="s">
        <v>452</v>
      </c>
      <c r="K214" s="1132"/>
      <c r="L214" s="1132"/>
      <c r="M214" s="1132"/>
      <c r="N214" s="1132"/>
      <c r="O214" s="1132"/>
      <c r="P214" s="1132"/>
      <c r="Q214" s="1132"/>
      <c r="R214" s="1132"/>
      <c r="S214" s="1098"/>
      <c r="T214" s="1098"/>
      <c r="U214" s="1098"/>
      <c r="V214" s="1098"/>
      <c r="W214" s="1098"/>
      <c r="X214" s="1098"/>
      <c r="Y214" s="1020"/>
      <c r="Z214" s="1020"/>
      <c r="AA214" s="1021"/>
      <c r="AB214" s="1021"/>
      <c r="AC214" s="1021"/>
      <c r="AD214" s="1021"/>
      <c r="AE214" s="1021"/>
      <c r="AF214" s="1021"/>
      <c r="AG214" s="1021"/>
      <c r="AH214" s="1021"/>
      <c r="AI214" s="1021"/>
      <c r="AJ214" s="1021"/>
      <c r="AK214" s="1021"/>
      <c r="AL214" s="1021"/>
      <c r="AM214" s="1021"/>
      <c r="AN214" s="1021"/>
      <c r="AO214" s="1021"/>
      <c r="AP214" s="1021"/>
      <c r="AQ214" s="1021"/>
      <c r="AR214" s="1021"/>
      <c r="AS214" s="1021"/>
      <c r="AT214" s="1021"/>
      <c r="AU214" s="1021"/>
      <c r="AV214" s="1021"/>
      <c r="AW214" s="1021"/>
      <c r="AX214" s="1021"/>
      <c r="AY214" s="1022"/>
    </row>
    <row r="215" spans="2:51" ht="12.75" customHeight="1">
      <c r="B215" s="1023"/>
      <c r="C215" s="1024" t="s">
        <v>453</v>
      </c>
      <c r="D215" s="1029" t="s">
        <v>366</v>
      </c>
      <c r="E215" s="1030"/>
      <c r="F215" s="1030" t="s">
        <v>367</v>
      </c>
      <c r="G215" s="1030"/>
      <c r="H215" s="1030" t="s">
        <v>368</v>
      </c>
      <c r="I215" s="1031"/>
      <c r="J215" s="1501" t="s">
        <v>1322</v>
      </c>
      <c r="K215" s="1134"/>
      <c r="L215" s="1134"/>
      <c r="M215" s="1134"/>
      <c r="N215" s="1134"/>
      <c r="O215" s="1134"/>
      <c r="P215" s="1134"/>
      <c r="Q215" s="1134"/>
      <c r="R215" s="1134"/>
      <c r="S215" s="1082"/>
      <c r="T215" s="1082"/>
      <c r="U215" s="1082"/>
      <c r="V215" s="1082"/>
      <c r="W215" s="1082"/>
      <c r="X215" s="1082"/>
      <c r="Y215" s="1035"/>
      <c r="Z215" s="1035"/>
      <c r="AA215" s="1036"/>
      <c r="AB215" s="1036"/>
      <c r="AC215" s="1036"/>
      <c r="AD215" s="1036"/>
      <c r="AE215" s="1036"/>
      <c r="AF215" s="1036"/>
      <c r="AG215" s="1036"/>
      <c r="AH215" s="1036"/>
      <c r="AI215" s="1036"/>
      <c r="AJ215" s="1036"/>
      <c r="AK215" s="1036"/>
      <c r="AL215" s="1036"/>
      <c r="AM215" s="1036"/>
      <c r="AN215" s="1036"/>
      <c r="AO215" s="1036"/>
      <c r="AP215" s="1036"/>
      <c r="AQ215" s="1036"/>
      <c r="AR215" s="1036"/>
      <c r="AS215" s="1036"/>
      <c r="AT215" s="1036"/>
      <c r="AU215" s="1036"/>
      <c r="AV215" s="1036"/>
      <c r="AW215" s="1036"/>
      <c r="AX215" s="1036"/>
      <c r="AY215" s="1037"/>
    </row>
    <row r="216" spans="2:51" ht="12.75" customHeight="1">
      <c r="B216" s="2108" t="str">
        <f>+$B$6</f>
        <v>事務所・店舗・百貨店</v>
      </c>
      <c r="C216" s="2141">
        <f>+C217</f>
        <v>51950</v>
      </c>
      <c r="D216" s="2153" t="s">
        <v>855</v>
      </c>
      <c r="E216" s="2136">
        <v>1.2</v>
      </c>
      <c r="F216" s="2136" t="s">
        <v>822</v>
      </c>
      <c r="G216" s="2136">
        <v>1</v>
      </c>
      <c r="H216" s="2136" t="s">
        <v>857</v>
      </c>
      <c r="I216" s="2180">
        <v>0.9</v>
      </c>
      <c r="J216" s="1135"/>
      <c r="K216" s="1136"/>
      <c r="L216" s="1082"/>
      <c r="M216" s="1136"/>
      <c r="N216" s="1136"/>
      <c r="O216" s="1082"/>
      <c r="P216" s="1136"/>
      <c r="Q216" s="1136"/>
      <c r="R216" s="1082"/>
      <c r="S216" s="1082"/>
      <c r="T216" s="1082"/>
      <c r="U216" s="1082"/>
      <c r="V216" s="1082"/>
      <c r="W216" s="1082"/>
      <c r="X216" s="1082"/>
      <c r="Y216" s="1035"/>
      <c r="Z216" s="1035"/>
      <c r="AA216" s="1036"/>
      <c r="AB216" s="1036"/>
      <c r="AC216" s="1036"/>
      <c r="AD216" s="1036"/>
      <c r="AE216" s="1036"/>
      <c r="AF216" s="1036"/>
      <c r="AG216" s="1036"/>
      <c r="AH216" s="1036"/>
      <c r="AI216" s="1036"/>
      <c r="AJ216" s="1036"/>
      <c r="AK216" s="1036"/>
      <c r="AL216" s="1036"/>
      <c r="AM216" s="1036"/>
      <c r="AN216" s="1036"/>
      <c r="AO216" s="1036"/>
      <c r="AP216" s="1036"/>
      <c r="AQ216" s="1036"/>
      <c r="AR216" s="1036"/>
      <c r="AS216" s="1036"/>
      <c r="AT216" s="1036"/>
      <c r="AU216" s="1036"/>
      <c r="AV216" s="1036"/>
      <c r="AW216" s="1036"/>
      <c r="AX216" s="1036"/>
      <c r="AY216" s="1037"/>
    </row>
    <row r="217" spans="2:51" ht="12.75" customHeight="1">
      <c r="B217" s="2109" t="str">
        <f>+$B$7</f>
        <v>住宅・アパート</v>
      </c>
      <c r="C217" s="1045">
        <v>51950</v>
      </c>
      <c r="D217" s="1046" t="s">
        <v>855</v>
      </c>
      <c r="E217" s="1047">
        <v>1.2</v>
      </c>
      <c r="F217" s="1047" t="s">
        <v>822</v>
      </c>
      <c r="G217" s="1047">
        <v>1</v>
      </c>
      <c r="H217" s="1047" t="s">
        <v>857</v>
      </c>
      <c r="I217" s="1053">
        <v>0.9</v>
      </c>
      <c r="J217" s="1135"/>
      <c r="K217" s="1136"/>
      <c r="L217" s="1082"/>
      <c r="M217" s="1136"/>
      <c r="N217" s="1136"/>
      <c r="O217" s="1082"/>
      <c r="P217" s="1136"/>
      <c r="Q217" s="1136"/>
      <c r="R217" s="1082"/>
      <c r="S217" s="1082"/>
      <c r="T217" s="1082"/>
      <c r="U217" s="1082"/>
      <c r="V217" s="1082"/>
      <c r="W217" s="1082"/>
      <c r="X217" s="1082"/>
      <c r="Y217" s="1035"/>
      <c r="Z217" s="1035"/>
      <c r="AA217" s="1036"/>
      <c r="AB217" s="1036"/>
      <c r="AC217" s="1036"/>
      <c r="AD217" s="1036"/>
      <c r="AE217" s="1036"/>
      <c r="AF217" s="1036"/>
      <c r="AG217" s="1036"/>
      <c r="AH217" s="1036"/>
      <c r="AI217" s="1036"/>
      <c r="AJ217" s="1036"/>
      <c r="AK217" s="1036"/>
      <c r="AL217" s="1036"/>
      <c r="AM217" s="1036"/>
      <c r="AN217" s="1036"/>
      <c r="AO217" s="1036"/>
      <c r="AP217" s="1036"/>
      <c r="AQ217" s="1036"/>
      <c r="AR217" s="1036"/>
      <c r="AS217" s="1036"/>
      <c r="AT217" s="1036"/>
      <c r="AU217" s="1036"/>
      <c r="AV217" s="1036"/>
      <c r="AW217" s="1036"/>
      <c r="AX217" s="1036"/>
      <c r="AY217" s="1037"/>
    </row>
    <row r="218" spans="2:51" ht="12.75" customHeight="1">
      <c r="B218" s="2109" t="str">
        <f>+$B$8</f>
        <v>病院・ホテル</v>
      </c>
      <c r="C218" s="1045">
        <v>51950</v>
      </c>
      <c r="D218" s="1046" t="s">
        <v>855</v>
      </c>
      <c r="E218" s="1047">
        <v>1.2</v>
      </c>
      <c r="F218" s="1047" t="s">
        <v>822</v>
      </c>
      <c r="G218" s="1047">
        <v>1</v>
      </c>
      <c r="H218" s="1047" t="s">
        <v>857</v>
      </c>
      <c r="I218" s="1053">
        <v>0.9</v>
      </c>
      <c r="J218" s="1135"/>
      <c r="K218" s="1136"/>
      <c r="L218" s="1082"/>
      <c r="M218" s="1136"/>
      <c r="N218" s="1136"/>
      <c r="O218" s="1082"/>
      <c r="P218" s="1136"/>
      <c r="Q218" s="1136"/>
      <c r="R218" s="1082"/>
      <c r="S218" s="1082"/>
      <c r="T218" s="1082"/>
      <c r="U218" s="1082"/>
      <c r="V218" s="1082"/>
      <c r="W218" s="1082"/>
      <c r="X218" s="1082"/>
      <c r="Y218" s="1035"/>
      <c r="Z218" s="1035"/>
      <c r="AA218" s="1036"/>
      <c r="AB218" s="1036"/>
      <c r="AC218" s="1036"/>
      <c r="AD218" s="1036"/>
      <c r="AE218" s="1036"/>
      <c r="AF218" s="1036"/>
      <c r="AG218" s="1036"/>
      <c r="AH218" s="1036"/>
      <c r="AI218" s="1036"/>
      <c r="AJ218" s="1036"/>
      <c r="AK218" s="1036"/>
      <c r="AL218" s="1036"/>
      <c r="AM218" s="1036"/>
      <c r="AN218" s="1036"/>
      <c r="AO218" s="1036"/>
      <c r="AP218" s="1036"/>
      <c r="AQ218" s="1036"/>
      <c r="AR218" s="1036"/>
      <c r="AS218" s="1036"/>
      <c r="AT218" s="1036"/>
      <c r="AU218" s="1036"/>
      <c r="AV218" s="1036"/>
      <c r="AW218" s="1036"/>
      <c r="AX218" s="1036"/>
      <c r="AY218" s="1037"/>
    </row>
    <row r="219" spans="2:51" ht="12.75" customHeight="1">
      <c r="B219" s="2109" t="str">
        <f>+$B$9</f>
        <v>工場・倉庫・市場</v>
      </c>
      <c r="C219" s="2119">
        <f>+C217</f>
        <v>51950</v>
      </c>
      <c r="D219" s="2131" t="s">
        <v>855</v>
      </c>
      <c r="E219" s="2121">
        <v>1.2</v>
      </c>
      <c r="F219" s="2121" t="s">
        <v>822</v>
      </c>
      <c r="G219" s="2121">
        <v>1</v>
      </c>
      <c r="H219" s="2121" t="s">
        <v>857</v>
      </c>
      <c r="I219" s="2135">
        <v>0.9</v>
      </c>
      <c r="J219" s="1135"/>
      <c r="K219" s="1136"/>
      <c r="L219" s="1082"/>
      <c r="M219" s="1136"/>
      <c r="N219" s="1136"/>
      <c r="O219" s="1082"/>
      <c r="P219" s="1136"/>
      <c r="Q219" s="1136"/>
      <c r="R219" s="1082"/>
      <c r="S219" s="1082"/>
      <c r="T219" s="1082"/>
      <c r="U219" s="1082"/>
      <c r="V219" s="1082"/>
      <c r="W219" s="1082"/>
      <c r="X219" s="1082"/>
      <c r="Y219" s="1035"/>
      <c r="Z219" s="1035"/>
      <c r="AA219" s="1036"/>
      <c r="AB219" s="1036"/>
      <c r="AC219" s="1036"/>
      <c r="AD219" s="1036"/>
      <c r="AE219" s="1036"/>
      <c r="AF219" s="1036"/>
      <c r="AG219" s="1036"/>
      <c r="AH219" s="1036"/>
      <c r="AI219" s="1036"/>
      <c r="AJ219" s="1036"/>
      <c r="AK219" s="1036"/>
      <c r="AL219" s="1036"/>
      <c r="AM219" s="1036"/>
      <c r="AN219" s="1036"/>
      <c r="AO219" s="1036"/>
      <c r="AP219" s="1036"/>
      <c r="AQ219" s="1036"/>
      <c r="AR219" s="1036"/>
      <c r="AS219" s="1036"/>
      <c r="AT219" s="1036"/>
      <c r="AU219" s="1036"/>
      <c r="AV219" s="1036"/>
      <c r="AW219" s="1036"/>
      <c r="AX219" s="1036"/>
      <c r="AY219" s="1037"/>
    </row>
    <row r="220" spans="2:51" ht="12.75" customHeight="1">
      <c r="B220" s="2110" t="str">
        <f>+$B$10</f>
        <v>劇場型建物</v>
      </c>
      <c r="C220" s="2125">
        <f>+C217</f>
        <v>51950</v>
      </c>
      <c r="D220" s="2159" t="s">
        <v>855</v>
      </c>
      <c r="E220" s="2127">
        <v>1.2</v>
      </c>
      <c r="F220" s="2127" t="s">
        <v>822</v>
      </c>
      <c r="G220" s="2127">
        <v>1</v>
      </c>
      <c r="H220" s="2127" t="s">
        <v>857</v>
      </c>
      <c r="I220" s="2181">
        <v>0.9</v>
      </c>
      <c r="J220" s="1137"/>
      <c r="K220" s="1138"/>
      <c r="L220" s="1139"/>
      <c r="M220" s="1138"/>
      <c r="N220" s="1138"/>
      <c r="O220" s="1139"/>
      <c r="P220" s="1138"/>
      <c r="Q220" s="1138"/>
      <c r="R220" s="1139"/>
      <c r="S220" s="1082"/>
      <c r="T220" s="1082"/>
      <c r="U220" s="1082"/>
      <c r="V220" s="1082"/>
      <c r="W220" s="1082"/>
      <c r="X220" s="1082"/>
      <c r="Y220" s="1035"/>
      <c r="Z220" s="1035"/>
      <c r="AA220" s="1036"/>
      <c r="AB220" s="1036"/>
      <c r="AC220" s="1036"/>
      <c r="AD220" s="1036"/>
      <c r="AE220" s="1036"/>
      <c r="AF220" s="1036"/>
      <c r="AG220" s="1036"/>
      <c r="AH220" s="1036"/>
      <c r="AI220" s="1036"/>
      <c r="AJ220" s="1036"/>
      <c r="AK220" s="1036"/>
      <c r="AL220" s="1036"/>
      <c r="AM220" s="1036"/>
      <c r="AN220" s="1036"/>
      <c r="AO220" s="1036"/>
      <c r="AP220" s="1036"/>
      <c r="AQ220" s="1036"/>
      <c r="AR220" s="1036"/>
      <c r="AS220" s="1036"/>
      <c r="AT220" s="1036"/>
      <c r="AU220" s="1036"/>
      <c r="AV220" s="1036"/>
      <c r="AW220" s="1036"/>
      <c r="AX220" s="1036"/>
      <c r="AY220" s="1037"/>
    </row>
    <row r="221" spans="2:51" ht="12.75" customHeight="1">
      <c r="B221" s="1008" t="s">
        <v>359</v>
      </c>
      <c r="C221" s="1121" t="s">
        <v>454</v>
      </c>
      <c r="D221" s="1014" t="s">
        <v>455</v>
      </c>
      <c r="E221" s="1015"/>
      <c r="F221" s="1015"/>
      <c r="G221" s="1015"/>
      <c r="H221" s="1015"/>
      <c r="I221" s="1016"/>
      <c r="J221" s="1463" t="s">
        <v>1336</v>
      </c>
      <c r="K221" s="1014"/>
      <c r="L221" s="1015"/>
      <c r="M221" s="1015"/>
      <c r="N221" s="1015"/>
      <c r="O221" s="1015"/>
      <c r="P221" s="1015"/>
      <c r="Q221" s="1016"/>
      <c r="R221" s="1017"/>
      <c r="S221" s="1098"/>
      <c r="T221" s="1098"/>
      <c r="U221" s="1098"/>
      <c r="V221" s="1098"/>
      <c r="W221" s="1098"/>
      <c r="X221" s="1098"/>
      <c r="Y221" s="1020"/>
      <c r="Z221" s="1020"/>
      <c r="AA221" s="1021"/>
      <c r="AB221" s="1021"/>
      <c r="AC221" s="1021"/>
      <c r="AD221" s="1021"/>
      <c r="AE221" s="1021"/>
      <c r="AF221" s="1021"/>
      <c r="AG221" s="1021"/>
      <c r="AH221" s="1021"/>
      <c r="AI221" s="1021"/>
      <c r="AJ221" s="1021"/>
      <c r="AK221" s="1021"/>
      <c r="AL221" s="1021"/>
      <c r="AM221" s="1021"/>
      <c r="AN221" s="1021"/>
      <c r="AO221" s="1021"/>
      <c r="AP221" s="1021"/>
      <c r="AQ221" s="1021"/>
      <c r="AR221" s="1021"/>
      <c r="AS221" s="1021"/>
      <c r="AT221" s="1021"/>
      <c r="AU221" s="1021"/>
      <c r="AV221" s="1021"/>
      <c r="AW221" s="1021"/>
      <c r="AX221" s="1021"/>
      <c r="AY221" s="1022"/>
    </row>
    <row r="222" spans="2:51" ht="12.75" customHeight="1">
      <c r="B222" s="1023"/>
      <c r="C222" s="1024" t="s">
        <v>74</v>
      </c>
      <c r="D222" s="1029" t="s">
        <v>366</v>
      </c>
      <c r="E222" s="1030"/>
      <c r="F222" s="1030" t="s">
        <v>367</v>
      </c>
      <c r="G222" s="1030"/>
      <c r="H222" s="1030" t="s">
        <v>368</v>
      </c>
      <c r="I222" s="1031"/>
      <c r="J222" s="1028" t="s">
        <v>366</v>
      </c>
      <c r="K222" s="1029"/>
      <c r="L222" s="1030"/>
      <c r="M222" s="1030" t="s">
        <v>367</v>
      </c>
      <c r="N222" s="1030"/>
      <c r="O222" s="1030"/>
      <c r="P222" s="1030" t="s">
        <v>368</v>
      </c>
      <c r="Q222" s="1031"/>
      <c r="R222" s="1032"/>
      <c r="S222" s="1501" t="s">
        <v>2316</v>
      </c>
      <c r="T222" s="1082"/>
      <c r="U222" s="1082"/>
      <c r="V222" s="1082"/>
      <c r="W222" s="1082"/>
      <c r="X222" s="1082"/>
      <c r="Y222" s="1035"/>
      <c r="Z222" s="1035"/>
      <c r="AA222" s="1036"/>
      <c r="AB222" s="1036"/>
      <c r="AC222" s="1036"/>
      <c r="AD222" s="1036"/>
      <c r="AE222" s="1036"/>
      <c r="AF222" s="1036"/>
      <c r="AG222" s="1036"/>
      <c r="AH222" s="1036"/>
      <c r="AI222" s="1036"/>
      <c r="AJ222" s="1036"/>
      <c r="AK222" s="1036"/>
      <c r="AL222" s="1036"/>
      <c r="AM222" s="1036"/>
      <c r="AN222" s="1036"/>
      <c r="AO222" s="1036"/>
      <c r="AP222" s="1036"/>
      <c r="AQ222" s="1036"/>
      <c r="AR222" s="1036"/>
      <c r="AS222" s="1036"/>
      <c r="AT222" s="1036"/>
      <c r="AU222" s="1036"/>
      <c r="AV222" s="1036"/>
      <c r="AW222" s="1036"/>
      <c r="AX222" s="1036"/>
      <c r="AY222" s="1037"/>
    </row>
    <row r="223" spans="2:51" ht="12.75" customHeight="1">
      <c r="B223" s="2108" t="str">
        <f>+$B$6</f>
        <v>事務所・店舗・百貨店</v>
      </c>
      <c r="C223" s="2141">
        <f>+C224</f>
        <v>196880</v>
      </c>
      <c r="D223" s="2153" t="s">
        <v>855</v>
      </c>
      <c r="E223" s="2136">
        <v>1.2</v>
      </c>
      <c r="F223" s="2136" t="s">
        <v>822</v>
      </c>
      <c r="G223" s="2136">
        <v>1</v>
      </c>
      <c r="H223" s="2136" t="s">
        <v>857</v>
      </c>
      <c r="I223" s="2180">
        <v>0.9</v>
      </c>
      <c r="J223" s="2182" t="s">
        <v>456</v>
      </c>
      <c r="K223" s="2155">
        <v>12800</v>
      </c>
      <c r="L223" s="2143">
        <f t="shared" ref="L223" si="16">+L224</f>
        <v>1.1000000000000001</v>
      </c>
      <c r="M223" s="2156" t="s">
        <v>457</v>
      </c>
      <c r="N223" s="2156">
        <v>9600</v>
      </c>
      <c r="O223" s="2136">
        <v>1</v>
      </c>
      <c r="P223" s="2156" t="s">
        <v>986</v>
      </c>
      <c r="Q223" s="2157">
        <v>6400</v>
      </c>
      <c r="R223" s="2137">
        <v>0.8</v>
      </c>
      <c r="S223" s="1082"/>
      <c r="T223" s="1082"/>
      <c r="U223" s="1082"/>
      <c r="V223" s="1082"/>
      <c r="W223" s="1082"/>
      <c r="X223" s="1082"/>
      <c r="Y223" s="1035"/>
      <c r="Z223" s="1035"/>
      <c r="AA223" s="1036"/>
      <c r="AB223" s="1036"/>
      <c r="AC223" s="1036"/>
      <c r="AD223" s="1036"/>
      <c r="AE223" s="1036"/>
      <c r="AF223" s="1036"/>
      <c r="AG223" s="1036"/>
      <c r="AH223" s="1036"/>
      <c r="AI223" s="1036"/>
      <c r="AJ223" s="1036"/>
      <c r="AK223" s="1036"/>
      <c r="AL223" s="1036"/>
      <c r="AM223" s="1036"/>
      <c r="AN223" s="1036"/>
      <c r="AO223" s="1036"/>
      <c r="AP223" s="1036"/>
      <c r="AQ223" s="1036"/>
      <c r="AR223" s="1036"/>
      <c r="AS223" s="1036"/>
      <c r="AT223" s="1036"/>
      <c r="AU223" s="1036"/>
      <c r="AV223" s="1036"/>
      <c r="AW223" s="1036"/>
      <c r="AX223" s="1036"/>
      <c r="AY223" s="1037"/>
    </row>
    <row r="224" spans="2:51" ht="12.75" customHeight="1">
      <c r="B224" s="2109" t="str">
        <f>+$B$7</f>
        <v>住宅・アパート</v>
      </c>
      <c r="C224" s="1045">
        <v>196880</v>
      </c>
      <c r="D224" s="1046" t="s">
        <v>855</v>
      </c>
      <c r="E224" s="1047">
        <v>1.2</v>
      </c>
      <c r="F224" s="1047" t="s">
        <v>822</v>
      </c>
      <c r="G224" s="1047">
        <v>1</v>
      </c>
      <c r="H224" s="1047" t="s">
        <v>857</v>
      </c>
      <c r="I224" s="1053">
        <v>0.9</v>
      </c>
      <c r="J224" s="1130" t="s">
        <v>987</v>
      </c>
      <c r="K224" s="1107">
        <v>12800</v>
      </c>
      <c r="L224" s="2063">
        <v>1.1000000000000001</v>
      </c>
      <c r="M224" s="1108" t="s">
        <v>988</v>
      </c>
      <c r="N224" s="1108">
        <v>9600</v>
      </c>
      <c r="O224" s="1047">
        <v>1</v>
      </c>
      <c r="P224" s="1108" t="s">
        <v>989</v>
      </c>
      <c r="Q224" s="1109">
        <v>6400</v>
      </c>
      <c r="R224" s="1048">
        <v>0.8</v>
      </c>
      <c r="S224" s="1082"/>
      <c r="T224" s="1082"/>
      <c r="U224" s="1082"/>
      <c r="V224" s="1082"/>
      <c r="W224" s="1082"/>
      <c r="X224" s="1082"/>
      <c r="Y224" s="1035"/>
      <c r="Z224" s="1035"/>
      <c r="AA224" s="1036"/>
      <c r="AB224" s="1036"/>
      <c r="AC224" s="1036"/>
      <c r="AD224" s="1036"/>
      <c r="AE224" s="1036"/>
      <c r="AF224" s="1036"/>
      <c r="AG224" s="1036"/>
      <c r="AH224" s="1036"/>
      <c r="AI224" s="1036"/>
      <c r="AJ224" s="1036"/>
      <c r="AK224" s="1036"/>
      <c r="AL224" s="1036"/>
      <c r="AM224" s="1036"/>
      <c r="AN224" s="1036"/>
      <c r="AO224" s="1036"/>
      <c r="AP224" s="1036"/>
      <c r="AQ224" s="1036"/>
      <c r="AR224" s="1036"/>
      <c r="AS224" s="1036"/>
      <c r="AT224" s="1036"/>
      <c r="AU224" s="1036"/>
      <c r="AV224" s="1036"/>
      <c r="AW224" s="1036"/>
      <c r="AX224" s="1036"/>
      <c r="AY224" s="1037"/>
    </row>
    <row r="225" spans="2:51" ht="12.75" customHeight="1">
      <c r="B225" s="2109" t="str">
        <f>+$B$8</f>
        <v>病院・ホテル</v>
      </c>
      <c r="C225" s="2242">
        <f>+C224</f>
        <v>196880</v>
      </c>
      <c r="D225" s="1046" t="s">
        <v>855</v>
      </c>
      <c r="E225" s="1047">
        <v>1.2</v>
      </c>
      <c r="F225" s="1047" t="s">
        <v>822</v>
      </c>
      <c r="G225" s="1047">
        <v>1</v>
      </c>
      <c r="H225" s="1047" t="s">
        <v>857</v>
      </c>
      <c r="I225" s="1053">
        <v>0.9</v>
      </c>
      <c r="J225" s="1130" t="s">
        <v>987</v>
      </c>
      <c r="K225" s="1107">
        <v>12800</v>
      </c>
      <c r="L225" s="2243">
        <f t="shared" ref="L225" si="17">+L224</f>
        <v>1.1000000000000001</v>
      </c>
      <c r="M225" s="1108" t="s">
        <v>988</v>
      </c>
      <c r="N225" s="1108">
        <v>9600</v>
      </c>
      <c r="O225" s="1047">
        <v>1</v>
      </c>
      <c r="P225" s="1108" t="s">
        <v>989</v>
      </c>
      <c r="Q225" s="1109">
        <v>6400</v>
      </c>
      <c r="R225" s="1048">
        <v>0.8</v>
      </c>
      <c r="S225" s="1082"/>
      <c r="T225" s="1082"/>
      <c r="U225" s="1082"/>
      <c r="V225" s="1082"/>
      <c r="W225" s="1082"/>
      <c r="X225" s="1082"/>
      <c r="Y225" s="1035"/>
      <c r="Z225" s="1035"/>
      <c r="AA225" s="1036"/>
      <c r="AB225" s="1036"/>
      <c r="AC225" s="1036"/>
      <c r="AD225" s="1036"/>
      <c r="AE225" s="1036"/>
      <c r="AF225" s="1036"/>
      <c r="AG225" s="1036"/>
      <c r="AH225" s="1036"/>
      <c r="AI225" s="1036"/>
      <c r="AJ225" s="1036"/>
      <c r="AK225" s="1036"/>
      <c r="AL225" s="1036"/>
      <c r="AM225" s="1036"/>
      <c r="AN225" s="1036"/>
      <c r="AO225" s="1036"/>
      <c r="AP225" s="1036"/>
      <c r="AQ225" s="1036"/>
      <c r="AR225" s="1036"/>
      <c r="AS225" s="1036"/>
      <c r="AT225" s="1036"/>
      <c r="AU225" s="1036"/>
      <c r="AV225" s="1036"/>
      <c r="AW225" s="1036"/>
      <c r="AX225" s="1036"/>
      <c r="AY225" s="1037"/>
    </row>
    <row r="226" spans="2:51" ht="12.75" customHeight="1">
      <c r="B226" s="2109" t="str">
        <f>+$B$9</f>
        <v>工場・倉庫・市場</v>
      </c>
      <c r="C226" s="2242">
        <f>+C224</f>
        <v>196880</v>
      </c>
      <c r="D226" s="1046" t="s">
        <v>855</v>
      </c>
      <c r="E226" s="1047">
        <v>1.2</v>
      </c>
      <c r="F226" s="1047" t="s">
        <v>822</v>
      </c>
      <c r="G226" s="1047">
        <v>1</v>
      </c>
      <c r="H226" s="1047" t="s">
        <v>857</v>
      </c>
      <c r="I226" s="1053">
        <v>0.9</v>
      </c>
      <c r="J226" s="1130" t="s">
        <v>987</v>
      </c>
      <c r="K226" s="1107">
        <v>12800</v>
      </c>
      <c r="L226" s="2243">
        <f t="shared" ref="L226" si="18">+L224</f>
        <v>1.1000000000000001</v>
      </c>
      <c r="M226" s="1108" t="s">
        <v>988</v>
      </c>
      <c r="N226" s="1108">
        <v>9600</v>
      </c>
      <c r="O226" s="1047">
        <v>1</v>
      </c>
      <c r="P226" s="1108" t="s">
        <v>989</v>
      </c>
      <c r="Q226" s="1109">
        <v>6400</v>
      </c>
      <c r="R226" s="1048">
        <v>0.8</v>
      </c>
      <c r="S226" s="1116"/>
      <c r="T226" s="1082"/>
      <c r="U226" s="1119"/>
      <c r="V226" s="1082"/>
      <c r="W226" s="1119"/>
      <c r="X226" s="1082"/>
      <c r="Y226" s="1082"/>
      <c r="Z226" s="1082"/>
      <c r="AA226" s="1082"/>
      <c r="AB226" s="1082"/>
      <c r="AC226" s="1082"/>
      <c r="AD226" s="1082"/>
      <c r="AE226" s="1082"/>
      <c r="AF226" s="1082"/>
      <c r="AG226" s="1082"/>
      <c r="AH226" s="1082"/>
      <c r="AI226" s="1082"/>
      <c r="AJ226" s="1082"/>
      <c r="AK226" s="1035"/>
      <c r="AL226" s="1035"/>
      <c r="AM226" s="1036"/>
      <c r="AN226" s="1036"/>
      <c r="AO226" s="1036"/>
      <c r="AP226" s="1036"/>
      <c r="AQ226" s="1036"/>
      <c r="AR226" s="1036"/>
      <c r="AS226" s="1036"/>
      <c r="AT226" s="1036"/>
      <c r="AU226" s="1036"/>
      <c r="AV226" s="1036"/>
      <c r="AW226" s="1036"/>
      <c r="AX226" s="1036"/>
      <c r="AY226" s="1037"/>
    </row>
    <row r="227" spans="2:51" ht="12.75" customHeight="1">
      <c r="B227" s="2110" t="str">
        <f>+$B$10</f>
        <v>劇場型建物</v>
      </c>
      <c r="C227" s="2158">
        <f>C224</f>
        <v>196880</v>
      </c>
      <c r="D227" s="2131" t="s">
        <v>855</v>
      </c>
      <c r="E227" s="2121">
        <v>1.2</v>
      </c>
      <c r="F227" s="2121" t="s">
        <v>822</v>
      </c>
      <c r="G227" s="2121">
        <v>1</v>
      </c>
      <c r="H227" s="2121" t="s">
        <v>857</v>
      </c>
      <c r="I227" s="2135">
        <v>0.9</v>
      </c>
      <c r="J227" s="2183" t="s">
        <v>987</v>
      </c>
      <c r="K227" s="2132">
        <v>12800</v>
      </c>
      <c r="L227" s="2121">
        <v>1.1000000000000001</v>
      </c>
      <c r="M227" s="2133" t="s">
        <v>988</v>
      </c>
      <c r="N227" s="2133">
        <v>9600</v>
      </c>
      <c r="O227" s="2121">
        <v>1</v>
      </c>
      <c r="P227" s="2133" t="s">
        <v>989</v>
      </c>
      <c r="Q227" s="2134">
        <v>6400</v>
      </c>
      <c r="R227" s="2123">
        <v>0.8</v>
      </c>
      <c r="S227" s="1116"/>
      <c r="T227" s="1082"/>
      <c r="U227" s="1119"/>
      <c r="V227" s="1082"/>
      <c r="W227" s="1119"/>
      <c r="X227" s="1082"/>
      <c r="Y227" s="1082"/>
      <c r="Z227" s="1082"/>
      <c r="AA227" s="1082"/>
      <c r="AB227" s="1082"/>
      <c r="AC227" s="1082"/>
      <c r="AD227" s="1082"/>
      <c r="AE227" s="1082"/>
      <c r="AF227" s="1082"/>
      <c r="AG227" s="1082"/>
      <c r="AH227" s="1082"/>
      <c r="AI227" s="1082"/>
      <c r="AJ227" s="1082"/>
      <c r="AK227" s="1035"/>
      <c r="AL227" s="1035"/>
      <c r="AM227" s="1036"/>
      <c r="AN227" s="1036"/>
      <c r="AO227" s="1036"/>
      <c r="AP227" s="1036"/>
      <c r="AQ227" s="1036"/>
      <c r="AR227" s="1036"/>
      <c r="AS227" s="1036"/>
      <c r="AT227" s="1036"/>
      <c r="AU227" s="1036"/>
      <c r="AV227" s="1036"/>
      <c r="AW227" s="1036"/>
      <c r="AX227" s="1036"/>
      <c r="AY227" s="1037"/>
    </row>
    <row r="228" spans="2:51" s="2001" customFormat="1" ht="12.75" customHeight="1">
      <c r="B228" s="1008" t="s">
        <v>359</v>
      </c>
      <c r="C228" s="1121" t="s">
        <v>2186</v>
      </c>
      <c r="D228" s="1481" t="s">
        <v>2187</v>
      </c>
      <c r="E228" s="1015"/>
      <c r="F228" s="1015"/>
      <c r="G228" s="1015"/>
      <c r="H228" s="1015"/>
      <c r="I228" s="1016"/>
      <c r="J228" s="1463" t="s">
        <v>2188</v>
      </c>
      <c r="K228" s="1014"/>
      <c r="L228" s="1015"/>
      <c r="M228" s="1015"/>
      <c r="N228" s="1015"/>
      <c r="O228" s="1015"/>
      <c r="P228" s="1015"/>
      <c r="Q228" s="1016"/>
      <c r="R228" s="1017"/>
      <c r="S228" s="1098"/>
      <c r="T228" s="1098"/>
      <c r="U228" s="1098"/>
      <c r="V228" s="1098"/>
      <c r="W228" s="1098"/>
      <c r="X228" s="1098"/>
      <c r="Y228" s="1020"/>
      <c r="Z228" s="1020"/>
      <c r="AA228" s="1021"/>
      <c r="AB228" s="1021"/>
      <c r="AC228" s="1021"/>
      <c r="AD228" s="1021"/>
      <c r="AE228" s="1021"/>
      <c r="AF228" s="1021"/>
      <c r="AG228" s="1021"/>
      <c r="AH228" s="1021"/>
      <c r="AI228" s="1021"/>
      <c r="AJ228" s="1021"/>
      <c r="AK228" s="1021"/>
      <c r="AL228" s="1021"/>
      <c r="AM228" s="1021"/>
      <c r="AN228" s="1021"/>
      <c r="AO228" s="1021"/>
      <c r="AP228" s="1021"/>
      <c r="AQ228" s="1021"/>
      <c r="AR228" s="1021"/>
      <c r="AS228" s="1021"/>
      <c r="AT228" s="1021"/>
      <c r="AU228" s="1021"/>
      <c r="AV228" s="1021"/>
      <c r="AW228" s="1021"/>
      <c r="AX228" s="1021"/>
      <c r="AY228" s="1022"/>
    </row>
    <row r="229" spans="2:51" s="2001" customFormat="1" ht="12.75" customHeight="1">
      <c r="B229" s="1023"/>
      <c r="C229" s="1024" t="s">
        <v>2185</v>
      </c>
      <c r="D229" s="1029" t="s">
        <v>366</v>
      </c>
      <c r="E229" s="1030"/>
      <c r="F229" s="1030" t="s">
        <v>367</v>
      </c>
      <c r="G229" s="1030"/>
      <c r="H229" s="1030" t="s">
        <v>368</v>
      </c>
      <c r="I229" s="1031"/>
      <c r="J229" s="1028" t="s">
        <v>366</v>
      </c>
      <c r="K229" s="1029"/>
      <c r="L229" s="1030"/>
      <c r="M229" s="1030" t="s">
        <v>367</v>
      </c>
      <c r="N229" s="1030"/>
      <c r="O229" s="1030"/>
      <c r="P229" s="1030" t="s">
        <v>368</v>
      </c>
      <c r="Q229" s="1031"/>
      <c r="R229" s="1032"/>
      <c r="S229" s="1501" t="s">
        <v>2196</v>
      </c>
      <c r="T229" s="1082"/>
      <c r="U229" s="1082"/>
      <c r="V229" s="1082"/>
      <c r="W229" s="1082"/>
      <c r="X229" s="1082"/>
      <c r="Y229" s="1035"/>
      <c r="Z229" s="1035"/>
      <c r="AA229" s="1036"/>
      <c r="AB229" s="1036"/>
      <c r="AC229" s="1036"/>
      <c r="AD229" s="1036"/>
      <c r="AE229" s="1036"/>
      <c r="AF229" s="1036"/>
      <c r="AG229" s="1036"/>
      <c r="AH229" s="1036"/>
      <c r="AI229" s="1036"/>
      <c r="AJ229" s="1036"/>
      <c r="AK229" s="1036"/>
      <c r="AL229" s="1036"/>
      <c r="AM229" s="1036"/>
      <c r="AN229" s="1036"/>
      <c r="AO229" s="1036"/>
      <c r="AP229" s="1036"/>
      <c r="AQ229" s="1036"/>
      <c r="AR229" s="1036"/>
      <c r="AS229" s="1036"/>
      <c r="AT229" s="1036"/>
      <c r="AU229" s="1036"/>
      <c r="AV229" s="1036"/>
      <c r="AW229" s="1036"/>
      <c r="AX229" s="1036"/>
      <c r="AY229" s="1037"/>
    </row>
    <row r="230" spans="2:51" s="2001" customFormat="1" ht="12.75" customHeight="1">
      <c r="B230" s="2108" t="str">
        <f>+$B$6</f>
        <v>事務所・店舗・百貨店</v>
      </c>
      <c r="C230" s="2141">
        <f>+C232</f>
        <v>55670</v>
      </c>
      <c r="D230" s="2142" t="str">
        <f t="shared" ref="D230:R230" si="19">+D232</f>
        <v>良い</v>
      </c>
      <c r="E230" s="2143">
        <f t="shared" si="19"/>
        <v>1.4</v>
      </c>
      <c r="F230" s="2143" t="str">
        <f t="shared" si="19"/>
        <v>普通</v>
      </c>
      <c r="G230" s="2143">
        <f t="shared" si="19"/>
        <v>1</v>
      </c>
      <c r="H230" s="2143" t="str">
        <f t="shared" si="19"/>
        <v>悪い</v>
      </c>
      <c r="I230" s="2184">
        <f t="shared" si="19"/>
        <v>0.7</v>
      </c>
      <c r="J230" s="2166" t="str">
        <f t="shared" si="19"/>
        <v>150cm*56cm</v>
      </c>
      <c r="K230" s="2167">
        <f t="shared" si="19"/>
        <v>8400</v>
      </c>
      <c r="L230" s="2143">
        <f t="shared" si="19"/>
        <v>1.1000000000000001</v>
      </c>
      <c r="M230" s="2168" t="str">
        <f t="shared" si="19"/>
        <v>120cm*56cm</v>
      </c>
      <c r="N230" s="2168">
        <f t="shared" si="19"/>
        <v>6720</v>
      </c>
      <c r="O230" s="2143">
        <f t="shared" si="19"/>
        <v>1</v>
      </c>
      <c r="P230" s="2168" t="str">
        <f t="shared" si="19"/>
        <v>105cm*56cm</v>
      </c>
      <c r="Q230" s="2169">
        <f t="shared" si="19"/>
        <v>5880</v>
      </c>
      <c r="R230" s="2144">
        <f t="shared" si="19"/>
        <v>0.95</v>
      </c>
      <c r="S230" s="1082"/>
      <c r="T230" s="1082"/>
      <c r="U230" s="1082"/>
      <c r="V230" s="1082"/>
      <c r="W230" s="1082"/>
      <c r="X230" s="1082"/>
      <c r="Y230" s="1035"/>
      <c r="Z230" s="1035"/>
      <c r="AA230" s="1036"/>
      <c r="AB230" s="1036"/>
      <c r="AC230" s="1036"/>
      <c r="AD230" s="1036"/>
      <c r="AE230" s="1036"/>
      <c r="AF230" s="1036"/>
      <c r="AG230" s="1036"/>
      <c r="AH230" s="1036"/>
      <c r="AI230" s="1036"/>
      <c r="AJ230" s="1036"/>
      <c r="AK230" s="1036"/>
      <c r="AL230" s="1036"/>
      <c r="AM230" s="1036"/>
      <c r="AN230" s="1036"/>
      <c r="AO230" s="1036"/>
      <c r="AP230" s="1036"/>
      <c r="AQ230" s="1036"/>
      <c r="AR230" s="1036"/>
      <c r="AS230" s="1036"/>
      <c r="AT230" s="1036"/>
      <c r="AU230" s="1036"/>
      <c r="AV230" s="1036"/>
      <c r="AW230" s="1036"/>
      <c r="AX230" s="1036"/>
      <c r="AY230" s="1037"/>
    </row>
    <row r="231" spans="2:51" s="2001" customFormat="1" ht="12.75" customHeight="1">
      <c r="B231" s="2109" t="str">
        <f>+$B$7</f>
        <v>住宅・アパート</v>
      </c>
      <c r="C231" s="2119">
        <f>+C232</f>
        <v>55670</v>
      </c>
      <c r="D231" s="2146" t="str">
        <f t="shared" ref="D231:R231" si="20">+D232</f>
        <v>良い</v>
      </c>
      <c r="E231" s="2147">
        <f t="shared" si="20"/>
        <v>1.4</v>
      </c>
      <c r="F231" s="2147" t="str">
        <f t="shared" si="20"/>
        <v>普通</v>
      </c>
      <c r="G231" s="2147">
        <f t="shared" si="20"/>
        <v>1</v>
      </c>
      <c r="H231" s="2147" t="str">
        <f t="shared" si="20"/>
        <v>悪い</v>
      </c>
      <c r="I231" s="2185">
        <f t="shared" si="20"/>
        <v>0.7</v>
      </c>
      <c r="J231" s="2170" t="str">
        <f t="shared" si="20"/>
        <v>150cm*56cm</v>
      </c>
      <c r="K231" s="2171">
        <f t="shared" si="20"/>
        <v>8400</v>
      </c>
      <c r="L231" s="2147">
        <f t="shared" si="20"/>
        <v>1.1000000000000001</v>
      </c>
      <c r="M231" s="2172" t="str">
        <f t="shared" si="20"/>
        <v>120cm*56cm</v>
      </c>
      <c r="N231" s="2172">
        <f t="shared" si="20"/>
        <v>6720</v>
      </c>
      <c r="O231" s="2147">
        <f t="shared" si="20"/>
        <v>1</v>
      </c>
      <c r="P231" s="2172" t="str">
        <f t="shared" si="20"/>
        <v>105cm*56cm</v>
      </c>
      <c r="Q231" s="2173">
        <f t="shared" si="20"/>
        <v>5880</v>
      </c>
      <c r="R231" s="2148">
        <f t="shared" si="20"/>
        <v>0.95</v>
      </c>
      <c r="S231" s="1082"/>
      <c r="T231" s="1082"/>
      <c r="U231" s="1082"/>
      <c r="V231" s="1082"/>
      <c r="W231" s="1082"/>
      <c r="X231" s="1082"/>
      <c r="Y231" s="1035"/>
      <c r="Z231" s="1035"/>
      <c r="AA231" s="1036"/>
      <c r="AB231" s="1036"/>
      <c r="AC231" s="1036"/>
      <c r="AD231" s="1036"/>
      <c r="AE231" s="1036"/>
      <c r="AF231" s="1036"/>
      <c r="AG231" s="1036"/>
      <c r="AH231" s="1036"/>
      <c r="AI231" s="1036"/>
      <c r="AJ231" s="1036"/>
      <c r="AK231" s="1036"/>
      <c r="AL231" s="1036"/>
      <c r="AM231" s="1036"/>
      <c r="AN231" s="1036"/>
      <c r="AO231" s="1036"/>
      <c r="AP231" s="1036"/>
      <c r="AQ231" s="1036"/>
      <c r="AR231" s="1036"/>
      <c r="AS231" s="1036"/>
      <c r="AT231" s="1036"/>
      <c r="AU231" s="1036"/>
      <c r="AV231" s="1036"/>
      <c r="AW231" s="1036"/>
      <c r="AX231" s="1036"/>
      <c r="AY231" s="1037"/>
    </row>
    <row r="232" spans="2:51" s="2001" customFormat="1" ht="12.75" customHeight="1">
      <c r="B232" s="2109" t="str">
        <f>+$B$8</f>
        <v>病院・ホテル</v>
      </c>
      <c r="C232" s="1045">
        <v>55670</v>
      </c>
      <c r="D232" s="1046" t="s">
        <v>855</v>
      </c>
      <c r="E232" s="1047">
        <v>1.4</v>
      </c>
      <c r="F232" s="1047" t="s">
        <v>822</v>
      </c>
      <c r="G232" s="1047">
        <v>1</v>
      </c>
      <c r="H232" s="1047" t="s">
        <v>857</v>
      </c>
      <c r="I232" s="1053">
        <v>0.7</v>
      </c>
      <c r="J232" s="1130" t="s">
        <v>2189</v>
      </c>
      <c r="K232" s="1107">
        <v>8400</v>
      </c>
      <c r="L232" s="1047">
        <v>1.1000000000000001</v>
      </c>
      <c r="M232" s="1108" t="s">
        <v>2191</v>
      </c>
      <c r="N232" s="1108">
        <v>6720</v>
      </c>
      <c r="O232" s="1047">
        <v>1</v>
      </c>
      <c r="P232" s="1108" t="s">
        <v>2190</v>
      </c>
      <c r="Q232" s="1109">
        <v>5880</v>
      </c>
      <c r="R232" s="1048">
        <v>0.95</v>
      </c>
      <c r="S232" s="1082"/>
      <c r="T232" s="1082"/>
      <c r="U232" s="1082"/>
      <c r="V232" s="1082"/>
      <c r="W232" s="1082"/>
      <c r="X232" s="1082"/>
      <c r="Y232" s="1035"/>
      <c r="Z232" s="1035"/>
      <c r="AA232" s="1036"/>
      <c r="AB232" s="1036"/>
      <c r="AC232" s="1036"/>
      <c r="AD232" s="1036"/>
      <c r="AE232" s="1036"/>
      <c r="AF232" s="1036"/>
      <c r="AG232" s="1036"/>
      <c r="AH232" s="1036"/>
      <c r="AI232" s="1036"/>
      <c r="AJ232" s="1036"/>
      <c r="AK232" s="1036"/>
      <c r="AL232" s="1036"/>
      <c r="AM232" s="1036"/>
      <c r="AN232" s="1036"/>
      <c r="AO232" s="1036"/>
      <c r="AP232" s="1036"/>
      <c r="AQ232" s="1036"/>
      <c r="AR232" s="1036"/>
      <c r="AS232" s="1036"/>
      <c r="AT232" s="1036"/>
      <c r="AU232" s="1036"/>
      <c r="AV232" s="1036"/>
      <c r="AW232" s="1036"/>
      <c r="AX232" s="1036"/>
      <c r="AY232" s="1037"/>
    </row>
    <row r="233" spans="2:51" s="2001" customFormat="1" ht="12.75" customHeight="1">
      <c r="B233" s="2109" t="str">
        <f>+$B$9</f>
        <v>工場・倉庫・市場</v>
      </c>
      <c r="C233" s="1045">
        <v>55670</v>
      </c>
      <c r="D233" s="1046" t="s">
        <v>855</v>
      </c>
      <c r="E233" s="1047">
        <v>1.4</v>
      </c>
      <c r="F233" s="1047" t="s">
        <v>822</v>
      </c>
      <c r="G233" s="1047">
        <v>1</v>
      </c>
      <c r="H233" s="1047" t="s">
        <v>857</v>
      </c>
      <c r="I233" s="1053">
        <v>0.7</v>
      </c>
      <c r="J233" s="1130" t="s">
        <v>2193</v>
      </c>
      <c r="K233" s="1107">
        <v>8400</v>
      </c>
      <c r="L233" s="1047">
        <v>1.1000000000000001</v>
      </c>
      <c r="M233" s="1108" t="s">
        <v>2194</v>
      </c>
      <c r="N233" s="1108">
        <v>6720</v>
      </c>
      <c r="O233" s="1047">
        <v>1</v>
      </c>
      <c r="P233" s="1108" t="s">
        <v>2195</v>
      </c>
      <c r="Q233" s="1109">
        <v>5880</v>
      </c>
      <c r="R233" s="1048">
        <v>0.95</v>
      </c>
      <c r="S233" s="1116"/>
      <c r="T233" s="1082"/>
      <c r="U233" s="1119"/>
      <c r="V233" s="1082"/>
      <c r="W233" s="1119"/>
      <c r="X233" s="1082"/>
      <c r="Y233" s="1082"/>
      <c r="Z233" s="1082"/>
      <c r="AA233" s="1082"/>
      <c r="AB233" s="1082"/>
      <c r="AC233" s="1082"/>
      <c r="AD233" s="1082"/>
      <c r="AE233" s="1082"/>
      <c r="AF233" s="1082"/>
      <c r="AG233" s="1082"/>
      <c r="AH233" s="1082"/>
      <c r="AI233" s="1082"/>
      <c r="AJ233" s="1082"/>
      <c r="AK233" s="1035"/>
      <c r="AL233" s="1035"/>
      <c r="AM233" s="1036"/>
      <c r="AN233" s="1036"/>
      <c r="AO233" s="1036"/>
      <c r="AP233" s="1036"/>
      <c r="AQ233" s="1036"/>
      <c r="AR233" s="1036"/>
      <c r="AS233" s="1036"/>
      <c r="AT233" s="1036"/>
      <c r="AU233" s="1036"/>
      <c r="AV233" s="1036"/>
      <c r="AW233" s="1036"/>
      <c r="AX233" s="1036"/>
      <c r="AY233" s="1037"/>
    </row>
    <row r="234" spans="2:51" s="2001" customFormat="1" ht="12.75" customHeight="1">
      <c r="B234" s="2110" t="str">
        <f>+$B$10</f>
        <v>劇場型建物</v>
      </c>
      <c r="C234" s="2463">
        <v>55670</v>
      </c>
      <c r="D234" s="1046" t="s">
        <v>855</v>
      </c>
      <c r="E234" s="1047">
        <v>1.4</v>
      </c>
      <c r="F234" s="1047" t="s">
        <v>822</v>
      </c>
      <c r="G234" s="1047">
        <v>1</v>
      </c>
      <c r="H234" s="1047" t="s">
        <v>857</v>
      </c>
      <c r="I234" s="1053">
        <v>0.7</v>
      </c>
      <c r="J234" s="1130" t="s">
        <v>2193</v>
      </c>
      <c r="K234" s="1107">
        <v>8400</v>
      </c>
      <c r="L234" s="1047">
        <v>1.1000000000000001</v>
      </c>
      <c r="M234" s="1108" t="s">
        <v>2194</v>
      </c>
      <c r="N234" s="1108">
        <v>6720</v>
      </c>
      <c r="O234" s="1047">
        <v>1</v>
      </c>
      <c r="P234" s="1108" t="s">
        <v>2195</v>
      </c>
      <c r="Q234" s="1109">
        <v>5880</v>
      </c>
      <c r="R234" s="1048">
        <v>0.95</v>
      </c>
      <c r="S234" s="1116"/>
      <c r="T234" s="1082"/>
      <c r="U234" s="1119"/>
      <c r="V234" s="1082"/>
      <c r="W234" s="1119"/>
      <c r="X234" s="1082"/>
      <c r="Y234" s="1082"/>
      <c r="Z234" s="1082"/>
      <c r="AA234" s="1082"/>
      <c r="AB234" s="1082"/>
      <c r="AC234" s="1082"/>
      <c r="AD234" s="1082"/>
      <c r="AE234" s="1082"/>
      <c r="AF234" s="1082"/>
      <c r="AG234" s="1082"/>
      <c r="AH234" s="1082"/>
      <c r="AI234" s="1082"/>
      <c r="AJ234" s="1082"/>
      <c r="AK234" s="1035"/>
      <c r="AL234" s="1035"/>
      <c r="AM234" s="1036"/>
      <c r="AN234" s="1036"/>
      <c r="AO234" s="1036"/>
      <c r="AP234" s="1036"/>
      <c r="AQ234" s="1036"/>
      <c r="AR234" s="1036"/>
      <c r="AS234" s="1036"/>
      <c r="AT234" s="1036"/>
      <c r="AU234" s="1036"/>
      <c r="AV234" s="1036"/>
      <c r="AW234" s="1036"/>
      <c r="AX234" s="1036"/>
      <c r="AY234" s="1037"/>
    </row>
    <row r="235" spans="2:51" ht="12.75" customHeight="1">
      <c r="B235" s="1008" t="s">
        <v>359</v>
      </c>
      <c r="C235" s="1503" t="s">
        <v>1326</v>
      </c>
      <c r="D235" s="1463" t="s">
        <v>1329</v>
      </c>
      <c r="E235" s="1015"/>
      <c r="F235" s="1015"/>
      <c r="G235" s="1015"/>
      <c r="H235" s="1015"/>
      <c r="I235" s="1017"/>
      <c r="J235" s="1463" t="s">
        <v>1330</v>
      </c>
      <c r="K235" s="1015"/>
      <c r="L235" s="1015"/>
      <c r="M235" s="1015"/>
      <c r="N235" s="1015"/>
      <c r="O235" s="1017"/>
      <c r="P235" s="1463" t="s">
        <v>1328</v>
      </c>
      <c r="Q235" s="1015"/>
      <c r="R235" s="1015"/>
      <c r="S235" s="1015"/>
      <c r="T235" s="1015"/>
      <c r="U235" s="1017"/>
      <c r="V235" s="1021"/>
      <c r="W235" s="1021"/>
      <c r="X235" s="1021"/>
      <c r="Y235" s="1021"/>
      <c r="Z235" s="1021"/>
      <c r="AA235" s="1021"/>
      <c r="AB235" s="1021"/>
      <c r="AC235" s="1021"/>
      <c r="AD235" s="1021"/>
      <c r="AE235" s="1021"/>
      <c r="AF235" s="1021"/>
      <c r="AG235" s="1021"/>
      <c r="AH235" s="1020"/>
      <c r="AI235" s="1020"/>
      <c r="AJ235" s="1021"/>
      <c r="AK235" s="1021"/>
      <c r="AL235" s="1021"/>
      <c r="AM235" s="1021"/>
      <c r="AN235" s="1021"/>
      <c r="AO235" s="1021"/>
      <c r="AP235" s="1021"/>
      <c r="AQ235" s="1021"/>
      <c r="AR235" s="1021"/>
      <c r="AS235" s="1021"/>
      <c r="AT235" s="1021"/>
      <c r="AU235" s="1021"/>
      <c r="AV235" s="1021"/>
      <c r="AW235" s="1021"/>
      <c r="AX235" s="1021"/>
      <c r="AY235" s="1022"/>
    </row>
    <row r="236" spans="2:51" ht="12.75" customHeight="1">
      <c r="B236" s="1023"/>
      <c r="C236" s="1024" t="s">
        <v>1327</v>
      </c>
      <c r="D236" s="1028" t="s">
        <v>366</v>
      </c>
      <c r="E236" s="1030"/>
      <c r="F236" s="1030" t="s">
        <v>367</v>
      </c>
      <c r="G236" s="1030"/>
      <c r="H236" s="1030" t="s">
        <v>368</v>
      </c>
      <c r="I236" s="1032"/>
      <c r="J236" s="1028" t="s">
        <v>366</v>
      </c>
      <c r="K236" s="1030"/>
      <c r="L236" s="1030" t="s">
        <v>367</v>
      </c>
      <c r="M236" s="1030"/>
      <c r="N236" s="1030" t="s">
        <v>368</v>
      </c>
      <c r="O236" s="1032"/>
      <c r="P236" s="1028" t="s">
        <v>366</v>
      </c>
      <c r="Q236" s="1030"/>
      <c r="R236" s="1030" t="s">
        <v>367</v>
      </c>
      <c r="S236" s="1030"/>
      <c r="T236" s="1030" t="s">
        <v>368</v>
      </c>
      <c r="U236" s="1032"/>
      <c r="V236" s="1501" t="s">
        <v>1335</v>
      </c>
      <c r="W236" s="1036"/>
      <c r="X236" s="1036"/>
      <c r="Y236" s="1036"/>
      <c r="Z236" s="1036"/>
      <c r="AA236" s="1036"/>
      <c r="AB236" s="1036"/>
      <c r="AC236" s="1036"/>
      <c r="AD236" s="1036"/>
      <c r="AE236" s="1036"/>
      <c r="AF236" s="1036"/>
      <c r="AG236" s="1036"/>
      <c r="AH236" s="1035"/>
      <c r="AI236" s="1035"/>
      <c r="AJ236" s="1036"/>
      <c r="AK236" s="1036"/>
      <c r="AL236" s="1036"/>
      <c r="AM236" s="1036"/>
      <c r="AN236" s="1036"/>
      <c r="AO236" s="1036"/>
      <c r="AP236" s="1036"/>
      <c r="AQ236" s="1036"/>
      <c r="AR236" s="1036"/>
      <c r="AS236" s="1036"/>
      <c r="AT236" s="1036"/>
      <c r="AU236" s="1036"/>
      <c r="AV236" s="1036"/>
      <c r="AW236" s="1036"/>
      <c r="AX236" s="1036"/>
      <c r="AY236" s="1037"/>
    </row>
    <row r="237" spans="2:51" ht="12.75" customHeight="1">
      <c r="B237" s="2108" t="str">
        <f>+$B$6</f>
        <v>事務所・店舗・百貨店</v>
      </c>
      <c r="C237" s="2141">
        <f>+C238</f>
        <v>223000</v>
      </c>
      <c r="D237" s="2186">
        <v>28</v>
      </c>
      <c r="E237" s="2187">
        <v>1.1000000000000001</v>
      </c>
      <c r="F237" s="2188">
        <v>24</v>
      </c>
      <c r="G237" s="2187">
        <v>1</v>
      </c>
      <c r="H237" s="2188">
        <v>20</v>
      </c>
      <c r="I237" s="2189">
        <v>0.9</v>
      </c>
      <c r="J237" s="2190" t="s">
        <v>1333</v>
      </c>
      <c r="K237" s="2191" t="s">
        <v>1333</v>
      </c>
      <c r="L237" s="2192" t="s">
        <v>500</v>
      </c>
      <c r="M237" s="2187">
        <v>1</v>
      </c>
      <c r="N237" s="2192" t="s">
        <v>730</v>
      </c>
      <c r="O237" s="2189">
        <v>0.6</v>
      </c>
      <c r="P237" s="2154" t="s">
        <v>434</v>
      </c>
      <c r="Q237" s="2136">
        <v>1.3</v>
      </c>
      <c r="R237" s="2121" t="s">
        <v>822</v>
      </c>
      <c r="S237" s="2121">
        <v>1</v>
      </c>
      <c r="T237" s="2136" t="s">
        <v>435</v>
      </c>
      <c r="U237" s="2137">
        <v>0.7</v>
      </c>
      <c r="V237" s="1036"/>
      <c r="W237" s="1036"/>
      <c r="X237" s="1036"/>
      <c r="Y237" s="1036"/>
      <c r="Z237" s="1036"/>
      <c r="AA237" s="1036"/>
      <c r="AB237" s="1036"/>
      <c r="AC237" s="1036"/>
      <c r="AD237" s="1036"/>
      <c r="AE237" s="1036"/>
      <c r="AF237" s="1036"/>
      <c r="AG237" s="1036"/>
      <c r="AH237" s="1035"/>
      <c r="AI237" s="1035"/>
      <c r="AJ237" s="1036"/>
      <c r="AK237" s="1036"/>
      <c r="AL237" s="1036"/>
      <c r="AM237" s="1036"/>
      <c r="AN237" s="1036"/>
      <c r="AO237" s="1036"/>
      <c r="AP237" s="1036"/>
      <c r="AQ237" s="1036"/>
      <c r="AR237" s="1036"/>
      <c r="AS237" s="1036"/>
      <c r="AT237" s="1036"/>
      <c r="AU237" s="1036"/>
      <c r="AV237" s="1036"/>
      <c r="AW237" s="1036"/>
      <c r="AX237" s="1036"/>
      <c r="AY237" s="1037"/>
    </row>
    <row r="238" spans="2:51" ht="12.75" customHeight="1">
      <c r="B238" s="2109" t="str">
        <f>+$B$7</f>
        <v>住宅・アパート</v>
      </c>
      <c r="C238" s="1045">
        <v>223000</v>
      </c>
      <c r="D238" s="1662">
        <v>28</v>
      </c>
      <c r="E238" s="1141">
        <v>1.1000000000000001</v>
      </c>
      <c r="F238" s="1663">
        <v>24</v>
      </c>
      <c r="G238" s="1141">
        <v>1</v>
      </c>
      <c r="H238" s="1663">
        <v>20</v>
      </c>
      <c r="I238" s="1143">
        <v>0.9</v>
      </c>
      <c r="J238" s="1140" t="s">
        <v>1195</v>
      </c>
      <c r="K238" s="1141" t="s">
        <v>1195</v>
      </c>
      <c r="L238" s="1504" t="s">
        <v>1331</v>
      </c>
      <c r="M238" s="1141">
        <v>1</v>
      </c>
      <c r="N238" s="1504" t="s">
        <v>1332</v>
      </c>
      <c r="O238" s="1143">
        <v>0.6</v>
      </c>
      <c r="P238" s="1056" t="s">
        <v>434</v>
      </c>
      <c r="Q238" s="1047">
        <v>1.3</v>
      </c>
      <c r="R238" s="1047" t="s">
        <v>822</v>
      </c>
      <c r="S238" s="1047">
        <v>1</v>
      </c>
      <c r="T238" s="1047" t="s">
        <v>435</v>
      </c>
      <c r="U238" s="1048">
        <v>0.7</v>
      </c>
      <c r="V238" s="1036"/>
      <c r="W238" s="1036"/>
      <c r="X238" s="1036"/>
      <c r="Y238" s="1036"/>
      <c r="Z238" s="1036"/>
      <c r="AA238" s="1036"/>
      <c r="AB238" s="1036"/>
      <c r="AC238" s="1036"/>
      <c r="AD238" s="1036"/>
      <c r="AE238" s="1036"/>
      <c r="AF238" s="1036"/>
      <c r="AG238" s="1036"/>
      <c r="AH238" s="1035"/>
      <c r="AI238" s="1035"/>
      <c r="AJ238" s="1036"/>
      <c r="AK238" s="1036"/>
      <c r="AL238" s="1036"/>
      <c r="AM238" s="1036"/>
      <c r="AN238" s="1036"/>
      <c r="AO238" s="1036"/>
      <c r="AP238" s="1036"/>
      <c r="AQ238" s="1036"/>
      <c r="AR238" s="1036"/>
      <c r="AS238" s="1036"/>
      <c r="AT238" s="1036"/>
      <c r="AU238" s="1036"/>
      <c r="AV238" s="1036"/>
      <c r="AW238" s="1036"/>
      <c r="AX238" s="1036"/>
      <c r="AY238" s="1037"/>
    </row>
    <row r="239" spans="2:51" ht="12.75" customHeight="1">
      <c r="B239" s="2109" t="str">
        <f>+$B$8</f>
        <v>病院・ホテル</v>
      </c>
      <c r="C239" s="2119">
        <f>+C238</f>
        <v>223000</v>
      </c>
      <c r="D239" s="2193">
        <v>28</v>
      </c>
      <c r="E239" s="2194">
        <v>1.1000000000000001</v>
      </c>
      <c r="F239" s="2195">
        <v>24</v>
      </c>
      <c r="G239" s="2194">
        <v>1</v>
      </c>
      <c r="H239" s="2195">
        <v>20</v>
      </c>
      <c r="I239" s="2196">
        <v>0.9</v>
      </c>
      <c r="J239" s="2197" t="s">
        <v>1195</v>
      </c>
      <c r="K239" s="2194" t="s">
        <v>1195</v>
      </c>
      <c r="L239" s="2198" t="s">
        <v>500</v>
      </c>
      <c r="M239" s="2194">
        <v>1</v>
      </c>
      <c r="N239" s="2198" t="s">
        <v>730</v>
      </c>
      <c r="O239" s="2196">
        <v>0.6</v>
      </c>
      <c r="P239" s="2124" t="s">
        <v>434</v>
      </c>
      <c r="Q239" s="2121">
        <v>1.3</v>
      </c>
      <c r="R239" s="2121" t="s">
        <v>822</v>
      </c>
      <c r="S239" s="2121">
        <v>1</v>
      </c>
      <c r="T239" s="2121" t="s">
        <v>435</v>
      </c>
      <c r="U239" s="2123">
        <v>0.7</v>
      </c>
      <c r="V239" s="1036"/>
      <c r="W239" s="1036"/>
      <c r="X239" s="1036"/>
      <c r="Y239" s="1036"/>
      <c r="Z239" s="1036"/>
      <c r="AA239" s="1036"/>
      <c r="AB239" s="1036"/>
      <c r="AC239" s="1036"/>
      <c r="AD239" s="1036"/>
      <c r="AE239" s="1036"/>
      <c r="AF239" s="1036"/>
      <c r="AG239" s="1036"/>
      <c r="AH239" s="1035"/>
      <c r="AI239" s="1035"/>
      <c r="AJ239" s="1036"/>
      <c r="AK239" s="1036"/>
      <c r="AL239" s="1036"/>
      <c r="AM239" s="1036"/>
      <c r="AN239" s="1036"/>
      <c r="AO239" s="1036"/>
      <c r="AP239" s="1036"/>
      <c r="AQ239" s="1036"/>
      <c r="AR239" s="1036"/>
      <c r="AS239" s="1036"/>
      <c r="AT239" s="1036"/>
      <c r="AU239" s="1036"/>
      <c r="AV239" s="1036"/>
      <c r="AW239" s="1036"/>
      <c r="AX239" s="1036"/>
      <c r="AY239" s="1037"/>
    </row>
    <row r="240" spans="2:51" ht="12.75" customHeight="1">
      <c r="B240" s="2109" t="str">
        <f>+$B$9</f>
        <v>工場・倉庫・市場</v>
      </c>
      <c r="C240" s="2119">
        <f>+C238</f>
        <v>223000</v>
      </c>
      <c r="D240" s="2193">
        <v>28</v>
      </c>
      <c r="E240" s="2194">
        <v>1.1000000000000001</v>
      </c>
      <c r="F240" s="2195">
        <v>24</v>
      </c>
      <c r="G240" s="2194">
        <v>1</v>
      </c>
      <c r="H240" s="2195">
        <v>20</v>
      </c>
      <c r="I240" s="2196">
        <v>0.9</v>
      </c>
      <c r="J240" s="2197" t="s">
        <v>1195</v>
      </c>
      <c r="K240" s="2194" t="s">
        <v>1195</v>
      </c>
      <c r="L240" s="2198" t="s">
        <v>500</v>
      </c>
      <c r="M240" s="2194">
        <v>1</v>
      </c>
      <c r="N240" s="2198" t="s">
        <v>730</v>
      </c>
      <c r="O240" s="2196">
        <v>0.6</v>
      </c>
      <c r="P240" s="2124" t="s">
        <v>434</v>
      </c>
      <c r="Q240" s="2121">
        <v>1.3</v>
      </c>
      <c r="R240" s="2121" t="s">
        <v>822</v>
      </c>
      <c r="S240" s="2121">
        <v>1</v>
      </c>
      <c r="T240" s="2121" t="s">
        <v>435</v>
      </c>
      <c r="U240" s="2123">
        <v>0.7</v>
      </c>
      <c r="V240" s="1036"/>
      <c r="W240" s="1036"/>
      <c r="X240" s="1036"/>
      <c r="Y240" s="1036"/>
      <c r="Z240" s="1036"/>
      <c r="AA240" s="1036"/>
      <c r="AB240" s="1036"/>
      <c r="AC240" s="1036"/>
      <c r="AD240" s="1036"/>
      <c r="AE240" s="1036"/>
      <c r="AF240" s="1036"/>
      <c r="AG240" s="1036"/>
      <c r="AH240" s="1035"/>
      <c r="AI240" s="1035"/>
      <c r="AJ240" s="1036"/>
      <c r="AK240" s="1036"/>
      <c r="AL240" s="1036"/>
      <c r="AM240" s="1036"/>
      <c r="AN240" s="1036"/>
      <c r="AO240" s="1036"/>
      <c r="AP240" s="1036"/>
      <c r="AQ240" s="1036"/>
      <c r="AR240" s="1036"/>
      <c r="AS240" s="1036"/>
      <c r="AT240" s="1036"/>
      <c r="AU240" s="1036"/>
      <c r="AV240" s="1036"/>
      <c r="AW240" s="1036"/>
      <c r="AX240" s="1036"/>
      <c r="AY240" s="1037"/>
    </row>
    <row r="241" spans="2:51" ht="12.75" customHeight="1">
      <c r="B241" s="2110" t="str">
        <f>+$B$10</f>
        <v>劇場型建物</v>
      </c>
      <c r="C241" s="2119">
        <f>+C238</f>
        <v>223000</v>
      </c>
      <c r="D241" s="2199">
        <v>28</v>
      </c>
      <c r="E241" s="2200">
        <v>1.1000000000000001</v>
      </c>
      <c r="F241" s="2201">
        <v>24</v>
      </c>
      <c r="G241" s="2200">
        <v>1</v>
      </c>
      <c r="H241" s="2201">
        <v>20</v>
      </c>
      <c r="I241" s="2202">
        <v>0.9</v>
      </c>
      <c r="J241" s="2203" t="s">
        <v>1195</v>
      </c>
      <c r="K241" s="2200" t="s">
        <v>1195</v>
      </c>
      <c r="L241" s="2204" t="s">
        <v>500</v>
      </c>
      <c r="M241" s="2200">
        <v>1</v>
      </c>
      <c r="N241" s="2204" t="s">
        <v>730</v>
      </c>
      <c r="O241" s="2202">
        <v>0.6</v>
      </c>
      <c r="P241" s="2130" t="s">
        <v>434</v>
      </c>
      <c r="Q241" s="2127">
        <v>1.3</v>
      </c>
      <c r="R241" s="2127" t="s">
        <v>822</v>
      </c>
      <c r="S241" s="2127">
        <v>1</v>
      </c>
      <c r="T241" s="2127" t="s">
        <v>435</v>
      </c>
      <c r="U241" s="2129">
        <v>0.7</v>
      </c>
      <c r="V241" s="1036"/>
      <c r="W241" s="1036"/>
      <c r="X241" s="1036"/>
      <c r="Y241" s="1036"/>
      <c r="Z241" s="1036"/>
      <c r="AA241" s="1036"/>
      <c r="AB241" s="1036"/>
      <c r="AC241" s="1036"/>
      <c r="AD241" s="1036"/>
      <c r="AE241" s="1036"/>
      <c r="AF241" s="1036"/>
      <c r="AG241" s="1036"/>
      <c r="AH241" s="1035"/>
      <c r="AI241" s="1035"/>
      <c r="AJ241" s="1036"/>
      <c r="AK241" s="1036"/>
      <c r="AL241" s="1036"/>
      <c r="AM241" s="1036"/>
      <c r="AN241" s="1036"/>
      <c r="AO241" s="1036"/>
      <c r="AP241" s="1036"/>
      <c r="AQ241" s="1036"/>
      <c r="AR241" s="1036"/>
      <c r="AS241" s="1036"/>
      <c r="AT241" s="1036"/>
      <c r="AU241" s="1036"/>
      <c r="AV241" s="1036"/>
      <c r="AW241" s="1036"/>
      <c r="AX241" s="1036"/>
      <c r="AY241" s="1037"/>
    </row>
    <row r="242" spans="2:51" ht="12.75" customHeight="1">
      <c r="B242" s="1008" t="s">
        <v>359</v>
      </c>
      <c r="C242" s="1121" t="s">
        <v>458</v>
      </c>
      <c r="D242" s="1013" t="s">
        <v>459</v>
      </c>
      <c r="E242" s="1015"/>
      <c r="F242" s="1015"/>
      <c r="G242" s="1015"/>
      <c r="H242" s="1015"/>
      <c r="I242" s="1017"/>
      <c r="J242" s="1509" t="s">
        <v>460</v>
      </c>
      <c r="K242" s="1510"/>
      <c r="L242" s="1510"/>
      <c r="M242" s="1015"/>
      <c r="N242" s="1015"/>
      <c r="O242" s="1017"/>
      <c r="P242" s="1456"/>
      <c r="Q242" s="1448"/>
      <c r="R242" s="1448"/>
      <c r="S242" s="1021"/>
      <c r="T242" s="1021"/>
      <c r="U242" s="1021"/>
      <c r="V242" s="1021"/>
      <c r="W242" s="1021"/>
      <c r="X242" s="1021"/>
      <c r="Y242" s="1021"/>
      <c r="Z242" s="1021"/>
      <c r="AA242" s="1021"/>
      <c r="AB242" s="1021"/>
      <c r="AC242" s="1021"/>
      <c r="AD242" s="1021"/>
      <c r="AE242" s="1021"/>
      <c r="AF242" s="1021"/>
      <c r="AG242" s="1021"/>
      <c r="AH242" s="1020"/>
      <c r="AI242" s="1020"/>
      <c r="AJ242" s="1021"/>
      <c r="AK242" s="1021"/>
      <c r="AL242" s="1021"/>
      <c r="AM242" s="1021"/>
      <c r="AN242" s="1021"/>
      <c r="AO242" s="1021"/>
      <c r="AP242" s="1021"/>
      <c r="AQ242" s="1021"/>
      <c r="AR242" s="1021"/>
      <c r="AS242" s="1021"/>
      <c r="AT242" s="1021"/>
      <c r="AU242" s="1021"/>
      <c r="AV242" s="1021"/>
      <c r="AW242" s="1021"/>
      <c r="AX242" s="1021"/>
      <c r="AY242" s="1022"/>
    </row>
    <row r="243" spans="2:51" ht="12.75" customHeight="1">
      <c r="B243" s="1023"/>
      <c r="C243" s="1024" t="s">
        <v>461</v>
      </c>
      <c r="D243" s="1028" t="s">
        <v>366</v>
      </c>
      <c r="E243" s="1030"/>
      <c r="F243" s="1030" t="s">
        <v>367</v>
      </c>
      <c r="G243" s="1030"/>
      <c r="H243" s="1030" t="s">
        <v>368</v>
      </c>
      <c r="I243" s="1032"/>
      <c r="J243" s="1028" t="s">
        <v>366</v>
      </c>
      <c r="K243" s="1030"/>
      <c r="L243" s="1030" t="s">
        <v>367</v>
      </c>
      <c r="M243" s="1030"/>
      <c r="N243" s="1030" t="s">
        <v>368</v>
      </c>
      <c r="O243" s="1032"/>
      <c r="P243" s="1501" t="s">
        <v>1335</v>
      </c>
      <c r="Q243" s="1450"/>
      <c r="R243" s="1450"/>
      <c r="S243" s="1501"/>
      <c r="T243" s="1036"/>
      <c r="U243" s="1036"/>
      <c r="V243" s="1036"/>
      <c r="W243" s="1036"/>
      <c r="X243" s="1036"/>
      <c r="Y243" s="1036"/>
      <c r="Z243" s="1036"/>
      <c r="AA243" s="1036"/>
      <c r="AB243" s="1036"/>
      <c r="AC243" s="1036"/>
      <c r="AD243" s="1036"/>
      <c r="AE243" s="1036"/>
      <c r="AF243" s="1036"/>
      <c r="AG243" s="1036"/>
      <c r="AH243" s="1035"/>
      <c r="AI243" s="1035"/>
      <c r="AJ243" s="1036"/>
      <c r="AK243" s="1036"/>
      <c r="AL243" s="1036"/>
      <c r="AM243" s="1036"/>
      <c r="AN243" s="1036"/>
      <c r="AO243" s="1036"/>
      <c r="AP243" s="1036"/>
      <c r="AQ243" s="1036"/>
      <c r="AR243" s="1036"/>
      <c r="AS243" s="1036"/>
      <c r="AT243" s="1036"/>
      <c r="AU243" s="1036"/>
      <c r="AV243" s="1036"/>
      <c r="AW243" s="1036"/>
      <c r="AX243" s="1036"/>
      <c r="AY243" s="1037"/>
    </row>
    <row r="244" spans="2:51" ht="12.75" customHeight="1">
      <c r="B244" s="2108" t="str">
        <f>+$B$6</f>
        <v>事務所・店舗・百貨店</v>
      </c>
      <c r="C244" s="2141">
        <f>+C245</f>
        <v>303100</v>
      </c>
      <c r="D244" s="2205">
        <v>460</v>
      </c>
      <c r="E244" s="2136">
        <v>1.1000000000000001</v>
      </c>
      <c r="F244" s="2205">
        <v>370</v>
      </c>
      <c r="G244" s="2121">
        <v>1</v>
      </c>
      <c r="H244" s="2205">
        <v>300</v>
      </c>
      <c r="I244" s="2137">
        <v>0.85</v>
      </c>
      <c r="J244" s="2206" t="s">
        <v>434</v>
      </c>
      <c r="K244" s="2187">
        <v>1.3</v>
      </c>
      <c r="L244" s="2192" t="s">
        <v>375</v>
      </c>
      <c r="M244" s="2187">
        <v>1</v>
      </c>
      <c r="N244" s="2192" t="s">
        <v>435</v>
      </c>
      <c r="O244" s="2189">
        <v>0.7</v>
      </c>
      <c r="P244" s="1449"/>
      <c r="Q244" s="1483"/>
      <c r="R244" s="1450"/>
      <c r="S244" s="1036"/>
      <c r="T244" s="1036"/>
      <c r="U244" s="1036"/>
      <c r="V244" s="1036"/>
      <c r="W244" s="1036"/>
      <c r="X244" s="1036"/>
      <c r="Y244" s="1036"/>
      <c r="Z244" s="1036"/>
      <c r="AA244" s="1036"/>
      <c r="AB244" s="1036"/>
      <c r="AC244" s="1036"/>
      <c r="AD244" s="1036"/>
      <c r="AE244" s="1036"/>
      <c r="AF244" s="1036"/>
      <c r="AG244" s="1036"/>
      <c r="AH244" s="1035"/>
      <c r="AI244" s="1035"/>
      <c r="AJ244" s="1036"/>
      <c r="AK244" s="1036"/>
      <c r="AL244" s="1036"/>
      <c r="AM244" s="1036"/>
      <c r="AN244" s="1036"/>
      <c r="AO244" s="1036"/>
      <c r="AP244" s="1036"/>
      <c r="AQ244" s="1036"/>
      <c r="AR244" s="1036"/>
      <c r="AS244" s="1036"/>
      <c r="AT244" s="1036"/>
      <c r="AU244" s="1036"/>
      <c r="AV244" s="1036"/>
      <c r="AW244" s="1036"/>
      <c r="AX244" s="1036"/>
      <c r="AY244" s="1037"/>
    </row>
    <row r="245" spans="2:51" ht="12.75" customHeight="1">
      <c r="B245" s="2109" t="str">
        <f>+$B$7</f>
        <v>住宅・アパート</v>
      </c>
      <c r="C245" s="1045">
        <v>303100</v>
      </c>
      <c r="D245" s="1051">
        <v>460</v>
      </c>
      <c r="E245" s="1047">
        <v>1.1000000000000001</v>
      </c>
      <c r="F245" s="1092">
        <v>370</v>
      </c>
      <c r="G245" s="1047">
        <v>1</v>
      </c>
      <c r="H245" s="1092">
        <v>300</v>
      </c>
      <c r="I245" s="1048">
        <v>0.85</v>
      </c>
      <c r="J245" s="1140" t="s">
        <v>434</v>
      </c>
      <c r="K245" s="1141">
        <v>1.3</v>
      </c>
      <c r="L245" s="1142" t="s">
        <v>375</v>
      </c>
      <c r="M245" s="1141">
        <v>1</v>
      </c>
      <c r="N245" s="1142" t="s">
        <v>435</v>
      </c>
      <c r="O245" s="1143">
        <v>0.7</v>
      </c>
      <c r="P245" s="1449"/>
      <c r="Q245" s="1483"/>
      <c r="R245" s="1450"/>
      <c r="S245" s="1036"/>
      <c r="T245" s="1036"/>
      <c r="U245" s="1036"/>
      <c r="V245" s="1036"/>
      <c r="W245" s="1036"/>
      <c r="X245" s="1036"/>
      <c r="Y245" s="1036"/>
      <c r="Z245" s="1036"/>
      <c r="AA245" s="1036"/>
      <c r="AB245" s="1036"/>
      <c r="AC245" s="1036"/>
      <c r="AD245" s="1036"/>
      <c r="AE245" s="1036"/>
      <c r="AF245" s="1036"/>
      <c r="AG245" s="1036"/>
      <c r="AH245" s="1035"/>
      <c r="AI245" s="1035"/>
      <c r="AJ245" s="1036"/>
      <c r="AK245" s="1036"/>
      <c r="AL245" s="1036"/>
      <c r="AM245" s="1036"/>
      <c r="AN245" s="1036"/>
      <c r="AO245" s="1036"/>
      <c r="AP245" s="1036"/>
      <c r="AQ245" s="1036"/>
      <c r="AR245" s="1036"/>
      <c r="AS245" s="1036"/>
      <c r="AT245" s="1036"/>
      <c r="AU245" s="1036"/>
      <c r="AV245" s="1036"/>
      <c r="AW245" s="1036"/>
      <c r="AX245" s="1036"/>
      <c r="AY245" s="1037"/>
    </row>
    <row r="246" spans="2:51" ht="12.75" customHeight="1">
      <c r="B246" s="2109" t="str">
        <f>+$B$8</f>
        <v>病院・ホテル</v>
      </c>
      <c r="C246" s="2119">
        <f>+C245</f>
        <v>303100</v>
      </c>
      <c r="D246" s="2205">
        <v>460</v>
      </c>
      <c r="E246" s="2121">
        <v>1.1000000000000001</v>
      </c>
      <c r="F246" s="2205">
        <v>370</v>
      </c>
      <c r="G246" s="2121">
        <v>1</v>
      </c>
      <c r="H246" s="2205">
        <v>300</v>
      </c>
      <c r="I246" s="2123">
        <v>0.85</v>
      </c>
      <c r="J246" s="2197" t="s">
        <v>434</v>
      </c>
      <c r="K246" s="2194">
        <v>1.3</v>
      </c>
      <c r="L246" s="2198" t="s">
        <v>375</v>
      </c>
      <c r="M246" s="2194">
        <v>1</v>
      </c>
      <c r="N246" s="2198" t="s">
        <v>435</v>
      </c>
      <c r="O246" s="2196">
        <v>0.7</v>
      </c>
      <c r="P246" s="1449"/>
      <c r="Q246" s="1483"/>
      <c r="R246" s="1450"/>
      <c r="S246" s="1036"/>
      <c r="T246" s="1036"/>
      <c r="U246" s="1036"/>
      <c r="V246" s="1036"/>
      <c r="W246" s="1036"/>
      <c r="X246" s="1036"/>
      <c r="Y246" s="1036"/>
      <c r="Z246" s="1036"/>
      <c r="AA246" s="1036"/>
      <c r="AB246" s="1036"/>
      <c r="AC246" s="1036"/>
      <c r="AD246" s="1036"/>
      <c r="AE246" s="1036"/>
      <c r="AF246" s="1036"/>
      <c r="AG246" s="1036"/>
      <c r="AH246" s="1035"/>
      <c r="AI246" s="1035"/>
      <c r="AJ246" s="1036"/>
      <c r="AK246" s="1036"/>
      <c r="AL246" s="1036"/>
      <c r="AM246" s="1036"/>
      <c r="AN246" s="1036"/>
      <c r="AO246" s="1036"/>
      <c r="AP246" s="1036"/>
      <c r="AQ246" s="1036"/>
      <c r="AR246" s="1036"/>
      <c r="AS246" s="1036"/>
      <c r="AT246" s="1036"/>
      <c r="AU246" s="1036"/>
      <c r="AV246" s="1036"/>
      <c r="AW246" s="1036"/>
      <c r="AX246" s="1036"/>
      <c r="AY246" s="1037"/>
    </row>
    <row r="247" spans="2:51" ht="12.75" customHeight="1">
      <c r="B247" s="2109" t="str">
        <f>+$B$9</f>
        <v>工場・倉庫・市場</v>
      </c>
      <c r="C247" s="2119">
        <f>+C245</f>
        <v>303100</v>
      </c>
      <c r="D247" s="2139">
        <v>460</v>
      </c>
      <c r="E247" s="2121">
        <v>1.1000000000000001</v>
      </c>
      <c r="F247" s="2205">
        <v>370</v>
      </c>
      <c r="G247" s="2121">
        <v>1</v>
      </c>
      <c r="H247" s="2205">
        <v>300</v>
      </c>
      <c r="I247" s="2123">
        <v>0.85</v>
      </c>
      <c r="J247" s="2197" t="s">
        <v>434</v>
      </c>
      <c r="K247" s="2194">
        <v>1.3</v>
      </c>
      <c r="L247" s="2198" t="s">
        <v>375</v>
      </c>
      <c r="M247" s="2194">
        <v>1</v>
      </c>
      <c r="N247" s="2198" t="s">
        <v>435</v>
      </c>
      <c r="O247" s="2196">
        <v>0.7</v>
      </c>
      <c r="P247" s="1449"/>
      <c r="Q247" s="1483"/>
      <c r="R247" s="1450"/>
      <c r="S247" s="1036"/>
      <c r="T247" s="1036"/>
      <c r="U247" s="1036"/>
      <c r="V247" s="1036"/>
      <c r="W247" s="1036"/>
      <c r="X247" s="1036"/>
      <c r="Y247" s="1036"/>
      <c r="Z247" s="1036"/>
      <c r="AA247" s="1036"/>
      <c r="AB247" s="1036"/>
      <c r="AC247" s="1036"/>
      <c r="AD247" s="1036"/>
      <c r="AE247" s="1036"/>
      <c r="AF247" s="1036"/>
      <c r="AG247" s="1036"/>
      <c r="AH247" s="1035"/>
      <c r="AI247" s="1035"/>
      <c r="AJ247" s="1036"/>
      <c r="AK247" s="1036"/>
      <c r="AL247" s="1036"/>
      <c r="AM247" s="1036"/>
      <c r="AN247" s="1036"/>
      <c r="AO247" s="1036"/>
      <c r="AP247" s="1036"/>
      <c r="AQ247" s="1036"/>
      <c r="AR247" s="1036"/>
      <c r="AS247" s="1036"/>
      <c r="AT247" s="1036"/>
      <c r="AU247" s="1036"/>
      <c r="AV247" s="1036"/>
      <c r="AW247" s="1036"/>
      <c r="AX247" s="1036"/>
      <c r="AY247" s="1037"/>
    </row>
    <row r="248" spans="2:51" ht="12.75" customHeight="1">
      <c r="B248" s="2110" t="str">
        <f>+$B$10</f>
        <v>劇場型建物</v>
      </c>
      <c r="C248" s="2119">
        <f>+C245</f>
        <v>303100</v>
      </c>
      <c r="D248" s="2139">
        <v>460</v>
      </c>
      <c r="E248" s="2127">
        <v>1.1000000000000001</v>
      </c>
      <c r="F248" s="2205">
        <v>370</v>
      </c>
      <c r="G248" s="2127">
        <v>1</v>
      </c>
      <c r="H248" s="2205">
        <v>300</v>
      </c>
      <c r="I248" s="2123">
        <v>0.85</v>
      </c>
      <c r="J248" s="2203" t="s">
        <v>434</v>
      </c>
      <c r="K248" s="2200">
        <v>1.3</v>
      </c>
      <c r="L248" s="2204" t="s">
        <v>375</v>
      </c>
      <c r="M248" s="2200">
        <v>1</v>
      </c>
      <c r="N248" s="2204" t="s">
        <v>435</v>
      </c>
      <c r="O248" s="2202">
        <v>0.7</v>
      </c>
      <c r="P248" s="1449"/>
      <c r="Q248" s="1483"/>
      <c r="R248" s="1450"/>
      <c r="S248" s="1119"/>
      <c r="T248" s="1082"/>
      <c r="U248" s="1119"/>
      <c r="V248" s="1082"/>
      <c r="W248" s="1119"/>
      <c r="X248" s="1082"/>
      <c r="Y248" s="1082"/>
      <c r="Z248" s="1082"/>
      <c r="AA248" s="1082"/>
      <c r="AB248" s="1082"/>
      <c r="AC248" s="1082"/>
      <c r="AD248" s="1082"/>
      <c r="AE248" s="1082"/>
      <c r="AF248" s="1082"/>
      <c r="AG248" s="1082"/>
      <c r="AH248" s="1082"/>
      <c r="AI248" s="1082"/>
      <c r="AJ248" s="1082"/>
      <c r="AK248" s="1035"/>
      <c r="AL248" s="1035"/>
      <c r="AM248" s="1036"/>
      <c r="AN248" s="1036"/>
      <c r="AO248" s="1036"/>
      <c r="AP248" s="1036"/>
      <c r="AQ248" s="1036"/>
      <c r="AR248" s="1036"/>
      <c r="AS248" s="1036"/>
      <c r="AT248" s="1036"/>
      <c r="AU248" s="1036"/>
      <c r="AV248" s="1036"/>
      <c r="AW248" s="1036"/>
      <c r="AX248" s="1036"/>
      <c r="AY248" s="1037"/>
    </row>
    <row r="249" spans="2:51" ht="12.75" customHeight="1">
      <c r="B249" s="1008" t="s">
        <v>359</v>
      </c>
      <c r="C249" s="1503" t="s">
        <v>1412</v>
      </c>
      <c r="D249" s="1463" t="s">
        <v>1408</v>
      </c>
      <c r="E249" s="1015"/>
      <c r="F249" s="1015"/>
      <c r="G249" s="1015"/>
      <c r="H249" s="1015"/>
      <c r="I249" s="1017"/>
      <c r="J249" s="1456"/>
      <c r="K249" s="1448"/>
      <c r="L249" s="1448"/>
      <c r="M249" s="1448"/>
      <c r="N249" s="1448"/>
      <c r="O249" s="1626"/>
      <c r="P249" s="1456"/>
      <c r="Q249" s="1448"/>
      <c r="R249" s="1448"/>
      <c r="S249" s="1021"/>
      <c r="T249" s="1021"/>
      <c r="U249" s="1021"/>
      <c r="V249" s="1021"/>
      <c r="W249" s="1021"/>
      <c r="X249" s="1021"/>
      <c r="Y249" s="1021"/>
      <c r="Z249" s="1021"/>
      <c r="AA249" s="1021"/>
      <c r="AB249" s="1021"/>
      <c r="AC249" s="1021"/>
      <c r="AD249" s="1021"/>
      <c r="AE249" s="1021"/>
      <c r="AF249" s="1021"/>
      <c r="AG249" s="1021"/>
      <c r="AH249" s="1020"/>
      <c r="AI249" s="1020"/>
      <c r="AJ249" s="1021"/>
      <c r="AK249" s="1021"/>
      <c r="AL249" s="1021"/>
      <c r="AM249" s="1021"/>
      <c r="AN249" s="1021"/>
      <c r="AO249" s="1021"/>
      <c r="AP249" s="1021"/>
      <c r="AQ249" s="1021"/>
      <c r="AR249" s="1021"/>
      <c r="AS249" s="1021"/>
      <c r="AT249" s="1021"/>
      <c r="AU249" s="1021"/>
      <c r="AV249" s="1021"/>
      <c r="AW249" s="1021"/>
      <c r="AX249" s="1021"/>
      <c r="AY249" s="1022"/>
    </row>
    <row r="250" spans="2:51" ht="12.75" customHeight="1">
      <c r="B250" s="1023"/>
      <c r="C250" s="1024" t="s">
        <v>1413</v>
      </c>
      <c r="D250" s="1028" t="s">
        <v>366</v>
      </c>
      <c r="E250" s="1030"/>
      <c r="F250" s="1030" t="s">
        <v>367</v>
      </c>
      <c r="G250" s="1030"/>
      <c r="H250" s="1030" t="s">
        <v>368</v>
      </c>
      <c r="I250" s="1032"/>
      <c r="J250" s="1449"/>
      <c r="K250" s="1450"/>
      <c r="L250" s="1450"/>
      <c r="M250" s="1450"/>
      <c r="N250" s="1450"/>
      <c r="O250" s="1627"/>
      <c r="P250" s="1501" t="s">
        <v>1629</v>
      </c>
      <c r="Q250" s="1450"/>
      <c r="R250" s="1450"/>
      <c r="S250" s="1501"/>
      <c r="T250" s="1036"/>
      <c r="U250" s="1036"/>
      <c r="V250" s="1036"/>
      <c r="W250" s="1036"/>
      <c r="X250" s="1036"/>
      <c r="Y250" s="1036"/>
      <c r="Z250" s="1036"/>
      <c r="AA250" s="1036"/>
      <c r="AB250" s="1036"/>
      <c r="AC250" s="1036"/>
      <c r="AD250" s="1036"/>
      <c r="AE250" s="1036"/>
      <c r="AF250" s="1036"/>
      <c r="AG250" s="1036"/>
      <c r="AH250" s="1035"/>
      <c r="AI250" s="1035"/>
      <c r="AJ250" s="1036"/>
      <c r="AK250" s="1036"/>
      <c r="AL250" s="1036"/>
      <c r="AM250" s="1036"/>
      <c r="AN250" s="1036"/>
      <c r="AO250" s="1036"/>
      <c r="AP250" s="1036"/>
      <c r="AQ250" s="1036"/>
      <c r="AR250" s="1036"/>
      <c r="AS250" s="1036"/>
      <c r="AT250" s="1036"/>
      <c r="AU250" s="1036"/>
      <c r="AV250" s="1036"/>
      <c r="AW250" s="1036"/>
      <c r="AX250" s="1036"/>
      <c r="AY250" s="1037"/>
    </row>
    <row r="251" spans="2:51" ht="12.75" customHeight="1">
      <c r="B251" s="2108" t="str">
        <f>+$B$6</f>
        <v>事務所・店舗・百貨店</v>
      </c>
      <c r="C251" s="2468">
        <v>1560</v>
      </c>
      <c r="D251" s="2207" t="s">
        <v>1409</v>
      </c>
      <c r="E251" s="2136">
        <v>1.5</v>
      </c>
      <c r="F251" s="2207" t="s">
        <v>1410</v>
      </c>
      <c r="G251" s="2121">
        <v>1</v>
      </c>
      <c r="H251" s="2207" t="s">
        <v>435</v>
      </c>
      <c r="I251" s="2137">
        <v>0.7</v>
      </c>
      <c r="J251" s="1628"/>
      <c r="K251" s="1450"/>
      <c r="L251" s="1483"/>
      <c r="M251" s="1450"/>
      <c r="N251" s="1483"/>
      <c r="O251" s="1627"/>
      <c r="P251" s="1449"/>
      <c r="Q251" s="1483"/>
      <c r="R251" s="1450"/>
      <c r="S251" s="1036"/>
      <c r="T251" s="1036"/>
      <c r="U251" s="1036"/>
      <c r="V251" s="1036"/>
      <c r="W251" s="1036"/>
      <c r="X251" s="1036"/>
      <c r="Y251" s="1036"/>
      <c r="Z251" s="1036"/>
      <c r="AA251" s="1036"/>
      <c r="AB251" s="1036"/>
      <c r="AC251" s="1036"/>
      <c r="AD251" s="1036"/>
      <c r="AE251" s="1036"/>
      <c r="AF251" s="1036"/>
      <c r="AG251" s="1036"/>
      <c r="AH251" s="1035"/>
      <c r="AI251" s="1035"/>
      <c r="AJ251" s="1036"/>
      <c r="AK251" s="1036"/>
      <c r="AL251" s="1036"/>
      <c r="AM251" s="1036"/>
      <c r="AN251" s="1036"/>
      <c r="AO251" s="1036"/>
      <c r="AP251" s="1036"/>
      <c r="AQ251" s="1036"/>
      <c r="AR251" s="1036"/>
      <c r="AS251" s="1036"/>
      <c r="AT251" s="1036"/>
      <c r="AU251" s="1036"/>
      <c r="AV251" s="1036"/>
      <c r="AW251" s="1036"/>
      <c r="AX251" s="1036"/>
      <c r="AY251" s="1037"/>
    </row>
    <row r="252" spans="2:51" ht="12.75" customHeight="1">
      <c r="B252" s="2109" t="str">
        <f>+$B$7</f>
        <v>住宅・アパート</v>
      </c>
      <c r="C252" s="2279">
        <v>1560</v>
      </c>
      <c r="D252" s="2139" t="s">
        <v>855</v>
      </c>
      <c r="E252" s="2121">
        <v>1.5</v>
      </c>
      <c r="F252" s="2205" t="s">
        <v>822</v>
      </c>
      <c r="G252" s="2121">
        <v>1</v>
      </c>
      <c r="H252" s="2205" t="s">
        <v>857</v>
      </c>
      <c r="I252" s="2123">
        <v>0.7</v>
      </c>
      <c r="J252" s="1628"/>
      <c r="K252" s="1450"/>
      <c r="L252" s="1483"/>
      <c r="M252" s="1450"/>
      <c r="N252" s="1483"/>
      <c r="O252" s="1627"/>
      <c r="P252" s="1449"/>
      <c r="Q252" s="1483"/>
      <c r="R252" s="1450"/>
      <c r="S252" s="1036"/>
      <c r="T252" s="1036"/>
      <c r="U252" s="1036"/>
      <c r="V252" s="1036"/>
      <c r="W252" s="1036"/>
      <c r="X252" s="1036"/>
      <c r="Y252" s="1036"/>
      <c r="Z252" s="1036"/>
      <c r="AA252" s="1036"/>
      <c r="AB252" s="1036"/>
      <c r="AC252" s="1036"/>
      <c r="AD252" s="1036"/>
      <c r="AE252" s="1036"/>
      <c r="AF252" s="1036"/>
      <c r="AG252" s="1036"/>
      <c r="AH252" s="1035"/>
      <c r="AI252" s="1035"/>
      <c r="AJ252" s="1036"/>
      <c r="AK252" s="1036"/>
      <c r="AL252" s="1036"/>
      <c r="AM252" s="1036"/>
      <c r="AN252" s="1036"/>
      <c r="AO252" s="1036"/>
      <c r="AP252" s="1036"/>
      <c r="AQ252" s="1036"/>
      <c r="AR252" s="1036"/>
      <c r="AS252" s="1036"/>
      <c r="AT252" s="1036"/>
      <c r="AU252" s="1036"/>
      <c r="AV252" s="1036"/>
      <c r="AW252" s="1036"/>
      <c r="AX252" s="1036"/>
      <c r="AY252" s="1037"/>
    </row>
    <row r="253" spans="2:51" ht="12.75" customHeight="1">
      <c r="B253" s="2109" t="str">
        <f>+$B$8</f>
        <v>病院・ホテル</v>
      </c>
      <c r="C253" s="2279">
        <v>1560</v>
      </c>
      <c r="D253" s="2205" t="s">
        <v>855</v>
      </c>
      <c r="E253" s="2121">
        <v>1.5</v>
      </c>
      <c r="F253" s="2205" t="s">
        <v>822</v>
      </c>
      <c r="G253" s="2121">
        <v>1</v>
      </c>
      <c r="H253" s="2205" t="s">
        <v>857</v>
      </c>
      <c r="I253" s="2123">
        <v>0.7</v>
      </c>
      <c r="J253" s="1628"/>
      <c r="K253" s="1450"/>
      <c r="L253" s="1483"/>
      <c r="M253" s="1450"/>
      <c r="N253" s="1483"/>
      <c r="O253" s="1627"/>
      <c r="P253" s="1449"/>
      <c r="Q253" s="1483"/>
      <c r="R253" s="1450"/>
      <c r="S253" s="1036"/>
      <c r="T253" s="1036"/>
      <c r="U253" s="1036"/>
      <c r="V253" s="1036"/>
      <c r="W253" s="1036"/>
      <c r="X253" s="1036"/>
      <c r="Y253" s="1036"/>
      <c r="Z253" s="1036"/>
      <c r="AA253" s="1036"/>
      <c r="AB253" s="1036"/>
      <c r="AC253" s="1036"/>
      <c r="AD253" s="1036"/>
      <c r="AE253" s="1036"/>
      <c r="AF253" s="1036"/>
      <c r="AG253" s="1036"/>
      <c r="AH253" s="1035"/>
      <c r="AI253" s="1035"/>
      <c r="AJ253" s="1036"/>
      <c r="AK253" s="1036"/>
      <c r="AL253" s="1036"/>
      <c r="AM253" s="1036"/>
      <c r="AN253" s="1036"/>
      <c r="AO253" s="1036"/>
      <c r="AP253" s="1036"/>
      <c r="AQ253" s="1036"/>
      <c r="AR253" s="1036"/>
      <c r="AS253" s="1036"/>
      <c r="AT253" s="1036"/>
      <c r="AU253" s="1036"/>
      <c r="AV253" s="1036"/>
      <c r="AW253" s="1036"/>
      <c r="AX253" s="1036"/>
      <c r="AY253" s="1037"/>
    </row>
    <row r="254" spans="2:51" ht="12.75" customHeight="1">
      <c r="B254" s="2109" t="str">
        <f>+$B$9</f>
        <v>工場・倉庫・市場</v>
      </c>
      <c r="C254" s="2279">
        <v>1560</v>
      </c>
      <c r="D254" s="2139" t="s">
        <v>855</v>
      </c>
      <c r="E254" s="2121">
        <v>1.5</v>
      </c>
      <c r="F254" s="2205" t="s">
        <v>822</v>
      </c>
      <c r="G254" s="2121">
        <v>1</v>
      </c>
      <c r="H254" s="2205" t="s">
        <v>857</v>
      </c>
      <c r="I254" s="2123">
        <v>0.7</v>
      </c>
      <c r="J254" s="1628"/>
      <c r="K254" s="1450"/>
      <c r="L254" s="1483"/>
      <c r="M254" s="1450"/>
      <c r="N254" s="1483"/>
      <c r="O254" s="1627"/>
      <c r="P254" s="1449"/>
      <c r="Q254" s="1483"/>
      <c r="R254" s="1450"/>
      <c r="S254" s="1036"/>
      <c r="T254" s="1036"/>
      <c r="U254" s="1036"/>
      <c r="V254" s="1036"/>
      <c r="W254" s="1036"/>
      <c r="X254" s="1036"/>
      <c r="Y254" s="1036"/>
      <c r="Z254" s="1036"/>
      <c r="AA254" s="1036"/>
      <c r="AB254" s="1036"/>
      <c r="AC254" s="1036"/>
      <c r="AD254" s="1036"/>
      <c r="AE254" s="1036"/>
      <c r="AF254" s="1036"/>
      <c r="AG254" s="1036"/>
      <c r="AH254" s="1035"/>
      <c r="AI254" s="1035"/>
      <c r="AJ254" s="1036"/>
      <c r="AK254" s="1036"/>
      <c r="AL254" s="1036"/>
      <c r="AM254" s="1036"/>
      <c r="AN254" s="1036"/>
      <c r="AO254" s="1036"/>
      <c r="AP254" s="1036"/>
      <c r="AQ254" s="1036"/>
      <c r="AR254" s="1036"/>
      <c r="AS254" s="1036"/>
      <c r="AT254" s="1036"/>
      <c r="AU254" s="1036"/>
      <c r="AV254" s="1036"/>
      <c r="AW254" s="1036"/>
      <c r="AX254" s="1036"/>
      <c r="AY254" s="1037"/>
    </row>
    <row r="255" spans="2:51" ht="12.75" customHeight="1">
      <c r="B255" s="2110" t="str">
        <f>+$B$10</f>
        <v>劇場型建物</v>
      </c>
      <c r="C255" s="2279">
        <v>1560</v>
      </c>
      <c r="D255" s="2139" t="s">
        <v>855</v>
      </c>
      <c r="E255" s="2127">
        <v>1.5</v>
      </c>
      <c r="F255" s="2205" t="s">
        <v>822</v>
      </c>
      <c r="G255" s="2127">
        <v>1</v>
      </c>
      <c r="H255" s="2205" t="s">
        <v>857</v>
      </c>
      <c r="I255" s="2123">
        <v>0.7</v>
      </c>
      <c r="J255" s="1629"/>
      <c r="K255" s="1496"/>
      <c r="L255" s="1486"/>
      <c r="M255" s="1496"/>
      <c r="N255" s="1486"/>
      <c r="O255" s="1630"/>
      <c r="P255" s="1449"/>
      <c r="Q255" s="1483"/>
      <c r="R255" s="1450"/>
      <c r="S255" s="1119"/>
      <c r="T255" s="1082"/>
      <c r="U255" s="1119"/>
      <c r="V255" s="1082"/>
      <c r="W255" s="1119"/>
      <c r="X255" s="1082"/>
      <c r="Y255" s="1082"/>
      <c r="Z255" s="1082"/>
      <c r="AA255" s="1082"/>
      <c r="AB255" s="1082"/>
      <c r="AC255" s="1082"/>
      <c r="AD255" s="1082"/>
      <c r="AE255" s="1082"/>
      <c r="AF255" s="1082"/>
      <c r="AG255" s="1082"/>
      <c r="AH255" s="1082"/>
      <c r="AI255" s="1082"/>
      <c r="AJ255" s="1082"/>
      <c r="AK255" s="1035"/>
      <c r="AL255" s="1035"/>
      <c r="AM255" s="1036"/>
      <c r="AN255" s="1036"/>
      <c r="AO255" s="1036"/>
      <c r="AP255" s="1036"/>
      <c r="AQ255" s="1036"/>
      <c r="AR255" s="1036"/>
      <c r="AS255" s="1036"/>
      <c r="AT255" s="1036"/>
      <c r="AU255" s="1036"/>
      <c r="AV255" s="1036"/>
      <c r="AW255" s="1036"/>
      <c r="AX255" s="1036"/>
      <c r="AY255" s="1037"/>
    </row>
    <row r="256" spans="2:51" ht="12.75" customHeight="1">
      <c r="B256" s="1008" t="s">
        <v>359</v>
      </c>
      <c r="C256" s="1121" t="s">
        <v>75</v>
      </c>
      <c r="D256" s="1014" t="s">
        <v>462</v>
      </c>
      <c r="E256" s="1014"/>
      <c r="F256" s="1015"/>
      <c r="G256" s="1015"/>
      <c r="H256" s="1015"/>
      <c r="I256" s="1017"/>
      <c r="J256" s="1013" t="s">
        <v>463</v>
      </c>
      <c r="K256" s="1015"/>
      <c r="L256" s="1015"/>
      <c r="M256" s="1015"/>
      <c r="N256" s="1015"/>
      <c r="O256" s="1017"/>
      <c r="P256" s="1449"/>
      <c r="Q256" s="1450"/>
      <c r="R256" s="1450"/>
      <c r="S256" s="1119"/>
      <c r="T256" s="1082"/>
      <c r="U256" s="1119"/>
      <c r="V256" s="1082"/>
      <c r="W256" s="1119"/>
      <c r="X256" s="1082"/>
      <c r="Y256" s="1082"/>
      <c r="Z256" s="1082"/>
      <c r="AA256" s="1082"/>
      <c r="AB256" s="1082"/>
      <c r="AC256" s="1082"/>
      <c r="AD256" s="1082"/>
      <c r="AE256" s="1082"/>
      <c r="AF256" s="1082"/>
      <c r="AG256" s="1082"/>
      <c r="AH256" s="1082"/>
      <c r="AI256" s="1082"/>
      <c r="AJ256" s="1082"/>
      <c r="AK256" s="1035"/>
      <c r="AL256" s="1035"/>
      <c r="AM256" s="1036"/>
      <c r="AN256" s="1036"/>
      <c r="AO256" s="1036"/>
      <c r="AP256" s="1036"/>
      <c r="AQ256" s="1036"/>
      <c r="AR256" s="1036"/>
      <c r="AS256" s="1036"/>
      <c r="AT256" s="1036"/>
      <c r="AU256" s="1036"/>
      <c r="AV256" s="1036"/>
      <c r="AW256" s="1036"/>
      <c r="AX256" s="1036"/>
      <c r="AY256" s="1037"/>
    </row>
    <row r="257" spans="2:51" ht="12.75" customHeight="1">
      <c r="B257" s="1023"/>
      <c r="C257" s="1024" t="s">
        <v>464</v>
      </c>
      <c r="D257" s="1028" t="s">
        <v>366</v>
      </c>
      <c r="E257" s="1030"/>
      <c r="F257" s="1030" t="s">
        <v>367</v>
      </c>
      <c r="G257" s="1030"/>
      <c r="H257" s="1030" t="s">
        <v>368</v>
      </c>
      <c r="I257" s="1032"/>
      <c r="J257" s="1028" t="s">
        <v>366</v>
      </c>
      <c r="K257" s="1030"/>
      <c r="L257" s="1030" t="s">
        <v>367</v>
      </c>
      <c r="M257" s="1030"/>
      <c r="N257" s="1030" t="s">
        <v>368</v>
      </c>
      <c r="O257" s="1032"/>
      <c r="P257" s="1501" t="s">
        <v>2197</v>
      </c>
      <c r="Q257" s="1450"/>
      <c r="R257" s="1450"/>
      <c r="S257" s="1501"/>
      <c r="T257" s="1082"/>
      <c r="U257" s="1119"/>
      <c r="V257" s="1082"/>
      <c r="W257" s="1119"/>
      <c r="X257" s="1082"/>
      <c r="Y257" s="1082"/>
      <c r="Z257" s="1082"/>
      <c r="AA257" s="1082"/>
      <c r="AB257" s="1082"/>
      <c r="AC257" s="1082"/>
      <c r="AD257" s="1082"/>
      <c r="AE257" s="1082"/>
      <c r="AF257" s="1082"/>
      <c r="AG257" s="1082"/>
      <c r="AH257" s="1082"/>
      <c r="AI257" s="1082"/>
      <c r="AJ257" s="1082"/>
      <c r="AK257" s="1035"/>
      <c r="AL257" s="1035"/>
      <c r="AM257" s="1036"/>
      <c r="AN257" s="1036"/>
      <c r="AO257" s="1036"/>
      <c r="AP257" s="1036"/>
      <c r="AQ257" s="1036"/>
      <c r="AR257" s="1036"/>
      <c r="AS257" s="1036"/>
      <c r="AT257" s="1036"/>
      <c r="AU257" s="1036"/>
      <c r="AV257" s="1036"/>
      <c r="AW257" s="1036"/>
      <c r="AX257" s="1036"/>
      <c r="AY257" s="1037"/>
    </row>
    <row r="258" spans="2:51" ht="12.75" customHeight="1">
      <c r="B258" s="2108" t="str">
        <f>+$B$6</f>
        <v>事務所・店舗・百貨店</v>
      </c>
      <c r="C258" s="2258">
        <v>119570</v>
      </c>
      <c r="D258" s="1511">
        <v>150</v>
      </c>
      <c r="E258" s="1039">
        <v>1.1499999999999999</v>
      </c>
      <c r="F258" s="1092">
        <v>120</v>
      </c>
      <c r="G258" s="1039">
        <v>1</v>
      </c>
      <c r="H258" s="1511">
        <v>90</v>
      </c>
      <c r="I258" s="1040">
        <v>0.9</v>
      </c>
      <c r="J258" s="1041" t="s">
        <v>855</v>
      </c>
      <c r="K258" s="1039">
        <v>1.5</v>
      </c>
      <c r="L258" s="1039" t="s">
        <v>822</v>
      </c>
      <c r="M258" s="1039">
        <v>1</v>
      </c>
      <c r="N258" s="1039" t="s">
        <v>857</v>
      </c>
      <c r="O258" s="1040">
        <v>0.5</v>
      </c>
      <c r="P258" s="1457"/>
      <c r="Q258" s="1452"/>
      <c r="R258" s="1452"/>
      <c r="S258" s="1119"/>
      <c r="T258" s="1082"/>
      <c r="U258" s="1119"/>
      <c r="V258" s="1082"/>
      <c r="W258" s="1119"/>
      <c r="X258" s="1082"/>
      <c r="Y258" s="1082"/>
      <c r="Z258" s="1082"/>
      <c r="AA258" s="1082"/>
      <c r="AB258" s="1082"/>
      <c r="AC258" s="1082"/>
      <c r="AD258" s="1082"/>
      <c r="AE258" s="1082"/>
      <c r="AF258" s="1082"/>
      <c r="AG258" s="1082"/>
      <c r="AH258" s="1082"/>
      <c r="AI258" s="1082"/>
      <c r="AJ258" s="1082"/>
      <c r="AK258" s="1035"/>
      <c r="AL258" s="1035"/>
      <c r="AM258" s="1036"/>
      <c r="AN258" s="1036"/>
      <c r="AO258" s="1036"/>
      <c r="AP258" s="1036"/>
      <c r="AQ258" s="1036"/>
      <c r="AR258" s="1036"/>
      <c r="AS258" s="1036"/>
      <c r="AT258" s="1036"/>
      <c r="AU258" s="1036"/>
      <c r="AV258" s="1036"/>
      <c r="AW258" s="1036"/>
      <c r="AX258" s="1036"/>
      <c r="AY258" s="1037"/>
    </row>
    <row r="259" spans="2:51" ht="12.75" customHeight="1">
      <c r="B259" s="2109" t="str">
        <f>+$B$7</f>
        <v>住宅・アパート</v>
      </c>
      <c r="C259" s="1045">
        <v>119570</v>
      </c>
      <c r="D259" s="1512">
        <v>150</v>
      </c>
      <c r="E259" s="1047">
        <v>1.1499999999999999</v>
      </c>
      <c r="F259" s="1051">
        <v>120</v>
      </c>
      <c r="G259" s="1047">
        <v>1</v>
      </c>
      <c r="H259" s="1512">
        <v>90</v>
      </c>
      <c r="I259" s="1040">
        <v>0.9</v>
      </c>
      <c r="J259" s="1041" t="s">
        <v>855</v>
      </c>
      <c r="K259" s="1039">
        <v>1.5</v>
      </c>
      <c r="L259" s="1039" t="s">
        <v>822</v>
      </c>
      <c r="M259" s="1039">
        <v>1</v>
      </c>
      <c r="N259" s="1039" t="s">
        <v>857</v>
      </c>
      <c r="O259" s="1040">
        <v>0.5</v>
      </c>
      <c r="P259" s="1457"/>
      <c r="Q259" s="1452"/>
      <c r="R259" s="1452"/>
      <c r="S259" s="1119"/>
      <c r="T259" s="1082"/>
      <c r="U259" s="1119"/>
      <c r="V259" s="1082"/>
      <c r="W259" s="1119"/>
      <c r="X259" s="1082"/>
      <c r="Y259" s="1082"/>
      <c r="Z259" s="1082"/>
      <c r="AA259" s="1082"/>
      <c r="AB259" s="1082"/>
      <c r="AC259" s="1082"/>
      <c r="AD259" s="1082"/>
      <c r="AE259" s="1082"/>
      <c r="AF259" s="1082"/>
      <c r="AG259" s="1082"/>
      <c r="AH259" s="1082"/>
      <c r="AI259" s="1082"/>
      <c r="AJ259" s="1082"/>
      <c r="AK259" s="1035"/>
      <c r="AL259" s="1035"/>
      <c r="AM259" s="1036"/>
      <c r="AN259" s="1036"/>
      <c r="AO259" s="1036"/>
      <c r="AP259" s="1036"/>
      <c r="AQ259" s="1036"/>
      <c r="AR259" s="1036"/>
      <c r="AS259" s="1036"/>
      <c r="AT259" s="1036"/>
      <c r="AU259" s="1036"/>
      <c r="AV259" s="1036"/>
      <c r="AW259" s="1036"/>
      <c r="AX259" s="1036"/>
      <c r="AY259" s="1037"/>
    </row>
    <row r="260" spans="2:51" ht="12.75" customHeight="1">
      <c r="B260" s="2109" t="str">
        <f>+$B$8</f>
        <v>病院・ホテル</v>
      </c>
      <c r="C260" s="2119">
        <f>+C258</f>
        <v>119570</v>
      </c>
      <c r="D260" s="2209">
        <v>150</v>
      </c>
      <c r="E260" s="2136">
        <v>1.1499999999999999</v>
      </c>
      <c r="F260" s="2205">
        <v>120</v>
      </c>
      <c r="G260" s="2136">
        <v>1</v>
      </c>
      <c r="H260" s="2209">
        <v>90</v>
      </c>
      <c r="I260" s="2137">
        <v>0.9</v>
      </c>
      <c r="J260" s="2154" t="s">
        <v>855</v>
      </c>
      <c r="K260" s="2136">
        <v>1.5</v>
      </c>
      <c r="L260" s="2136" t="s">
        <v>822</v>
      </c>
      <c r="M260" s="2136">
        <v>1</v>
      </c>
      <c r="N260" s="2136" t="s">
        <v>857</v>
      </c>
      <c r="O260" s="2137">
        <v>0.5</v>
      </c>
      <c r="P260" s="1457"/>
      <c r="Q260" s="1452"/>
      <c r="R260" s="1452"/>
      <c r="S260" s="1119"/>
      <c r="T260" s="1082"/>
      <c r="U260" s="1119"/>
      <c r="V260" s="1082"/>
      <c r="W260" s="1119"/>
      <c r="X260" s="1082"/>
      <c r="Y260" s="1082"/>
      <c r="Z260" s="1082"/>
      <c r="AA260" s="1082"/>
      <c r="AB260" s="1082"/>
      <c r="AC260" s="1082"/>
      <c r="AD260" s="1082"/>
      <c r="AE260" s="1082"/>
      <c r="AF260" s="1082"/>
      <c r="AG260" s="1082"/>
      <c r="AH260" s="1082"/>
      <c r="AI260" s="1082"/>
      <c r="AJ260" s="1082"/>
      <c r="AK260" s="1035"/>
      <c r="AL260" s="1035"/>
      <c r="AM260" s="1036"/>
      <c r="AN260" s="1036"/>
      <c r="AO260" s="1036"/>
      <c r="AP260" s="1036"/>
      <c r="AQ260" s="1036"/>
      <c r="AR260" s="1036"/>
      <c r="AS260" s="1036"/>
      <c r="AT260" s="1036"/>
      <c r="AU260" s="1036"/>
      <c r="AV260" s="1036"/>
      <c r="AW260" s="1036"/>
      <c r="AX260" s="1036"/>
      <c r="AY260" s="1037"/>
    </row>
    <row r="261" spans="2:51" ht="12.75" customHeight="1">
      <c r="B261" s="2109" t="str">
        <f>+$B$9</f>
        <v>工場・倉庫・市場</v>
      </c>
      <c r="C261" s="2242">
        <f>+C258</f>
        <v>119570</v>
      </c>
      <c r="D261" s="1512">
        <v>150</v>
      </c>
      <c r="E261" s="1047">
        <v>1.1499999999999999</v>
      </c>
      <c r="F261" s="1051">
        <v>120</v>
      </c>
      <c r="G261" s="1047">
        <v>1</v>
      </c>
      <c r="H261" s="1512">
        <v>90</v>
      </c>
      <c r="I261" s="1040">
        <v>0.9</v>
      </c>
      <c r="J261" s="1041" t="s">
        <v>855</v>
      </c>
      <c r="K261" s="1039">
        <v>1.5</v>
      </c>
      <c r="L261" s="1039" t="s">
        <v>822</v>
      </c>
      <c r="M261" s="1039">
        <v>1</v>
      </c>
      <c r="N261" s="1039" t="s">
        <v>857</v>
      </c>
      <c r="O261" s="1040">
        <v>0.5</v>
      </c>
      <c r="P261" s="1457"/>
      <c r="Q261" s="1452"/>
      <c r="R261" s="1452"/>
      <c r="S261" s="1119"/>
      <c r="T261" s="1082"/>
      <c r="U261" s="1119"/>
      <c r="V261" s="1082"/>
      <c r="W261" s="1119"/>
      <c r="X261" s="1082"/>
      <c r="Y261" s="1082"/>
      <c r="Z261" s="1082"/>
      <c r="AA261" s="1082"/>
      <c r="AB261" s="1082"/>
      <c r="AC261" s="1082"/>
      <c r="AD261" s="1082"/>
      <c r="AE261" s="1082"/>
      <c r="AF261" s="1082"/>
      <c r="AG261" s="1082"/>
      <c r="AH261" s="1082"/>
      <c r="AI261" s="1082"/>
      <c r="AJ261" s="1082"/>
      <c r="AK261" s="1035"/>
      <c r="AL261" s="1035"/>
      <c r="AM261" s="1036"/>
      <c r="AN261" s="1036"/>
      <c r="AO261" s="1036"/>
      <c r="AP261" s="1036"/>
      <c r="AQ261" s="1036"/>
      <c r="AR261" s="1036"/>
      <c r="AS261" s="1036"/>
      <c r="AT261" s="1036"/>
      <c r="AU261" s="1036"/>
      <c r="AV261" s="1036"/>
      <c r="AW261" s="1036"/>
      <c r="AX261" s="1036"/>
      <c r="AY261" s="1037"/>
    </row>
    <row r="262" spans="2:51" ht="12.75" customHeight="1">
      <c r="B262" s="2110" t="str">
        <f>+$B$10</f>
        <v>劇場型建物</v>
      </c>
      <c r="C262" s="2279">
        <v>119570</v>
      </c>
      <c r="D262" s="2469">
        <v>150</v>
      </c>
      <c r="E262" s="2121">
        <v>1.1499999999999999</v>
      </c>
      <c r="F262" s="2139">
        <v>120</v>
      </c>
      <c r="G262" s="2121">
        <v>1</v>
      </c>
      <c r="H262" s="2469">
        <v>90</v>
      </c>
      <c r="I262" s="2137">
        <v>0.9</v>
      </c>
      <c r="J262" s="2154" t="s">
        <v>855</v>
      </c>
      <c r="K262" s="2162">
        <v>1.5</v>
      </c>
      <c r="L262" s="2136" t="s">
        <v>822</v>
      </c>
      <c r="M262" s="2136">
        <v>1</v>
      </c>
      <c r="N262" s="2136" t="s">
        <v>857</v>
      </c>
      <c r="O262" s="2137">
        <v>0.5</v>
      </c>
      <c r="P262" s="1458"/>
      <c r="Q262" s="1455"/>
      <c r="R262" s="1455"/>
      <c r="S262" s="1489"/>
      <c r="T262" s="1082"/>
      <c r="U262" s="1119"/>
      <c r="V262" s="1082"/>
      <c r="W262" s="1119"/>
      <c r="X262" s="1082"/>
      <c r="Y262" s="1082"/>
      <c r="Z262" s="1082"/>
      <c r="AA262" s="1082"/>
      <c r="AB262" s="1082"/>
      <c r="AC262" s="1082"/>
      <c r="AD262" s="1082"/>
      <c r="AE262" s="1082"/>
      <c r="AF262" s="1082"/>
      <c r="AG262" s="1082"/>
      <c r="AH262" s="1082"/>
      <c r="AI262" s="1082"/>
      <c r="AJ262" s="1082"/>
      <c r="AK262" s="1035"/>
      <c r="AL262" s="1035"/>
      <c r="AM262" s="1036"/>
      <c r="AN262" s="1036"/>
      <c r="AO262" s="1036"/>
      <c r="AP262" s="1036"/>
      <c r="AQ262" s="1036"/>
      <c r="AR262" s="1036"/>
      <c r="AS262" s="1036"/>
      <c r="AT262" s="1036"/>
      <c r="AU262" s="1036"/>
      <c r="AV262" s="1036"/>
      <c r="AW262" s="1036"/>
      <c r="AX262" s="1036"/>
      <c r="AY262" s="1037"/>
    </row>
    <row r="263" spans="2:51" ht="12.75" customHeight="1">
      <c r="B263" s="1008" t="s">
        <v>359</v>
      </c>
      <c r="C263" s="1144" t="s">
        <v>465</v>
      </c>
      <c r="D263" s="1014" t="s">
        <v>466</v>
      </c>
      <c r="E263" s="1014"/>
      <c r="F263" s="1015"/>
      <c r="G263" s="1015"/>
      <c r="H263" s="1015"/>
      <c r="I263" s="1016"/>
      <c r="J263" s="1013" t="s">
        <v>467</v>
      </c>
      <c r="K263" s="1015"/>
      <c r="L263" s="1015"/>
      <c r="M263" s="1015"/>
      <c r="N263" s="1015"/>
      <c r="O263" s="1017"/>
      <c r="P263" s="1456"/>
      <c r="Q263" s="1448"/>
      <c r="R263" s="1448"/>
      <c r="S263" s="1487"/>
      <c r="T263" s="1098"/>
      <c r="U263" s="1117"/>
      <c r="V263" s="1098"/>
      <c r="W263" s="1117"/>
      <c r="X263" s="1098"/>
      <c r="Y263" s="1098"/>
      <c r="Z263" s="1098"/>
      <c r="AA263" s="1098"/>
      <c r="AB263" s="1098"/>
      <c r="AC263" s="1098"/>
      <c r="AD263" s="1098"/>
      <c r="AE263" s="1098"/>
      <c r="AF263" s="1098"/>
      <c r="AG263" s="1098"/>
      <c r="AH263" s="1098"/>
      <c r="AI263" s="1098"/>
      <c r="AJ263" s="1098"/>
      <c r="AK263" s="1020"/>
      <c r="AL263" s="1020"/>
      <c r="AM263" s="1021"/>
      <c r="AN263" s="1021"/>
      <c r="AO263" s="1021"/>
      <c r="AP263" s="1021"/>
      <c r="AQ263" s="1021"/>
      <c r="AR263" s="1021"/>
      <c r="AS263" s="1021"/>
      <c r="AT263" s="1021"/>
      <c r="AU263" s="1021"/>
      <c r="AV263" s="1021"/>
      <c r="AW263" s="1021"/>
      <c r="AX263" s="1021"/>
      <c r="AY263" s="1022"/>
    </row>
    <row r="264" spans="2:51" ht="12.75" customHeight="1">
      <c r="B264" s="1023"/>
      <c r="C264" s="1024" t="s">
        <v>468</v>
      </c>
      <c r="D264" s="1028" t="s">
        <v>366</v>
      </c>
      <c r="E264" s="1030"/>
      <c r="F264" s="1030" t="s">
        <v>367</v>
      </c>
      <c r="G264" s="1030"/>
      <c r="H264" s="1030" t="s">
        <v>368</v>
      </c>
      <c r="I264" s="1031"/>
      <c r="J264" s="1028" t="s">
        <v>366</v>
      </c>
      <c r="K264" s="1030"/>
      <c r="L264" s="1030" t="s">
        <v>367</v>
      </c>
      <c r="M264" s="1030"/>
      <c r="N264" s="1030" t="s">
        <v>368</v>
      </c>
      <c r="O264" s="1032"/>
      <c r="P264" s="1501" t="s">
        <v>1339</v>
      </c>
      <c r="Q264" s="1450"/>
      <c r="R264" s="1450"/>
      <c r="S264" s="1501"/>
      <c r="T264" s="1082"/>
      <c r="U264" s="1119"/>
      <c r="V264" s="1082"/>
      <c r="W264" s="1119"/>
      <c r="X264" s="1082"/>
      <c r="Y264" s="1082"/>
      <c r="Z264" s="1082"/>
      <c r="AA264" s="1082"/>
      <c r="AB264" s="1082"/>
      <c r="AC264" s="1082"/>
      <c r="AD264" s="1082"/>
      <c r="AE264" s="1082"/>
      <c r="AF264" s="1082"/>
      <c r="AG264" s="1082"/>
      <c r="AH264" s="1082"/>
      <c r="AI264" s="1082"/>
      <c r="AJ264" s="1082"/>
      <c r="AK264" s="1035"/>
      <c r="AL264" s="1035"/>
      <c r="AM264" s="1036"/>
      <c r="AN264" s="1036"/>
      <c r="AO264" s="1036"/>
      <c r="AP264" s="1036"/>
      <c r="AQ264" s="1036"/>
      <c r="AR264" s="1036"/>
      <c r="AS264" s="1036"/>
      <c r="AT264" s="1036"/>
      <c r="AU264" s="1036"/>
      <c r="AV264" s="1036"/>
      <c r="AW264" s="1036"/>
      <c r="AX264" s="1036"/>
      <c r="AY264" s="1037"/>
    </row>
    <row r="265" spans="2:51" ht="12.75" customHeight="1">
      <c r="B265" s="2108" t="str">
        <f>+$B$6</f>
        <v>事務所・店舗・百貨店</v>
      </c>
      <c r="C265" s="2141">
        <f>+C266</f>
        <v>331670</v>
      </c>
      <c r="D265" s="2138">
        <v>300</v>
      </c>
      <c r="E265" s="2121">
        <v>1.1499999999999999</v>
      </c>
      <c r="F265" s="2139">
        <v>255</v>
      </c>
      <c r="G265" s="2121">
        <v>1</v>
      </c>
      <c r="H265" s="2140">
        <v>180</v>
      </c>
      <c r="I265" s="2135">
        <v>0.8</v>
      </c>
      <c r="J265" s="2154" t="s">
        <v>855</v>
      </c>
      <c r="K265" s="2136">
        <v>1.5</v>
      </c>
      <c r="L265" s="2136" t="s">
        <v>822</v>
      </c>
      <c r="M265" s="2136">
        <v>1</v>
      </c>
      <c r="N265" s="2136" t="s">
        <v>857</v>
      </c>
      <c r="O265" s="2137">
        <v>0.5</v>
      </c>
      <c r="P265" s="1457"/>
      <c r="Q265" s="1452"/>
      <c r="R265" s="1452"/>
      <c r="S265" s="1488"/>
      <c r="T265" s="1082"/>
      <c r="U265" s="1119"/>
      <c r="V265" s="1082"/>
      <c r="W265" s="1119"/>
      <c r="X265" s="1082"/>
      <c r="Y265" s="1082"/>
      <c r="Z265" s="1082"/>
      <c r="AA265" s="1082"/>
      <c r="AB265" s="1082"/>
      <c r="AC265" s="1082"/>
      <c r="AD265" s="1082"/>
      <c r="AE265" s="1082"/>
      <c r="AF265" s="1082"/>
      <c r="AG265" s="1082"/>
      <c r="AH265" s="1082"/>
      <c r="AI265" s="1082"/>
      <c r="AJ265" s="1082"/>
      <c r="AK265" s="1035"/>
      <c r="AL265" s="1035"/>
      <c r="AM265" s="1036"/>
      <c r="AN265" s="1036"/>
      <c r="AO265" s="1036"/>
      <c r="AP265" s="1036"/>
      <c r="AQ265" s="1036"/>
      <c r="AR265" s="1036"/>
      <c r="AS265" s="1036"/>
      <c r="AT265" s="1036"/>
      <c r="AU265" s="1036"/>
      <c r="AV265" s="1036"/>
      <c r="AW265" s="1036"/>
      <c r="AX265" s="1036"/>
      <c r="AY265" s="1037"/>
    </row>
    <row r="266" spans="2:51" ht="12.75" customHeight="1">
      <c r="B266" s="2109" t="str">
        <f>+$B$7</f>
        <v>住宅・アパート</v>
      </c>
      <c r="C266" s="1045">
        <v>331670</v>
      </c>
      <c r="D266" s="1050">
        <v>300</v>
      </c>
      <c r="E266" s="1047">
        <v>1.1499999999999999</v>
      </c>
      <c r="F266" s="1051">
        <v>255</v>
      </c>
      <c r="G266" s="1047">
        <v>1</v>
      </c>
      <c r="H266" s="1052">
        <v>180</v>
      </c>
      <c r="I266" s="1053">
        <v>0.8</v>
      </c>
      <c r="J266" s="1049" t="s">
        <v>855</v>
      </c>
      <c r="K266" s="1047">
        <v>1.5</v>
      </c>
      <c r="L266" s="1051" t="s">
        <v>822</v>
      </c>
      <c r="M266" s="1047">
        <v>1</v>
      </c>
      <c r="N266" s="1051" t="s">
        <v>857</v>
      </c>
      <c r="O266" s="1048">
        <v>0.5</v>
      </c>
      <c r="P266" s="1457"/>
      <c r="Q266" s="1488"/>
      <c r="R266" s="1452"/>
      <c r="S266" s="1488"/>
      <c r="T266" s="1082"/>
      <c r="U266" s="1119"/>
      <c r="V266" s="1082"/>
      <c r="W266" s="1119"/>
      <c r="X266" s="1082"/>
      <c r="Y266" s="1082"/>
      <c r="Z266" s="1082"/>
      <c r="AA266" s="1082"/>
      <c r="AB266" s="1082"/>
      <c r="AC266" s="1082"/>
      <c r="AD266" s="1082"/>
      <c r="AE266" s="1082"/>
      <c r="AF266" s="1082"/>
      <c r="AG266" s="1082"/>
      <c r="AH266" s="1082"/>
      <c r="AI266" s="1082"/>
      <c r="AJ266" s="1082"/>
      <c r="AK266" s="1035"/>
      <c r="AL266" s="1035"/>
      <c r="AM266" s="1036"/>
      <c r="AN266" s="1036"/>
      <c r="AO266" s="1036"/>
      <c r="AP266" s="1036"/>
      <c r="AQ266" s="1036"/>
      <c r="AR266" s="1036"/>
      <c r="AS266" s="1036"/>
      <c r="AT266" s="1036"/>
      <c r="AU266" s="1036"/>
      <c r="AV266" s="1036"/>
      <c r="AW266" s="1036"/>
      <c r="AX266" s="1036"/>
      <c r="AY266" s="1037"/>
    </row>
    <row r="267" spans="2:51" ht="12.75" customHeight="1">
      <c r="B267" s="2109" t="str">
        <f>+$B$8</f>
        <v>病院・ホテル</v>
      </c>
      <c r="C267" s="2119">
        <f>+C266</f>
        <v>331670</v>
      </c>
      <c r="D267" s="2138">
        <v>300</v>
      </c>
      <c r="E267" s="2121">
        <v>1.1499999999999999</v>
      </c>
      <c r="F267" s="2139">
        <v>255</v>
      </c>
      <c r="G267" s="2121">
        <v>1</v>
      </c>
      <c r="H267" s="2140">
        <v>180</v>
      </c>
      <c r="I267" s="2135">
        <v>0.8</v>
      </c>
      <c r="J267" s="2210" t="s">
        <v>855</v>
      </c>
      <c r="K267" s="2121">
        <v>1.5</v>
      </c>
      <c r="L267" s="2139" t="s">
        <v>822</v>
      </c>
      <c r="M267" s="2121">
        <v>1</v>
      </c>
      <c r="N267" s="2139" t="s">
        <v>857</v>
      </c>
      <c r="O267" s="2123">
        <v>0.5</v>
      </c>
      <c r="P267" s="1457"/>
      <c r="Q267" s="1488"/>
      <c r="R267" s="1452"/>
      <c r="S267" s="1488"/>
      <c r="T267" s="1082"/>
      <c r="U267" s="1119"/>
      <c r="V267" s="1082"/>
      <c r="W267" s="1119"/>
      <c r="X267" s="1082"/>
      <c r="Y267" s="1082"/>
      <c r="Z267" s="1082"/>
      <c r="AA267" s="1082"/>
      <c r="AB267" s="1082"/>
      <c r="AC267" s="1082"/>
      <c r="AD267" s="1082"/>
      <c r="AE267" s="1082"/>
      <c r="AF267" s="1082"/>
      <c r="AG267" s="1082"/>
      <c r="AH267" s="1082"/>
      <c r="AI267" s="1082"/>
      <c r="AJ267" s="1082"/>
      <c r="AK267" s="1035"/>
      <c r="AL267" s="1035"/>
      <c r="AM267" s="1036"/>
      <c r="AN267" s="1036"/>
      <c r="AO267" s="1036"/>
      <c r="AP267" s="1036"/>
      <c r="AQ267" s="1036"/>
      <c r="AR267" s="1036"/>
      <c r="AS267" s="1036"/>
      <c r="AT267" s="1036"/>
      <c r="AU267" s="1036"/>
      <c r="AV267" s="1036"/>
      <c r="AW267" s="1036"/>
      <c r="AX267" s="1036"/>
      <c r="AY267" s="1037"/>
    </row>
    <row r="268" spans="2:51" ht="12.75" customHeight="1">
      <c r="B268" s="2109" t="str">
        <f>+$B$9</f>
        <v>工場・倉庫・市場</v>
      </c>
      <c r="C268" s="2119">
        <f>+C266</f>
        <v>331670</v>
      </c>
      <c r="D268" s="2138">
        <v>300</v>
      </c>
      <c r="E268" s="2121">
        <v>1.1499999999999999</v>
      </c>
      <c r="F268" s="2139">
        <v>255</v>
      </c>
      <c r="G268" s="2121">
        <v>1</v>
      </c>
      <c r="H268" s="2140">
        <v>180</v>
      </c>
      <c r="I268" s="2135">
        <v>0.8</v>
      </c>
      <c r="J268" s="2210" t="s">
        <v>855</v>
      </c>
      <c r="K268" s="2121">
        <v>1.5</v>
      </c>
      <c r="L268" s="2139" t="s">
        <v>822</v>
      </c>
      <c r="M268" s="2121">
        <v>1</v>
      </c>
      <c r="N268" s="2139" t="s">
        <v>857</v>
      </c>
      <c r="O268" s="2123">
        <v>0.5</v>
      </c>
      <c r="P268" s="1457"/>
      <c r="Q268" s="1488"/>
      <c r="R268" s="1452"/>
      <c r="S268" s="1488"/>
      <c r="T268" s="1082"/>
      <c r="U268" s="1119"/>
      <c r="V268" s="1082"/>
      <c r="W268" s="1119"/>
      <c r="X268" s="1082"/>
      <c r="Y268" s="1082"/>
      <c r="Z268" s="1082"/>
      <c r="AA268" s="1082"/>
      <c r="AB268" s="1082"/>
      <c r="AC268" s="1082"/>
      <c r="AD268" s="1082"/>
      <c r="AE268" s="1082"/>
      <c r="AF268" s="1082"/>
      <c r="AG268" s="1082"/>
      <c r="AH268" s="1082"/>
      <c r="AI268" s="1082"/>
      <c r="AJ268" s="1082"/>
      <c r="AK268" s="1035"/>
      <c r="AL268" s="1035"/>
      <c r="AM268" s="1036"/>
      <c r="AN268" s="1036"/>
      <c r="AO268" s="1036"/>
      <c r="AP268" s="1036"/>
      <c r="AQ268" s="1036"/>
      <c r="AR268" s="1036"/>
      <c r="AS268" s="1036"/>
      <c r="AT268" s="1036"/>
      <c r="AU268" s="1036"/>
      <c r="AV268" s="1036"/>
      <c r="AW268" s="1036"/>
      <c r="AX268" s="1036"/>
      <c r="AY268" s="1037"/>
    </row>
    <row r="269" spans="2:51" ht="12.75" customHeight="1">
      <c r="B269" s="2110" t="str">
        <f>+$B$10</f>
        <v>劇場型建物</v>
      </c>
      <c r="C269" s="2158">
        <f>+C266</f>
        <v>331670</v>
      </c>
      <c r="D269" s="2211">
        <v>300</v>
      </c>
      <c r="E269" s="2127">
        <v>1.1499999999999999</v>
      </c>
      <c r="F269" s="2212">
        <v>255</v>
      </c>
      <c r="G269" s="2127">
        <v>1</v>
      </c>
      <c r="H269" s="2213">
        <v>180</v>
      </c>
      <c r="I269" s="2181">
        <v>0.8</v>
      </c>
      <c r="J269" s="2214" t="s">
        <v>855</v>
      </c>
      <c r="K269" s="2127">
        <v>1.5</v>
      </c>
      <c r="L269" s="2212" t="s">
        <v>822</v>
      </c>
      <c r="M269" s="2127">
        <v>1</v>
      </c>
      <c r="N269" s="2212" t="s">
        <v>857</v>
      </c>
      <c r="O269" s="2129">
        <v>0.5</v>
      </c>
      <c r="P269" s="1458"/>
      <c r="Q269" s="1489"/>
      <c r="R269" s="1455"/>
      <c r="S269" s="1489"/>
      <c r="T269" s="1082"/>
      <c r="U269" s="1119"/>
      <c r="V269" s="1082"/>
      <c r="W269" s="1119"/>
      <c r="X269" s="1082"/>
      <c r="Y269" s="1082"/>
      <c r="Z269" s="1082"/>
      <c r="AA269" s="1082"/>
      <c r="AB269" s="1082"/>
      <c r="AC269" s="1082"/>
      <c r="AD269" s="1082"/>
      <c r="AE269" s="1082"/>
      <c r="AF269" s="1082"/>
      <c r="AG269" s="1082"/>
      <c r="AH269" s="1082"/>
      <c r="AI269" s="1082"/>
      <c r="AJ269" s="1082"/>
      <c r="AK269" s="1035"/>
      <c r="AL269" s="1035"/>
      <c r="AM269" s="1036"/>
      <c r="AN269" s="1036"/>
      <c r="AO269" s="1036"/>
      <c r="AP269" s="1036"/>
      <c r="AQ269" s="1036"/>
      <c r="AR269" s="1036"/>
      <c r="AS269" s="1036"/>
      <c r="AT269" s="1036"/>
      <c r="AU269" s="1036"/>
      <c r="AV269" s="1036"/>
      <c r="AW269" s="1036"/>
      <c r="AX269" s="1036"/>
      <c r="AY269" s="1037"/>
    </row>
    <row r="270" spans="2:51" ht="12.75" customHeight="1">
      <c r="B270" s="1008" t="s">
        <v>359</v>
      </c>
      <c r="C270" s="1503" t="s">
        <v>2147</v>
      </c>
      <c r="D270" s="3866" t="s">
        <v>576</v>
      </c>
      <c r="E270" s="3867"/>
      <c r="F270" s="3867"/>
      <c r="G270" s="3867"/>
      <c r="H270" s="3867"/>
      <c r="I270" s="3868"/>
      <c r="J270" s="3894" t="s">
        <v>2109</v>
      </c>
      <c r="K270" s="3895"/>
      <c r="L270" s="3895"/>
      <c r="M270" s="3895"/>
      <c r="N270" s="3895"/>
      <c r="O270" s="3896"/>
      <c r="P270" s="2048"/>
      <c r="Q270" s="2037"/>
      <c r="R270" s="2037"/>
      <c r="S270" s="2037"/>
      <c r="T270" s="2037"/>
      <c r="U270" s="2037"/>
      <c r="V270" s="2037"/>
      <c r="W270" s="2037"/>
      <c r="X270" s="2019"/>
      <c r="Y270" s="1456"/>
      <c r="Z270" s="1448"/>
      <c r="AA270" s="1448"/>
      <c r="AB270" s="1448"/>
      <c r="AC270" s="1448"/>
      <c r="AD270" s="1448"/>
      <c r="AE270" s="1446"/>
      <c r="AF270" s="1020"/>
      <c r="AG270" s="1021"/>
      <c r="AH270" s="1021"/>
      <c r="AI270" s="1021"/>
      <c r="AJ270" s="1021"/>
      <c r="AK270" s="1021"/>
      <c r="AL270" s="1021"/>
      <c r="AM270" s="1021"/>
      <c r="AN270" s="1021"/>
      <c r="AO270" s="1021"/>
      <c r="AP270" s="1021"/>
      <c r="AQ270" s="1021"/>
      <c r="AR270" s="1021"/>
      <c r="AS270" s="1021"/>
      <c r="AT270" s="1021"/>
      <c r="AU270" s="1021"/>
      <c r="AV270" s="1021"/>
      <c r="AW270" s="1021"/>
      <c r="AX270" s="1021"/>
      <c r="AY270" s="1022"/>
    </row>
    <row r="271" spans="2:51" ht="12.75" customHeight="1">
      <c r="B271" s="1023"/>
      <c r="C271" s="1024" t="s">
        <v>469</v>
      </c>
      <c r="D271" s="1029" t="s">
        <v>366</v>
      </c>
      <c r="E271" s="1030"/>
      <c r="F271" s="1030" t="s">
        <v>367</v>
      </c>
      <c r="G271" s="1030"/>
      <c r="H271" s="3862" t="s">
        <v>368</v>
      </c>
      <c r="I271" s="3863"/>
      <c r="J271" s="1029" t="s">
        <v>366</v>
      </c>
      <c r="K271" s="1030"/>
      <c r="L271" s="1030" t="s">
        <v>367</v>
      </c>
      <c r="M271" s="1030"/>
      <c r="N271" s="3862" t="s">
        <v>368</v>
      </c>
      <c r="O271" s="3863"/>
      <c r="P271" s="1133"/>
      <c r="Q271" s="1134"/>
      <c r="R271" s="1134"/>
      <c r="S271" s="1134"/>
      <c r="T271" s="1134"/>
      <c r="U271" s="1134"/>
      <c r="V271" s="1134"/>
      <c r="W271" s="1134"/>
      <c r="X271" s="2020"/>
      <c r="Y271" s="1449"/>
      <c r="Z271" s="1450"/>
      <c r="AA271" s="1450"/>
      <c r="AB271" s="1450"/>
      <c r="AC271" s="1450"/>
      <c r="AD271" s="1450"/>
      <c r="AE271" s="1483"/>
      <c r="AF271" s="1035"/>
      <c r="AG271" s="1036"/>
      <c r="AH271" s="1036"/>
      <c r="AI271" s="1036"/>
      <c r="AJ271" s="1036"/>
      <c r="AK271" s="1036"/>
      <c r="AL271" s="1036"/>
      <c r="AM271" s="1036"/>
      <c r="AN271" s="1036"/>
      <c r="AO271" s="1036"/>
      <c r="AP271" s="1036"/>
      <c r="AQ271" s="1036"/>
      <c r="AR271" s="1036"/>
      <c r="AS271" s="1036"/>
      <c r="AT271" s="1036"/>
      <c r="AU271" s="1036"/>
      <c r="AV271" s="1036"/>
      <c r="AW271" s="1036"/>
      <c r="AX271" s="1036"/>
      <c r="AY271" s="1037"/>
    </row>
    <row r="272" spans="2:51" ht="12.75" customHeight="1">
      <c r="B272" s="2108" t="str">
        <f>+$B$6</f>
        <v>事務所・店舗・百貨店</v>
      </c>
      <c r="C272" s="2258">
        <v>55030</v>
      </c>
      <c r="D272" s="1472" t="s">
        <v>1333</v>
      </c>
      <c r="E272" s="1470" t="s">
        <v>1333</v>
      </c>
      <c r="F272" s="1039" t="s">
        <v>470</v>
      </c>
      <c r="G272" s="1039">
        <v>1</v>
      </c>
      <c r="H272" s="1039" t="s">
        <v>471</v>
      </c>
      <c r="I272" s="1040">
        <v>0.9</v>
      </c>
      <c r="J272" s="1041">
        <v>4</v>
      </c>
      <c r="K272" s="1039">
        <v>1.08</v>
      </c>
      <c r="L272" s="1039">
        <v>3</v>
      </c>
      <c r="M272" s="1039">
        <v>1</v>
      </c>
      <c r="N272" s="1039" t="s">
        <v>1195</v>
      </c>
      <c r="O272" s="1040" t="s">
        <v>1195</v>
      </c>
      <c r="P272" s="2045"/>
      <c r="Q272" s="2046"/>
      <c r="R272" s="2046"/>
      <c r="S272" s="2046"/>
      <c r="T272" s="2046"/>
      <c r="U272" s="2046"/>
      <c r="V272" s="2047"/>
      <c r="W272" s="1082"/>
      <c r="X272" s="2013"/>
      <c r="Y272" s="1493"/>
      <c r="Z272" s="1450"/>
      <c r="AA272" s="1494"/>
      <c r="AB272" s="1450"/>
      <c r="AC272" s="1494"/>
      <c r="AD272" s="1450"/>
      <c r="AE272" s="1483"/>
      <c r="AF272" s="1035"/>
      <c r="AG272" s="1036"/>
      <c r="AH272" s="1036"/>
      <c r="AI272" s="1036"/>
      <c r="AJ272" s="1036"/>
      <c r="AK272" s="1036"/>
      <c r="AL272" s="1036"/>
      <c r="AM272" s="1036"/>
      <c r="AN272" s="1036"/>
      <c r="AO272" s="1036"/>
      <c r="AP272" s="1036"/>
      <c r="AQ272" s="1036"/>
      <c r="AR272" s="1036"/>
      <c r="AS272" s="1036"/>
      <c r="AT272" s="1036"/>
      <c r="AU272" s="1036"/>
      <c r="AV272" s="1036"/>
      <c r="AW272" s="1036"/>
      <c r="AX272" s="1036"/>
      <c r="AY272" s="1037"/>
    </row>
    <row r="273" spans="2:51" ht="12.75" customHeight="1">
      <c r="B273" s="2109" t="str">
        <f>+$B$7</f>
        <v>住宅・アパート</v>
      </c>
      <c r="C273" s="1045">
        <v>55030</v>
      </c>
      <c r="D273" s="1482" t="s">
        <v>1333</v>
      </c>
      <c r="E273" s="1467" t="s">
        <v>1333</v>
      </c>
      <c r="F273" s="1047" t="s">
        <v>470</v>
      </c>
      <c r="G273" s="1047">
        <v>1</v>
      </c>
      <c r="H273" s="1047" t="s">
        <v>471</v>
      </c>
      <c r="I273" s="1048">
        <v>0.9</v>
      </c>
      <c r="J273" s="1056">
        <v>4</v>
      </c>
      <c r="K273" s="1047">
        <v>1.08</v>
      </c>
      <c r="L273" s="1047">
        <v>3</v>
      </c>
      <c r="M273" s="1047">
        <v>1</v>
      </c>
      <c r="N273" s="1047" t="s">
        <v>1195</v>
      </c>
      <c r="O273" s="1048" t="s">
        <v>1195</v>
      </c>
      <c r="P273" s="1081"/>
      <c r="Q273" s="1082"/>
      <c r="R273" s="1082"/>
      <c r="S273" s="1082"/>
      <c r="T273" s="1082"/>
      <c r="U273" s="1082"/>
      <c r="V273" s="1082"/>
      <c r="W273" s="1082"/>
      <c r="X273" s="2013"/>
      <c r="Y273" s="1493"/>
      <c r="Z273" s="1515"/>
      <c r="AA273" s="1494"/>
      <c r="AB273" s="1515"/>
      <c r="AC273" s="1494"/>
      <c r="AD273" s="1515"/>
      <c r="AE273" s="1483"/>
      <c r="AF273" s="1035"/>
      <c r="AG273" s="1036"/>
      <c r="AH273" s="1036"/>
      <c r="AI273" s="1036"/>
      <c r="AJ273" s="1036"/>
      <c r="AK273" s="1036"/>
      <c r="AL273" s="1036"/>
      <c r="AM273" s="1036"/>
      <c r="AN273" s="1036"/>
      <c r="AO273" s="1036"/>
      <c r="AP273" s="1036"/>
      <c r="AQ273" s="1036"/>
      <c r="AR273" s="1036"/>
      <c r="AS273" s="1036"/>
      <c r="AT273" s="1036"/>
      <c r="AU273" s="1036"/>
      <c r="AV273" s="1036"/>
      <c r="AW273" s="1036"/>
      <c r="AX273" s="1036"/>
      <c r="AY273" s="1037"/>
    </row>
    <row r="274" spans="2:51" ht="12.75" customHeight="1">
      <c r="B274" s="2109" t="str">
        <f>+$B$8</f>
        <v>病院・ホテル</v>
      </c>
      <c r="C274" s="1045">
        <v>55030</v>
      </c>
      <c r="D274" s="1046" t="s">
        <v>1195</v>
      </c>
      <c r="E274" s="1047" t="s">
        <v>1195</v>
      </c>
      <c r="F274" s="1047" t="s">
        <v>470</v>
      </c>
      <c r="G274" s="1047">
        <v>1</v>
      </c>
      <c r="H274" s="1047" t="s">
        <v>471</v>
      </c>
      <c r="I274" s="1048">
        <v>0.9</v>
      </c>
      <c r="J274" s="1056">
        <v>4</v>
      </c>
      <c r="K274" s="1047">
        <v>1.08</v>
      </c>
      <c r="L274" s="1047">
        <v>3</v>
      </c>
      <c r="M274" s="1047">
        <v>1</v>
      </c>
      <c r="N274" s="1047" t="s">
        <v>1195</v>
      </c>
      <c r="O274" s="1048" t="s">
        <v>1195</v>
      </c>
      <c r="P274" s="1081"/>
      <c r="Q274" s="1082"/>
      <c r="R274" s="1082"/>
      <c r="S274" s="1082"/>
      <c r="T274" s="1082"/>
      <c r="U274" s="1082"/>
      <c r="V274" s="1082"/>
      <c r="W274" s="1082"/>
      <c r="X274" s="2013"/>
      <c r="Y274" s="1493"/>
      <c r="Z274" s="1450"/>
      <c r="AA274" s="1494"/>
      <c r="AB274" s="1450"/>
      <c r="AC274" s="1494"/>
      <c r="AD274" s="1450"/>
      <c r="AE274" s="1483"/>
      <c r="AF274" s="1035"/>
      <c r="AG274" s="1036"/>
      <c r="AH274" s="1036"/>
      <c r="AI274" s="1036"/>
      <c r="AJ274" s="1036"/>
      <c r="AK274" s="1036"/>
      <c r="AL274" s="1036"/>
      <c r="AM274" s="1036"/>
      <c r="AN274" s="1036"/>
      <c r="AO274" s="1036"/>
      <c r="AP274" s="1036"/>
      <c r="AQ274" s="1036"/>
      <c r="AR274" s="1036"/>
      <c r="AS274" s="1036"/>
      <c r="AT274" s="1036"/>
      <c r="AU274" s="1036"/>
      <c r="AV274" s="1036"/>
      <c r="AW274" s="1036"/>
      <c r="AX274" s="1036"/>
      <c r="AY274" s="1037"/>
    </row>
    <row r="275" spans="2:51" ht="12.75" customHeight="1">
      <c r="B275" s="2109" t="str">
        <f>+$B$9</f>
        <v>工場・倉庫・市場</v>
      </c>
      <c r="C275" s="1045">
        <v>55030</v>
      </c>
      <c r="D275" s="1046" t="s">
        <v>1195</v>
      </c>
      <c r="E275" s="1047" t="s">
        <v>1195</v>
      </c>
      <c r="F275" s="1047" t="s">
        <v>470</v>
      </c>
      <c r="G275" s="1047">
        <v>1</v>
      </c>
      <c r="H275" s="1047" t="s">
        <v>471</v>
      </c>
      <c r="I275" s="1048">
        <v>0.9</v>
      </c>
      <c r="J275" s="1056">
        <v>4</v>
      </c>
      <c r="K275" s="1047">
        <v>1.08</v>
      </c>
      <c r="L275" s="1047">
        <v>3</v>
      </c>
      <c r="M275" s="1047">
        <v>1</v>
      </c>
      <c r="N275" s="1047" t="s">
        <v>1195</v>
      </c>
      <c r="O275" s="1048" t="s">
        <v>1195</v>
      </c>
      <c r="P275" s="1081"/>
      <c r="Q275" s="1082"/>
      <c r="R275" s="1082"/>
      <c r="S275" s="1082"/>
      <c r="T275" s="1082"/>
      <c r="U275" s="1082"/>
      <c r="V275" s="1082"/>
      <c r="W275" s="1082"/>
      <c r="X275" s="2013"/>
      <c r="Y275" s="1493"/>
      <c r="Z275" s="1450"/>
      <c r="AA275" s="1494"/>
      <c r="AB275" s="1450"/>
      <c r="AC275" s="1494"/>
      <c r="AD275" s="1450"/>
      <c r="AE275" s="1483"/>
      <c r="AF275" s="1035"/>
      <c r="AG275" s="1036"/>
      <c r="AH275" s="1036"/>
      <c r="AI275" s="1036"/>
      <c r="AJ275" s="1036"/>
      <c r="AK275" s="1036"/>
      <c r="AL275" s="1036"/>
      <c r="AM275" s="1036"/>
      <c r="AN275" s="1036"/>
      <c r="AO275" s="1036"/>
      <c r="AP275" s="1036"/>
      <c r="AQ275" s="1036"/>
      <c r="AR275" s="1036"/>
      <c r="AS275" s="1036"/>
      <c r="AT275" s="1036"/>
      <c r="AU275" s="1036"/>
      <c r="AV275" s="1036"/>
      <c r="AW275" s="1036"/>
      <c r="AX275" s="1036"/>
      <c r="AY275" s="1037"/>
    </row>
    <row r="276" spans="2:51" ht="12.75" customHeight="1">
      <c r="B276" s="2110" t="str">
        <f>+$B$10</f>
        <v>劇場型建物</v>
      </c>
      <c r="C276" s="2463">
        <v>55030</v>
      </c>
      <c r="D276" s="1060" t="s">
        <v>1195</v>
      </c>
      <c r="E276" s="1061" t="s">
        <v>1195</v>
      </c>
      <c r="F276" s="1061" t="s">
        <v>470</v>
      </c>
      <c r="G276" s="1061">
        <v>1</v>
      </c>
      <c r="H276" s="1061" t="s">
        <v>471</v>
      </c>
      <c r="I276" s="1062">
        <v>0.9</v>
      </c>
      <c r="J276" s="1063">
        <v>4</v>
      </c>
      <c r="K276" s="1061">
        <v>1.08</v>
      </c>
      <c r="L276" s="1061">
        <v>3</v>
      </c>
      <c r="M276" s="1061">
        <v>1</v>
      </c>
      <c r="N276" s="1061" t="s">
        <v>1195</v>
      </c>
      <c r="O276" s="1062" t="s">
        <v>1195</v>
      </c>
      <c r="P276" s="1857"/>
      <c r="Q276" s="1858"/>
      <c r="R276" s="1858"/>
      <c r="S276" s="1858"/>
      <c r="T276" s="1858"/>
      <c r="U276" s="1858"/>
      <c r="V276" s="1858"/>
      <c r="W276" s="1858"/>
      <c r="X276" s="2016"/>
      <c r="Y276" s="1495"/>
      <c r="Z276" s="1496"/>
      <c r="AA276" s="1497"/>
      <c r="AB276" s="1496"/>
      <c r="AC276" s="1497"/>
      <c r="AD276" s="1496"/>
      <c r="AE276" s="1486"/>
      <c r="AF276" s="1035"/>
      <c r="AG276" s="1036"/>
      <c r="AH276" s="1036"/>
      <c r="AI276" s="1036"/>
      <c r="AJ276" s="1036"/>
      <c r="AK276" s="1036"/>
      <c r="AL276" s="1036"/>
      <c r="AM276" s="1036"/>
      <c r="AN276" s="1036"/>
      <c r="AO276" s="1036"/>
      <c r="AP276" s="1036"/>
      <c r="AQ276" s="1036"/>
      <c r="AR276" s="1036"/>
      <c r="AS276" s="1036"/>
      <c r="AT276" s="1036"/>
      <c r="AU276" s="1036"/>
      <c r="AV276" s="1036"/>
      <c r="AW276" s="1036"/>
      <c r="AX276" s="1036"/>
      <c r="AY276" s="1037"/>
    </row>
    <row r="277" spans="2:51" s="2001" customFormat="1" ht="12.75" customHeight="1">
      <c r="B277" s="1008" t="s">
        <v>359</v>
      </c>
      <c r="C277" s="1503" t="s">
        <v>2172</v>
      </c>
      <c r="D277" s="1481" t="s">
        <v>2163</v>
      </c>
      <c r="E277" s="1015"/>
      <c r="F277" s="1015"/>
      <c r="G277" s="1015"/>
      <c r="H277" s="1015"/>
      <c r="I277" s="1016"/>
      <c r="J277" s="3866" t="s">
        <v>205</v>
      </c>
      <c r="K277" s="3867"/>
      <c r="L277" s="3867"/>
      <c r="M277" s="3867"/>
      <c r="N277" s="3867"/>
      <c r="O277" s="3867"/>
      <c r="P277" s="3866" t="s">
        <v>2164</v>
      </c>
      <c r="Q277" s="3867"/>
      <c r="R277" s="3867"/>
      <c r="S277" s="3867"/>
      <c r="T277" s="3867"/>
      <c r="U277" s="3868"/>
      <c r="V277" s="3866" t="s">
        <v>2165</v>
      </c>
      <c r="W277" s="3867"/>
      <c r="X277" s="3867"/>
      <c r="Y277" s="3867"/>
      <c r="Z277" s="3867"/>
      <c r="AA277" s="3868"/>
      <c r="AB277" s="3866" t="s">
        <v>2173</v>
      </c>
      <c r="AC277" s="3867"/>
      <c r="AD277" s="3867"/>
      <c r="AE277" s="3867"/>
      <c r="AF277" s="3867"/>
      <c r="AG277" s="3868"/>
      <c r="AH277" s="2037"/>
      <c r="AI277" s="2037"/>
      <c r="AJ277" s="2037"/>
      <c r="AK277" s="2037"/>
      <c r="AL277" s="2037"/>
      <c r="AM277" s="2037"/>
      <c r="AN277" s="2037"/>
      <c r="AO277" s="2037"/>
      <c r="AP277" s="2037"/>
      <c r="AQ277" s="2037"/>
      <c r="AR277" s="2037"/>
      <c r="AS277" s="2037"/>
      <c r="AT277" s="2019"/>
    </row>
    <row r="278" spans="2:51" s="2001" customFormat="1" ht="12.75" customHeight="1">
      <c r="B278" s="1023"/>
      <c r="C278" s="1024" t="s">
        <v>2179</v>
      </c>
      <c r="D278" s="1029" t="s">
        <v>366</v>
      </c>
      <c r="E278" s="1030"/>
      <c r="F278" s="1030" t="s">
        <v>367</v>
      </c>
      <c r="G278" s="1030"/>
      <c r="H278" s="1030" t="s">
        <v>368</v>
      </c>
      <c r="I278" s="1031"/>
      <c r="J278" s="1028" t="s">
        <v>366</v>
      </c>
      <c r="K278" s="1029"/>
      <c r="L278" s="1030" t="s">
        <v>367</v>
      </c>
      <c r="M278" s="1030"/>
      <c r="N278" s="3862" t="s">
        <v>368</v>
      </c>
      <c r="O278" s="3899"/>
      <c r="P278" s="1028" t="s">
        <v>366</v>
      </c>
      <c r="Q278" s="1029"/>
      <c r="R278" s="1030" t="s">
        <v>367</v>
      </c>
      <c r="S278" s="1030"/>
      <c r="T278" s="3862" t="s">
        <v>368</v>
      </c>
      <c r="U278" s="3864"/>
      <c r="V278" s="3865" t="s">
        <v>366</v>
      </c>
      <c r="W278" s="3864"/>
      <c r="X278" s="3862" t="s">
        <v>367</v>
      </c>
      <c r="Y278" s="3864"/>
      <c r="Z278" s="3862" t="s">
        <v>368</v>
      </c>
      <c r="AA278" s="3863"/>
      <c r="AB278" s="3865" t="s">
        <v>366</v>
      </c>
      <c r="AC278" s="3864"/>
      <c r="AD278" s="3862" t="s">
        <v>367</v>
      </c>
      <c r="AE278" s="3864"/>
      <c r="AF278" s="3862" t="s">
        <v>368</v>
      </c>
      <c r="AG278" s="3863"/>
      <c r="AH278" s="1134"/>
      <c r="AI278" s="1134"/>
      <c r="AJ278" s="1134"/>
      <c r="AK278" s="1134"/>
      <c r="AL278" s="1134"/>
      <c r="AM278" s="1134"/>
      <c r="AN278" s="1134"/>
      <c r="AO278" s="1134"/>
      <c r="AP278" s="1134"/>
      <c r="AQ278" s="1134"/>
      <c r="AR278" s="1134"/>
      <c r="AS278" s="2039"/>
      <c r="AT278" s="2020"/>
    </row>
    <row r="279" spans="2:51" s="2001" customFormat="1" ht="12.75" customHeight="1">
      <c r="B279" s="2108" t="str">
        <f>+$B$6</f>
        <v>事務所・店舗・百貨店</v>
      </c>
      <c r="C279" s="2258" t="s">
        <v>1341</v>
      </c>
      <c r="D279" s="1038" t="s">
        <v>2166</v>
      </c>
      <c r="E279" s="1039" t="s">
        <v>979</v>
      </c>
      <c r="F279" s="1039" t="s">
        <v>979</v>
      </c>
      <c r="G279" s="1039" t="s">
        <v>979</v>
      </c>
      <c r="H279" s="1039" t="s">
        <v>979</v>
      </c>
      <c r="I279" s="1042" t="s">
        <v>979</v>
      </c>
      <c r="J279" s="1072" t="s">
        <v>979</v>
      </c>
      <c r="K279" s="1073" t="s">
        <v>979</v>
      </c>
      <c r="L279" s="1073" t="s">
        <v>979</v>
      </c>
      <c r="M279" s="1073" t="s">
        <v>979</v>
      </c>
      <c r="N279" s="1073" t="s">
        <v>979</v>
      </c>
      <c r="O279" s="2072" t="s">
        <v>979</v>
      </c>
      <c r="P279" s="1072" t="s">
        <v>979</v>
      </c>
      <c r="Q279" s="1073" t="s">
        <v>979</v>
      </c>
      <c r="R279" s="1074" t="s">
        <v>979</v>
      </c>
      <c r="S279" s="1150" t="s">
        <v>979</v>
      </c>
      <c r="T279" s="1150" t="s">
        <v>979</v>
      </c>
      <c r="U279" s="1039" t="s">
        <v>979</v>
      </c>
      <c r="V279" s="1072" t="s">
        <v>979</v>
      </c>
      <c r="W279" s="1038" t="s">
        <v>979</v>
      </c>
      <c r="X279" s="1039" t="s">
        <v>979</v>
      </c>
      <c r="Y279" s="1039" t="s">
        <v>979</v>
      </c>
      <c r="Z279" s="1039" t="s">
        <v>979</v>
      </c>
      <c r="AA279" s="1040" t="s">
        <v>979</v>
      </c>
      <c r="AB279" s="1072" t="s">
        <v>979</v>
      </c>
      <c r="AC279" s="1038" t="s">
        <v>979</v>
      </c>
      <c r="AD279" s="1039" t="s">
        <v>979</v>
      </c>
      <c r="AE279" s="1039" t="s">
        <v>979</v>
      </c>
      <c r="AF279" s="1039" t="s">
        <v>979</v>
      </c>
      <c r="AG279" s="1040" t="s">
        <v>979</v>
      </c>
      <c r="AH279" s="1082"/>
      <c r="AI279" s="1082"/>
      <c r="AJ279" s="1082"/>
      <c r="AK279" s="1082"/>
      <c r="AL279" s="1082"/>
      <c r="AM279" s="1101"/>
      <c r="AN279" s="1082"/>
      <c r="AO279" s="1101"/>
      <c r="AP279" s="1082"/>
      <c r="AQ279" s="1101"/>
      <c r="AR279" s="1082"/>
      <c r="AS279" s="1101"/>
      <c r="AT279" s="2013"/>
    </row>
    <row r="280" spans="2:51" s="2001" customFormat="1" ht="12.75" customHeight="1">
      <c r="B280" s="2109" t="str">
        <f>+$B$7</f>
        <v>住宅・アパート</v>
      </c>
      <c r="C280" s="1045">
        <v>5240</v>
      </c>
      <c r="D280" s="2470">
        <v>30</v>
      </c>
      <c r="E280" s="1047">
        <v>1.2</v>
      </c>
      <c r="F280" s="2471">
        <v>70</v>
      </c>
      <c r="G280" s="1047">
        <v>1</v>
      </c>
      <c r="H280" s="1047" t="s">
        <v>59</v>
      </c>
      <c r="I280" s="1047" t="s">
        <v>59</v>
      </c>
      <c r="J280" s="2472">
        <v>10</v>
      </c>
      <c r="K280" s="1047">
        <v>1.1000000000000001</v>
      </c>
      <c r="L280" s="2471">
        <v>3</v>
      </c>
      <c r="M280" s="1047">
        <v>1</v>
      </c>
      <c r="N280" s="1047" t="s">
        <v>2295</v>
      </c>
      <c r="O280" s="1053">
        <v>1</v>
      </c>
      <c r="P280" s="1056" t="s">
        <v>2167</v>
      </c>
      <c r="Q280" s="1047">
        <v>1.3</v>
      </c>
      <c r="R280" s="1048" t="s">
        <v>2168</v>
      </c>
      <c r="S280" s="2473">
        <v>1</v>
      </c>
      <c r="T280" s="1154" t="s">
        <v>2169</v>
      </c>
      <c r="U280" s="1047">
        <v>0.8</v>
      </c>
      <c r="V280" s="1056" t="s">
        <v>2170</v>
      </c>
      <c r="W280" s="1046">
        <v>1.5</v>
      </c>
      <c r="X280" s="1047" t="s">
        <v>2168</v>
      </c>
      <c r="Y280" s="1047">
        <v>1</v>
      </c>
      <c r="Z280" s="1047" t="s">
        <v>2171</v>
      </c>
      <c r="AA280" s="1048">
        <v>0.7</v>
      </c>
      <c r="AB280" s="1056" t="s">
        <v>2174</v>
      </c>
      <c r="AC280" s="1046" t="s">
        <v>2175</v>
      </c>
      <c r="AD280" s="1047" t="s">
        <v>2176</v>
      </c>
      <c r="AE280" s="1047">
        <v>1</v>
      </c>
      <c r="AF280" s="1047" t="s">
        <v>2177</v>
      </c>
      <c r="AG280" s="1048">
        <v>0.95</v>
      </c>
      <c r="AH280" s="1082"/>
      <c r="AI280" s="1082"/>
      <c r="AJ280" s="1082"/>
      <c r="AK280" s="1082"/>
      <c r="AL280" s="1082"/>
      <c r="AM280" s="1101"/>
      <c r="AN280" s="2069"/>
      <c r="AO280" s="1101"/>
      <c r="AP280" s="2069"/>
      <c r="AQ280" s="1101"/>
      <c r="AR280" s="2069"/>
      <c r="AS280" s="2070"/>
      <c r="AT280" s="2071"/>
    </row>
    <row r="281" spans="2:51" s="2001" customFormat="1" ht="12.75" customHeight="1">
      <c r="B281" s="2109" t="str">
        <f>+$B$8</f>
        <v>病院・ホテル</v>
      </c>
      <c r="C281" s="1045" t="s">
        <v>1341</v>
      </c>
      <c r="D281" s="1046" t="s">
        <v>979</v>
      </c>
      <c r="E281" s="1047" t="s">
        <v>979</v>
      </c>
      <c r="F281" s="1047" t="s">
        <v>979</v>
      </c>
      <c r="G281" s="1047" t="s">
        <v>979</v>
      </c>
      <c r="H281" s="1047" t="s">
        <v>979</v>
      </c>
      <c r="I281" s="1053" t="s">
        <v>979</v>
      </c>
      <c r="J281" s="1056" t="s">
        <v>979</v>
      </c>
      <c r="K281" s="1047" t="s">
        <v>979</v>
      </c>
      <c r="L281" s="1047" t="s">
        <v>979</v>
      </c>
      <c r="M281" s="1047" t="s">
        <v>979</v>
      </c>
      <c r="N281" s="1047" t="s">
        <v>979</v>
      </c>
      <c r="O281" s="1053" t="s">
        <v>979</v>
      </c>
      <c r="P281" s="1056" t="s">
        <v>979</v>
      </c>
      <c r="Q281" s="1047" t="s">
        <v>979</v>
      </c>
      <c r="R281" s="1048" t="s">
        <v>979</v>
      </c>
      <c r="S281" s="1154" t="s">
        <v>979</v>
      </c>
      <c r="T281" s="1154" t="s">
        <v>979</v>
      </c>
      <c r="U281" s="1047" t="s">
        <v>979</v>
      </c>
      <c r="V281" s="1056" t="s">
        <v>979</v>
      </c>
      <c r="W281" s="1046" t="s">
        <v>979</v>
      </c>
      <c r="X281" s="1047" t="s">
        <v>979</v>
      </c>
      <c r="Y281" s="1047" t="s">
        <v>979</v>
      </c>
      <c r="Z281" s="1047" t="s">
        <v>979</v>
      </c>
      <c r="AA281" s="1048" t="s">
        <v>979</v>
      </c>
      <c r="AB281" s="1056" t="s">
        <v>979</v>
      </c>
      <c r="AC281" s="1046" t="s">
        <v>979</v>
      </c>
      <c r="AD281" s="1047" t="s">
        <v>979</v>
      </c>
      <c r="AE281" s="1047" t="s">
        <v>979</v>
      </c>
      <c r="AF281" s="1047" t="s">
        <v>979</v>
      </c>
      <c r="AG281" s="1048" t="s">
        <v>979</v>
      </c>
      <c r="AH281" s="1082"/>
      <c r="AI281" s="1082"/>
      <c r="AJ281" s="1082"/>
      <c r="AK281" s="1082"/>
      <c r="AL281" s="1082"/>
      <c r="AM281" s="1101"/>
      <c r="AN281" s="1082"/>
      <c r="AO281" s="1101"/>
      <c r="AP281" s="1082"/>
      <c r="AQ281" s="1101"/>
      <c r="AR281" s="1082"/>
      <c r="AS281" s="1101"/>
      <c r="AT281" s="2013"/>
    </row>
    <row r="282" spans="2:51" s="2001" customFormat="1" ht="12.75" customHeight="1">
      <c r="B282" s="2109" t="str">
        <f>+$B$9</f>
        <v>工場・倉庫・市場</v>
      </c>
      <c r="C282" s="1045" t="s">
        <v>1341</v>
      </c>
      <c r="D282" s="1046" t="s">
        <v>979</v>
      </c>
      <c r="E282" s="1047" t="s">
        <v>979</v>
      </c>
      <c r="F282" s="1047" t="s">
        <v>979</v>
      </c>
      <c r="G282" s="1047" t="s">
        <v>979</v>
      </c>
      <c r="H282" s="1047" t="s">
        <v>979</v>
      </c>
      <c r="I282" s="1053" t="s">
        <v>979</v>
      </c>
      <c r="J282" s="1056" t="s">
        <v>979</v>
      </c>
      <c r="K282" s="1047" t="s">
        <v>979</v>
      </c>
      <c r="L282" s="1047" t="s">
        <v>979</v>
      </c>
      <c r="M282" s="1047" t="s">
        <v>979</v>
      </c>
      <c r="N282" s="1047" t="s">
        <v>979</v>
      </c>
      <c r="O282" s="1053" t="s">
        <v>979</v>
      </c>
      <c r="P282" s="1056" t="s">
        <v>979</v>
      </c>
      <c r="Q282" s="1047" t="s">
        <v>979</v>
      </c>
      <c r="R282" s="1048" t="s">
        <v>979</v>
      </c>
      <c r="S282" s="1154" t="s">
        <v>979</v>
      </c>
      <c r="T282" s="1154" t="s">
        <v>979</v>
      </c>
      <c r="U282" s="1047" t="s">
        <v>979</v>
      </c>
      <c r="V282" s="1056" t="s">
        <v>979</v>
      </c>
      <c r="W282" s="1046" t="s">
        <v>979</v>
      </c>
      <c r="X282" s="1047" t="s">
        <v>979</v>
      </c>
      <c r="Y282" s="1047" t="s">
        <v>979</v>
      </c>
      <c r="Z282" s="1047" t="s">
        <v>979</v>
      </c>
      <c r="AA282" s="1048" t="s">
        <v>979</v>
      </c>
      <c r="AB282" s="1056" t="s">
        <v>979</v>
      </c>
      <c r="AC282" s="1046" t="s">
        <v>979</v>
      </c>
      <c r="AD282" s="1047" t="s">
        <v>979</v>
      </c>
      <c r="AE282" s="1047" t="s">
        <v>979</v>
      </c>
      <c r="AF282" s="1047" t="s">
        <v>979</v>
      </c>
      <c r="AG282" s="1048" t="s">
        <v>979</v>
      </c>
      <c r="AH282" s="1082"/>
      <c r="AI282" s="1082"/>
      <c r="AJ282" s="1082"/>
      <c r="AK282" s="1082"/>
      <c r="AL282" s="1082"/>
      <c r="AM282" s="1101"/>
      <c r="AN282" s="1082"/>
      <c r="AO282" s="1101"/>
      <c r="AP282" s="1082"/>
      <c r="AQ282" s="1101"/>
      <c r="AR282" s="1082"/>
      <c r="AS282" s="1101"/>
      <c r="AT282" s="2013"/>
    </row>
    <row r="283" spans="2:51" s="2001" customFormat="1" ht="12.75" customHeight="1">
      <c r="B283" s="2110" t="str">
        <f>+$B$10</f>
        <v>劇場型建物</v>
      </c>
      <c r="C283" s="1102" t="s">
        <v>1341</v>
      </c>
      <c r="D283" s="1060" t="s">
        <v>979</v>
      </c>
      <c r="E283" s="1061" t="s">
        <v>979</v>
      </c>
      <c r="F283" s="1061" t="s">
        <v>979</v>
      </c>
      <c r="G283" s="1061" t="s">
        <v>979</v>
      </c>
      <c r="H283" s="1061" t="s">
        <v>979</v>
      </c>
      <c r="I283" s="1064" t="s">
        <v>979</v>
      </c>
      <c r="J283" s="1075" t="s">
        <v>979</v>
      </c>
      <c r="K283" s="1076" t="s">
        <v>979</v>
      </c>
      <c r="L283" s="1076" t="s">
        <v>979</v>
      </c>
      <c r="M283" s="1076" t="s">
        <v>979</v>
      </c>
      <c r="N283" s="1076" t="s">
        <v>979</v>
      </c>
      <c r="O283" s="1159" t="s">
        <v>979</v>
      </c>
      <c r="P283" s="1075" t="s">
        <v>979</v>
      </c>
      <c r="Q283" s="1076" t="s">
        <v>979</v>
      </c>
      <c r="R283" s="1077" t="s">
        <v>979</v>
      </c>
      <c r="S283" s="2073" t="s">
        <v>979</v>
      </c>
      <c r="T283" s="2073" t="s">
        <v>979</v>
      </c>
      <c r="U283" s="1076" t="s">
        <v>979</v>
      </c>
      <c r="V283" s="1075" t="s">
        <v>979</v>
      </c>
      <c r="W283" s="2021" t="s">
        <v>979</v>
      </c>
      <c r="X283" s="1076" t="s">
        <v>979</v>
      </c>
      <c r="Y283" s="1076" t="s">
        <v>979</v>
      </c>
      <c r="Z283" s="1076" t="s">
        <v>979</v>
      </c>
      <c r="AA283" s="1077" t="s">
        <v>979</v>
      </c>
      <c r="AB283" s="1075" t="s">
        <v>979</v>
      </c>
      <c r="AC283" s="2021" t="s">
        <v>979</v>
      </c>
      <c r="AD283" s="1076" t="s">
        <v>979</v>
      </c>
      <c r="AE283" s="1076" t="s">
        <v>979</v>
      </c>
      <c r="AF283" s="1076" t="s">
        <v>979</v>
      </c>
      <c r="AG283" s="1077" t="s">
        <v>979</v>
      </c>
      <c r="AH283" s="1858"/>
      <c r="AI283" s="1858"/>
      <c r="AJ283" s="1858"/>
      <c r="AK283" s="1858"/>
      <c r="AL283" s="1858"/>
      <c r="AM283" s="2035"/>
      <c r="AN283" s="1858"/>
      <c r="AO283" s="2035"/>
      <c r="AP283" s="1858"/>
      <c r="AQ283" s="2035"/>
      <c r="AR283" s="1858"/>
      <c r="AS283" s="2035"/>
      <c r="AT283" s="2016"/>
    </row>
    <row r="284" spans="2:51" s="2001" customFormat="1" ht="12.75" customHeight="1">
      <c r="B284" s="1008" t="s">
        <v>359</v>
      </c>
      <c r="C284" s="1503" t="s">
        <v>2162</v>
      </c>
      <c r="D284" s="1481" t="s">
        <v>2163</v>
      </c>
      <c r="E284" s="1015"/>
      <c r="F284" s="1015"/>
      <c r="G284" s="1015"/>
      <c r="H284" s="1015"/>
      <c r="I284" s="1016"/>
      <c r="J284" s="3866" t="s">
        <v>205</v>
      </c>
      <c r="K284" s="3867"/>
      <c r="L284" s="3867"/>
      <c r="M284" s="3867"/>
      <c r="N284" s="3867"/>
      <c r="O284" s="3867"/>
      <c r="P284" s="3866" t="s">
        <v>2164</v>
      </c>
      <c r="Q284" s="3867"/>
      <c r="R284" s="3867"/>
      <c r="S284" s="3867"/>
      <c r="T284" s="3867"/>
      <c r="U284" s="3867"/>
      <c r="V284" s="3866" t="s">
        <v>2165</v>
      </c>
      <c r="W284" s="3867"/>
      <c r="X284" s="3867"/>
      <c r="Y284" s="3867"/>
      <c r="Z284" s="3867"/>
      <c r="AA284" s="3868"/>
      <c r="AB284" s="3866" t="s">
        <v>2173</v>
      </c>
      <c r="AC284" s="3867"/>
      <c r="AD284" s="3867"/>
      <c r="AE284" s="3867"/>
      <c r="AF284" s="3867"/>
      <c r="AG284" s="3868"/>
      <c r="AH284" s="2037"/>
      <c r="AI284" s="2037"/>
      <c r="AJ284" s="2037"/>
      <c r="AK284" s="2037"/>
      <c r="AL284" s="2037"/>
      <c r="AM284" s="2037"/>
      <c r="AN284" s="2037"/>
      <c r="AO284" s="2037"/>
      <c r="AP284" s="2037"/>
      <c r="AQ284" s="2037"/>
      <c r="AR284" s="2037"/>
      <c r="AS284" s="2037"/>
      <c r="AT284" s="2019"/>
    </row>
    <row r="285" spans="2:51" s="2001" customFormat="1" ht="12.75" customHeight="1">
      <c r="B285" s="1023"/>
      <c r="C285" s="1024" t="s">
        <v>2178</v>
      </c>
      <c r="D285" s="1029" t="s">
        <v>366</v>
      </c>
      <c r="E285" s="1030"/>
      <c r="F285" s="1030" t="s">
        <v>367</v>
      </c>
      <c r="G285" s="1030"/>
      <c r="H285" s="1030" t="s">
        <v>368</v>
      </c>
      <c r="I285" s="1031"/>
      <c r="J285" s="1028" t="s">
        <v>366</v>
      </c>
      <c r="K285" s="1029"/>
      <c r="L285" s="1030" t="s">
        <v>367</v>
      </c>
      <c r="M285" s="1030"/>
      <c r="N285" s="3862" t="s">
        <v>368</v>
      </c>
      <c r="O285" s="3899"/>
      <c r="P285" s="1028" t="s">
        <v>366</v>
      </c>
      <c r="Q285" s="1029"/>
      <c r="R285" s="1030" t="s">
        <v>367</v>
      </c>
      <c r="S285" s="1030"/>
      <c r="T285" s="3862" t="s">
        <v>368</v>
      </c>
      <c r="U285" s="3899"/>
      <c r="V285" s="3865" t="s">
        <v>366</v>
      </c>
      <c r="W285" s="3864"/>
      <c r="X285" s="3862" t="s">
        <v>367</v>
      </c>
      <c r="Y285" s="3864"/>
      <c r="Z285" s="3862" t="s">
        <v>368</v>
      </c>
      <c r="AA285" s="3863"/>
      <c r="AB285" s="3865" t="s">
        <v>366</v>
      </c>
      <c r="AC285" s="3864"/>
      <c r="AD285" s="3862" t="s">
        <v>367</v>
      </c>
      <c r="AE285" s="3864"/>
      <c r="AF285" s="3862" t="s">
        <v>368</v>
      </c>
      <c r="AG285" s="3863"/>
      <c r="AH285" s="1134"/>
      <c r="AI285" s="1134"/>
      <c r="AJ285" s="1134"/>
      <c r="AK285" s="1134"/>
      <c r="AL285" s="1134"/>
      <c r="AM285" s="1134"/>
      <c r="AN285" s="1134"/>
      <c r="AO285" s="1134"/>
      <c r="AP285" s="1134"/>
      <c r="AQ285" s="1134"/>
      <c r="AR285" s="1134"/>
      <c r="AS285" s="2039"/>
      <c r="AT285" s="2020"/>
    </row>
    <row r="286" spans="2:51" s="2001" customFormat="1" ht="12.75" customHeight="1">
      <c r="B286" s="2108" t="str">
        <f>+$B$6</f>
        <v>事務所・店舗・百貨店</v>
      </c>
      <c r="C286" s="2258" t="s">
        <v>1341</v>
      </c>
      <c r="D286" s="1038" t="s">
        <v>2166</v>
      </c>
      <c r="E286" s="1039" t="s">
        <v>979</v>
      </c>
      <c r="F286" s="1039" t="s">
        <v>979</v>
      </c>
      <c r="G286" s="1039" t="s">
        <v>979</v>
      </c>
      <c r="H286" s="1039" t="s">
        <v>979</v>
      </c>
      <c r="I286" s="1042" t="s">
        <v>979</v>
      </c>
      <c r="J286" s="1072" t="s">
        <v>979</v>
      </c>
      <c r="K286" s="1073" t="s">
        <v>979</v>
      </c>
      <c r="L286" s="1073" t="s">
        <v>979</v>
      </c>
      <c r="M286" s="1073" t="s">
        <v>979</v>
      </c>
      <c r="N286" s="1073" t="s">
        <v>979</v>
      </c>
      <c r="O286" s="2072" t="s">
        <v>979</v>
      </c>
      <c r="P286" s="1072" t="s">
        <v>979</v>
      </c>
      <c r="Q286" s="1073" t="s">
        <v>979</v>
      </c>
      <c r="R286" s="1073" t="s">
        <v>979</v>
      </c>
      <c r="S286" s="1150" t="s">
        <v>979</v>
      </c>
      <c r="T286" s="1150" t="s">
        <v>979</v>
      </c>
      <c r="U286" s="1042" t="s">
        <v>979</v>
      </c>
      <c r="V286" s="1072" t="s">
        <v>979</v>
      </c>
      <c r="W286" s="1038" t="s">
        <v>979</v>
      </c>
      <c r="X286" s="1039" t="s">
        <v>979</v>
      </c>
      <c r="Y286" s="1039" t="s">
        <v>979</v>
      </c>
      <c r="Z286" s="1039" t="s">
        <v>979</v>
      </c>
      <c r="AA286" s="1040" t="s">
        <v>979</v>
      </c>
      <c r="AB286" s="1072" t="s">
        <v>979</v>
      </c>
      <c r="AC286" s="1038" t="s">
        <v>979</v>
      </c>
      <c r="AD286" s="1039" t="s">
        <v>979</v>
      </c>
      <c r="AE286" s="1039" t="s">
        <v>979</v>
      </c>
      <c r="AF286" s="1039" t="s">
        <v>979</v>
      </c>
      <c r="AG286" s="1040" t="s">
        <v>979</v>
      </c>
      <c r="AH286" s="1082"/>
      <c r="AI286" s="1082"/>
      <c r="AJ286" s="1082"/>
      <c r="AK286" s="1082"/>
      <c r="AL286" s="1082"/>
      <c r="AM286" s="1101"/>
      <c r="AN286" s="1082"/>
      <c r="AO286" s="1101"/>
      <c r="AP286" s="1082"/>
      <c r="AQ286" s="1101"/>
      <c r="AR286" s="1082"/>
      <c r="AS286" s="1101"/>
      <c r="AT286" s="2013"/>
    </row>
    <row r="287" spans="2:51" s="2001" customFormat="1" ht="12.75" customHeight="1">
      <c r="B287" s="2109" t="str">
        <f>+$B$7</f>
        <v>住宅・アパート</v>
      </c>
      <c r="C287" s="1045">
        <v>6420</v>
      </c>
      <c r="D287" s="2470">
        <v>30</v>
      </c>
      <c r="E287" s="1047">
        <v>1.2</v>
      </c>
      <c r="F287" s="2471">
        <v>70</v>
      </c>
      <c r="G287" s="1047">
        <v>1</v>
      </c>
      <c r="H287" s="1047" t="s">
        <v>59</v>
      </c>
      <c r="I287" s="1047" t="s">
        <v>59</v>
      </c>
      <c r="J287" s="2472">
        <v>10</v>
      </c>
      <c r="K287" s="1047">
        <v>1.1000000000000001</v>
      </c>
      <c r="L287" s="2471">
        <v>3</v>
      </c>
      <c r="M287" s="1047">
        <v>1</v>
      </c>
      <c r="N287" s="1047" t="s">
        <v>1195</v>
      </c>
      <c r="O287" s="1053" t="s">
        <v>1195</v>
      </c>
      <c r="P287" s="1056" t="s">
        <v>2167</v>
      </c>
      <c r="Q287" s="1047">
        <v>1.3</v>
      </c>
      <c r="R287" s="1047" t="s">
        <v>2168</v>
      </c>
      <c r="S287" s="2473">
        <v>1</v>
      </c>
      <c r="T287" s="1154" t="s">
        <v>2169</v>
      </c>
      <c r="U287" s="1053">
        <v>0.8</v>
      </c>
      <c r="V287" s="1056" t="s">
        <v>2170</v>
      </c>
      <c r="W287" s="1046">
        <v>1.5</v>
      </c>
      <c r="X287" s="1047" t="s">
        <v>2168</v>
      </c>
      <c r="Y287" s="1047">
        <v>1</v>
      </c>
      <c r="Z287" s="1047" t="s">
        <v>2171</v>
      </c>
      <c r="AA287" s="1048">
        <v>0.7</v>
      </c>
      <c r="AB287" s="1056" t="s">
        <v>2174</v>
      </c>
      <c r="AC287" s="1046" t="s">
        <v>2175</v>
      </c>
      <c r="AD287" s="1047" t="s">
        <v>2176</v>
      </c>
      <c r="AE287" s="1047">
        <v>1</v>
      </c>
      <c r="AF287" s="1047" t="s">
        <v>2177</v>
      </c>
      <c r="AG287" s="1048">
        <v>0.95</v>
      </c>
      <c r="AH287" s="1082"/>
      <c r="AI287" s="1082"/>
      <c r="AJ287" s="1082"/>
      <c r="AK287" s="1082"/>
      <c r="AL287" s="1082"/>
      <c r="AM287" s="1101"/>
      <c r="AN287" s="2069"/>
      <c r="AO287" s="1101"/>
      <c r="AP287" s="2069"/>
      <c r="AQ287" s="1101"/>
      <c r="AR287" s="2069"/>
      <c r="AS287" s="2070"/>
      <c r="AT287" s="2071"/>
    </row>
    <row r="288" spans="2:51" s="2001" customFormat="1" ht="12.75" customHeight="1">
      <c r="B288" s="2109" t="str">
        <f>+$B$8</f>
        <v>病院・ホテル</v>
      </c>
      <c r="C288" s="1045" t="s">
        <v>1341</v>
      </c>
      <c r="D288" s="1046" t="s">
        <v>979</v>
      </c>
      <c r="E288" s="1047" t="s">
        <v>979</v>
      </c>
      <c r="F288" s="1047" t="s">
        <v>979</v>
      </c>
      <c r="G288" s="1047" t="s">
        <v>979</v>
      </c>
      <c r="H288" s="1047" t="s">
        <v>979</v>
      </c>
      <c r="I288" s="1053" t="s">
        <v>979</v>
      </c>
      <c r="J288" s="1516" t="s">
        <v>979</v>
      </c>
      <c r="K288" s="1047" t="s">
        <v>979</v>
      </c>
      <c r="L288" s="1047" t="s">
        <v>979</v>
      </c>
      <c r="M288" s="1047" t="s">
        <v>979</v>
      </c>
      <c r="N288" s="1047" t="s">
        <v>979</v>
      </c>
      <c r="O288" s="1053" t="s">
        <v>979</v>
      </c>
      <c r="P288" s="1056" t="s">
        <v>979</v>
      </c>
      <c r="Q288" s="1047" t="s">
        <v>979</v>
      </c>
      <c r="R288" s="1047" t="s">
        <v>979</v>
      </c>
      <c r="S288" s="1154" t="s">
        <v>979</v>
      </c>
      <c r="T288" s="1154" t="s">
        <v>979</v>
      </c>
      <c r="U288" s="1053" t="s">
        <v>979</v>
      </c>
      <c r="V288" s="1056" t="s">
        <v>979</v>
      </c>
      <c r="W288" s="1046" t="s">
        <v>979</v>
      </c>
      <c r="X288" s="1047" t="s">
        <v>979</v>
      </c>
      <c r="Y288" s="1047" t="s">
        <v>979</v>
      </c>
      <c r="Z288" s="1047" t="s">
        <v>979</v>
      </c>
      <c r="AA288" s="1048" t="s">
        <v>979</v>
      </c>
      <c r="AB288" s="1056" t="s">
        <v>979</v>
      </c>
      <c r="AC288" s="1046" t="s">
        <v>979</v>
      </c>
      <c r="AD288" s="1047" t="s">
        <v>979</v>
      </c>
      <c r="AE288" s="1047" t="s">
        <v>979</v>
      </c>
      <c r="AF288" s="1047" t="s">
        <v>979</v>
      </c>
      <c r="AG288" s="1048" t="s">
        <v>979</v>
      </c>
      <c r="AH288" s="1082"/>
      <c r="AI288" s="1082"/>
      <c r="AJ288" s="1082"/>
      <c r="AK288" s="1082"/>
      <c r="AL288" s="1082"/>
      <c r="AM288" s="1101"/>
      <c r="AN288" s="1082"/>
      <c r="AO288" s="1101"/>
      <c r="AP288" s="1082"/>
      <c r="AQ288" s="1101"/>
      <c r="AR288" s="1082"/>
      <c r="AS288" s="1101"/>
      <c r="AT288" s="2013"/>
    </row>
    <row r="289" spans="2:46" s="2001" customFormat="1" ht="12.75" customHeight="1">
      <c r="B289" s="2109" t="str">
        <f>+$B$9</f>
        <v>工場・倉庫・市場</v>
      </c>
      <c r="C289" s="1045" t="s">
        <v>1341</v>
      </c>
      <c r="D289" s="1046" t="s">
        <v>979</v>
      </c>
      <c r="E289" s="1047" t="s">
        <v>979</v>
      </c>
      <c r="F289" s="1047" t="s">
        <v>979</v>
      </c>
      <c r="G289" s="1047" t="s">
        <v>979</v>
      </c>
      <c r="H289" s="1047" t="s">
        <v>979</v>
      </c>
      <c r="I289" s="1053" t="s">
        <v>979</v>
      </c>
      <c r="J289" s="1516" t="s">
        <v>979</v>
      </c>
      <c r="K289" s="1047" t="s">
        <v>979</v>
      </c>
      <c r="L289" s="1047" t="s">
        <v>979</v>
      </c>
      <c r="M289" s="1047" t="s">
        <v>979</v>
      </c>
      <c r="N289" s="1047" t="s">
        <v>979</v>
      </c>
      <c r="O289" s="1053" t="s">
        <v>979</v>
      </c>
      <c r="P289" s="1056" t="s">
        <v>979</v>
      </c>
      <c r="Q289" s="1047" t="s">
        <v>979</v>
      </c>
      <c r="R289" s="1047" t="s">
        <v>979</v>
      </c>
      <c r="S289" s="1154" t="s">
        <v>979</v>
      </c>
      <c r="T289" s="1154" t="s">
        <v>979</v>
      </c>
      <c r="U289" s="1053" t="s">
        <v>979</v>
      </c>
      <c r="V289" s="1056" t="s">
        <v>979</v>
      </c>
      <c r="W289" s="1046" t="s">
        <v>979</v>
      </c>
      <c r="X289" s="1047" t="s">
        <v>979</v>
      </c>
      <c r="Y289" s="1047" t="s">
        <v>979</v>
      </c>
      <c r="Z289" s="1047" t="s">
        <v>979</v>
      </c>
      <c r="AA289" s="1048" t="s">
        <v>979</v>
      </c>
      <c r="AB289" s="1056" t="s">
        <v>979</v>
      </c>
      <c r="AC289" s="1046" t="s">
        <v>979</v>
      </c>
      <c r="AD289" s="1047" t="s">
        <v>979</v>
      </c>
      <c r="AE289" s="1047" t="s">
        <v>979</v>
      </c>
      <c r="AF289" s="1047" t="s">
        <v>979</v>
      </c>
      <c r="AG289" s="1048" t="s">
        <v>979</v>
      </c>
      <c r="AH289" s="1082"/>
      <c r="AI289" s="1082"/>
      <c r="AJ289" s="1082"/>
      <c r="AK289" s="1082"/>
      <c r="AL289" s="1082"/>
      <c r="AM289" s="1101"/>
      <c r="AN289" s="1082"/>
      <c r="AO289" s="1101"/>
      <c r="AP289" s="1082"/>
      <c r="AQ289" s="1101"/>
      <c r="AR289" s="1082"/>
      <c r="AS289" s="1101"/>
      <c r="AT289" s="2013"/>
    </row>
    <row r="290" spans="2:46" s="2001" customFormat="1" ht="12.75" customHeight="1">
      <c r="B290" s="2110" t="str">
        <f>+$B$10</f>
        <v>劇場型建物</v>
      </c>
      <c r="C290" s="1102" t="s">
        <v>1341</v>
      </c>
      <c r="D290" s="1060" t="s">
        <v>979</v>
      </c>
      <c r="E290" s="1061" t="s">
        <v>979</v>
      </c>
      <c r="F290" s="1061" t="s">
        <v>979</v>
      </c>
      <c r="G290" s="1061" t="s">
        <v>979</v>
      </c>
      <c r="H290" s="1061" t="s">
        <v>979</v>
      </c>
      <c r="I290" s="1064" t="s">
        <v>979</v>
      </c>
      <c r="J290" s="1517" t="s">
        <v>979</v>
      </c>
      <c r="K290" s="1076" t="s">
        <v>979</v>
      </c>
      <c r="L290" s="1076" t="s">
        <v>979</v>
      </c>
      <c r="M290" s="1076" t="s">
        <v>979</v>
      </c>
      <c r="N290" s="1076" t="s">
        <v>979</v>
      </c>
      <c r="O290" s="1159" t="s">
        <v>979</v>
      </c>
      <c r="P290" s="1075" t="s">
        <v>979</v>
      </c>
      <c r="Q290" s="1076" t="s">
        <v>979</v>
      </c>
      <c r="R290" s="1076" t="s">
        <v>979</v>
      </c>
      <c r="S290" s="2073" t="s">
        <v>979</v>
      </c>
      <c r="T290" s="2073" t="s">
        <v>979</v>
      </c>
      <c r="U290" s="1159" t="s">
        <v>979</v>
      </c>
      <c r="V290" s="1075" t="s">
        <v>979</v>
      </c>
      <c r="W290" s="2021" t="s">
        <v>979</v>
      </c>
      <c r="X290" s="1076" t="s">
        <v>979</v>
      </c>
      <c r="Y290" s="1076" t="s">
        <v>979</v>
      </c>
      <c r="Z290" s="1076" t="s">
        <v>979</v>
      </c>
      <c r="AA290" s="1077" t="s">
        <v>979</v>
      </c>
      <c r="AB290" s="1075" t="s">
        <v>979</v>
      </c>
      <c r="AC290" s="2021" t="s">
        <v>979</v>
      </c>
      <c r="AD290" s="1076" t="s">
        <v>979</v>
      </c>
      <c r="AE290" s="1076" t="s">
        <v>979</v>
      </c>
      <c r="AF290" s="1076" t="s">
        <v>979</v>
      </c>
      <c r="AG290" s="1077" t="s">
        <v>979</v>
      </c>
      <c r="AH290" s="1858"/>
      <c r="AI290" s="1858"/>
      <c r="AJ290" s="1858"/>
      <c r="AK290" s="1858"/>
      <c r="AL290" s="1858"/>
      <c r="AM290" s="2035"/>
      <c r="AN290" s="1858"/>
      <c r="AO290" s="2035"/>
      <c r="AP290" s="1858"/>
      <c r="AQ290" s="2035"/>
      <c r="AR290" s="1858"/>
      <c r="AS290" s="2035"/>
      <c r="AT290" s="2016"/>
    </row>
    <row r="291" spans="2:46" ht="12.75" customHeight="1">
      <c r="B291" s="1008" t="s">
        <v>359</v>
      </c>
      <c r="C291" s="1121" t="s">
        <v>207</v>
      </c>
      <c r="D291" s="1014" t="s">
        <v>962</v>
      </c>
      <c r="E291" s="1015"/>
      <c r="F291" s="1015"/>
      <c r="G291" s="1015"/>
      <c r="H291" s="1015"/>
      <c r="I291" s="1016"/>
      <c r="J291" s="1013" t="s">
        <v>493</v>
      </c>
      <c r="K291" s="1014"/>
      <c r="L291" s="1015"/>
      <c r="M291" s="1015"/>
      <c r="N291" s="1015"/>
      <c r="O291" s="1015"/>
      <c r="P291" s="1015"/>
      <c r="Q291" s="1016"/>
      <c r="R291" s="1017"/>
      <c r="S291" s="1014" t="s">
        <v>494</v>
      </c>
      <c r="T291" s="1014"/>
      <c r="U291" s="1015"/>
      <c r="V291" s="1015"/>
      <c r="W291" s="1015"/>
      <c r="X291" s="1015"/>
      <c r="Y291" s="1013" t="s">
        <v>495</v>
      </c>
      <c r="Z291" s="1015"/>
      <c r="AA291" s="1015"/>
      <c r="AB291" s="1015"/>
      <c r="AC291" s="1015"/>
      <c r="AD291" s="1016"/>
      <c r="AE291" s="1013" t="s">
        <v>496</v>
      </c>
      <c r="AF291" s="1015"/>
      <c r="AG291" s="1015"/>
      <c r="AH291" s="1015"/>
      <c r="AI291" s="1013" t="s">
        <v>497</v>
      </c>
      <c r="AJ291" s="1015"/>
      <c r="AK291" s="1015"/>
      <c r="AL291" s="1016"/>
      <c r="AM291" s="1145" t="s">
        <v>498</v>
      </c>
      <c r="AN291" s="1145"/>
      <c r="AO291" s="1145"/>
      <c r="AP291" s="1146"/>
      <c r="AQ291" s="1146"/>
      <c r="AR291" s="1146"/>
      <c r="AS291" s="1146"/>
      <c r="AT291" s="1146"/>
    </row>
    <row r="292" spans="2:46" ht="12.75" customHeight="1">
      <c r="B292" s="1023"/>
      <c r="C292" s="1024" t="s">
        <v>499</v>
      </c>
      <c r="D292" s="1029" t="s">
        <v>366</v>
      </c>
      <c r="E292" s="1030"/>
      <c r="F292" s="1030" t="s">
        <v>367</v>
      </c>
      <c r="G292" s="1030"/>
      <c r="H292" s="1030" t="s">
        <v>368</v>
      </c>
      <c r="I292" s="1031"/>
      <c r="J292" s="1028" t="s">
        <v>366</v>
      </c>
      <c r="K292" s="1029"/>
      <c r="L292" s="1030"/>
      <c r="M292" s="1030" t="s">
        <v>367</v>
      </c>
      <c r="N292" s="1030"/>
      <c r="O292" s="1030"/>
      <c r="P292" s="1030" t="s">
        <v>368</v>
      </c>
      <c r="Q292" s="1031"/>
      <c r="R292" s="1032"/>
      <c r="S292" s="1029" t="s">
        <v>366</v>
      </c>
      <c r="T292" s="1029"/>
      <c r="U292" s="1030"/>
      <c r="V292" s="1030" t="s">
        <v>367</v>
      </c>
      <c r="W292" s="1030"/>
      <c r="X292" s="1030"/>
      <c r="Y292" s="1028" t="s">
        <v>366</v>
      </c>
      <c r="Z292" s="1030"/>
      <c r="AA292" s="1030" t="s">
        <v>367</v>
      </c>
      <c r="AB292" s="1030"/>
      <c r="AC292" s="1030" t="s">
        <v>368</v>
      </c>
      <c r="AD292" s="1031"/>
      <c r="AE292" s="1028" t="s">
        <v>366</v>
      </c>
      <c r="AF292" s="1030"/>
      <c r="AG292" s="1030" t="s">
        <v>367</v>
      </c>
      <c r="AH292" s="1030"/>
      <c r="AI292" s="1028" t="s">
        <v>366</v>
      </c>
      <c r="AJ292" s="1030"/>
      <c r="AK292" s="1030" t="s">
        <v>367</v>
      </c>
      <c r="AL292" s="1031"/>
      <c r="AM292" s="1147" t="s">
        <v>366</v>
      </c>
      <c r="AN292" s="1148"/>
      <c r="AO292" s="1032" t="s">
        <v>367</v>
      </c>
      <c r="AP292" s="1028"/>
      <c r="AQ292" s="1071" t="s">
        <v>368</v>
      </c>
      <c r="AR292" s="1028"/>
      <c r="AS292" s="1518" t="s">
        <v>21</v>
      </c>
      <c r="AT292" s="1149"/>
    </row>
    <row r="293" spans="2:46" ht="12.75" customHeight="1">
      <c r="B293" s="2108" t="str">
        <f>+$B$6</f>
        <v>事務所・店舗・百貨店</v>
      </c>
      <c r="C293" s="2258">
        <v>20120</v>
      </c>
      <c r="D293" s="1038" t="s">
        <v>500</v>
      </c>
      <c r="E293" s="1039">
        <v>1.1499999999999999</v>
      </c>
      <c r="F293" s="1039" t="s">
        <v>730</v>
      </c>
      <c r="G293" s="1039">
        <v>1</v>
      </c>
      <c r="H293" s="1470" t="s">
        <v>1333</v>
      </c>
      <c r="I293" s="1042" t="s">
        <v>1195</v>
      </c>
      <c r="J293" s="1471" t="s">
        <v>501</v>
      </c>
      <c r="K293" s="1073">
        <v>0.17</v>
      </c>
      <c r="L293" s="1073">
        <v>1.1000000000000001</v>
      </c>
      <c r="M293" s="1073" t="s">
        <v>502</v>
      </c>
      <c r="N293" s="1073">
        <v>0.14000000000000001</v>
      </c>
      <c r="O293" s="1073">
        <v>1</v>
      </c>
      <c r="P293" s="1073" t="s">
        <v>503</v>
      </c>
      <c r="Q293" s="1073">
        <v>0.08</v>
      </c>
      <c r="R293" s="1074">
        <v>0.8</v>
      </c>
      <c r="S293" s="1150" t="s">
        <v>504</v>
      </c>
      <c r="T293" s="1150">
        <v>200</v>
      </c>
      <c r="U293" s="1039">
        <v>1.05</v>
      </c>
      <c r="V293" s="1092" t="s">
        <v>505</v>
      </c>
      <c r="W293" s="1092">
        <v>500</v>
      </c>
      <c r="X293" s="1039">
        <v>1</v>
      </c>
      <c r="Y293" s="1041" t="s">
        <v>506</v>
      </c>
      <c r="Z293" s="1039">
        <v>1.1499999999999999</v>
      </c>
      <c r="AA293" s="1039" t="s">
        <v>507</v>
      </c>
      <c r="AB293" s="1039">
        <v>1</v>
      </c>
      <c r="AC293" s="1470" t="s">
        <v>1333</v>
      </c>
      <c r="AD293" s="1042" t="s">
        <v>1195</v>
      </c>
      <c r="AE293" s="1041" t="s">
        <v>508</v>
      </c>
      <c r="AF293" s="1039">
        <v>1.05</v>
      </c>
      <c r="AG293" s="1039" t="s">
        <v>509</v>
      </c>
      <c r="AH293" s="1039">
        <v>1</v>
      </c>
      <c r="AI293" s="1041" t="s">
        <v>510</v>
      </c>
      <c r="AJ293" s="1039">
        <v>1.1000000000000001</v>
      </c>
      <c r="AK293" s="1039" t="s">
        <v>511</v>
      </c>
      <c r="AL293" s="1042">
        <v>1</v>
      </c>
      <c r="AM293" s="1097">
        <v>1000</v>
      </c>
      <c r="AN293" s="1073">
        <v>1.05</v>
      </c>
      <c r="AO293" s="1151">
        <v>3000</v>
      </c>
      <c r="AP293" s="1152">
        <v>1</v>
      </c>
      <c r="AQ293" s="1151">
        <v>10000</v>
      </c>
      <c r="AR293" s="1152">
        <v>0.93</v>
      </c>
      <c r="AS293" s="1519">
        <v>20000</v>
      </c>
      <c r="AT293" s="1153">
        <v>0.9</v>
      </c>
    </row>
    <row r="294" spans="2:46" ht="12.75" customHeight="1">
      <c r="B294" s="2109" t="str">
        <f>+$B$7</f>
        <v>住宅・アパート</v>
      </c>
      <c r="C294" s="1045">
        <v>20120</v>
      </c>
      <c r="D294" s="1046" t="s">
        <v>500</v>
      </c>
      <c r="E294" s="1047">
        <v>1.1499999999999999</v>
      </c>
      <c r="F294" s="1047" t="s">
        <v>730</v>
      </c>
      <c r="G294" s="1047">
        <v>1</v>
      </c>
      <c r="H294" s="1047" t="s">
        <v>1195</v>
      </c>
      <c r="I294" s="1053" t="s">
        <v>1195</v>
      </c>
      <c r="J294" s="1056" t="s">
        <v>501</v>
      </c>
      <c r="K294" s="1047">
        <v>0.17</v>
      </c>
      <c r="L294" s="1047">
        <v>1.1000000000000001</v>
      </c>
      <c r="M294" s="1047" t="s">
        <v>502</v>
      </c>
      <c r="N294" s="1047">
        <v>0.14000000000000001</v>
      </c>
      <c r="O294" s="1047">
        <v>1</v>
      </c>
      <c r="P294" s="1047" t="s">
        <v>503</v>
      </c>
      <c r="Q294" s="1047">
        <v>0.08</v>
      </c>
      <c r="R294" s="1048">
        <v>0.8</v>
      </c>
      <c r="S294" s="1154" t="s">
        <v>504</v>
      </c>
      <c r="T294" s="1154">
        <v>200</v>
      </c>
      <c r="U294" s="1047">
        <v>1.05</v>
      </c>
      <c r="V294" s="1051" t="s">
        <v>505</v>
      </c>
      <c r="W294" s="1051">
        <v>500</v>
      </c>
      <c r="X294" s="1047">
        <v>1</v>
      </c>
      <c r="Y294" s="1056" t="s">
        <v>506</v>
      </c>
      <c r="Z294" s="1047">
        <v>1.1499999999999999</v>
      </c>
      <c r="AA294" s="1047" t="s">
        <v>507</v>
      </c>
      <c r="AB294" s="1047">
        <v>1</v>
      </c>
      <c r="AC294" s="1047" t="s">
        <v>1195</v>
      </c>
      <c r="AD294" s="1053" t="s">
        <v>1195</v>
      </c>
      <c r="AE294" s="1056" t="s">
        <v>508</v>
      </c>
      <c r="AF294" s="1047">
        <v>1.05</v>
      </c>
      <c r="AG294" s="1047" t="s">
        <v>509</v>
      </c>
      <c r="AH294" s="1047">
        <v>1</v>
      </c>
      <c r="AI294" s="1056" t="s">
        <v>510</v>
      </c>
      <c r="AJ294" s="1047">
        <v>1.1000000000000001</v>
      </c>
      <c r="AK294" s="1047" t="s">
        <v>511</v>
      </c>
      <c r="AL294" s="1053">
        <v>1</v>
      </c>
      <c r="AM294" s="1084">
        <v>360</v>
      </c>
      <c r="AN294" s="1155">
        <v>1.05</v>
      </c>
      <c r="AO294" s="1043">
        <v>1800</v>
      </c>
      <c r="AP294" s="1155">
        <v>1</v>
      </c>
      <c r="AQ294" s="1043">
        <v>3600</v>
      </c>
      <c r="AR294" s="1155">
        <v>0.93</v>
      </c>
      <c r="AS294" s="1590">
        <v>4500</v>
      </c>
      <c r="AT294" s="1156">
        <v>0.9</v>
      </c>
    </row>
    <row r="295" spans="2:46" ht="12.75" customHeight="1">
      <c r="B295" s="2109" t="str">
        <f>+$B$8</f>
        <v>病院・ホテル</v>
      </c>
      <c r="C295" s="1045">
        <v>20120</v>
      </c>
      <c r="D295" s="1046" t="s">
        <v>500</v>
      </c>
      <c r="E295" s="1047">
        <v>1.1499999999999999</v>
      </c>
      <c r="F295" s="1047" t="s">
        <v>730</v>
      </c>
      <c r="G295" s="1047">
        <v>1</v>
      </c>
      <c r="H295" s="1047" t="s">
        <v>1195</v>
      </c>
      <c r="I295" s="1053" t="s">
        <v>1195</v>
      </c>
      <c r="J295" s="1516" t="s">
        <v>501</v>
      </c>
      <c r="K295" s="1047">
        <v>0.17</v>
      </c>
      <c r="L295" s="1047">
        <v>1.1000000000000001</v>
      </c>
      <c r="M295" s="1047" t="s">
        <v>502</v>
      </c>
      <c r="N295" s="1047">
        <v>0.14000000000000001</v>
      </c>
      <c r="O295" s="1047">
        <v>1</v>
      </c>
      <c r="P295" s="1047" t="s">
        <v>503</v>
      </c>
      <c r="Q295" s="1047">
        <v>0.08</v>
      </c>
      <c r="R295" s="1048">
        <v>0.8</v>
      </c>
      <c r="S295" s="1154" t="s">
        <v>504</v>
      </c>
      <c r="T295" s="1154">
        <v>200</v>
      </c>
      <c r="U295" s="1047">
        <v>1.05</v>
      </c>
      <c r="V295" s="1051" t="s">
        <v>505</v>
      </c>
      <c r="W295" s="1051">
        <v>500</v>
      </c>
      <c r="X295" s="1047">
        <v>1</v>
      </c>
      <c r="Y295" s="1056" t="s">
        <v>506</v>
      </c>
      <c r="Z295" s="1047">
        <v>1.1499999999999999</v>
      </c>
      <c r="AA295" s="1047" t="s">
        <v>507</v>
      </c>
      <c r="AB295" s="1047">
        <v>1</v>
      </c>
      <c r="AC295" s="1047" t="s">
        <v>1195</v>
      </c>
      <c r="AD295" s="1053" t="s">
        <v>1195</v>
      </c>
      <c r="AE295" s="1056" t="s">
        <v>508</v>
      </c>
      <c r="AF295" s="1047">
        <v>1.05</v>
      </c>
      <c r="AG295" s="1047" t="s">
        <v>509</v>
      </c>
      <c r="AH295" s="1047">
        <v>1</v>
      </c>
      <c r="AI295" s="1056" t="s">
        <v>510</v>
      </c>
      <c r="AJ295" s="1047">
        <v>1.1000000000000001</v>
      </c>
      <c r="AK295" s="1047" t="s">
        <v>511</v>
      </c>
      <c r="AL295" s="1053">
        <v>1</v>
      </c>
      <c r="AM295" s="1084">
        <v>1000</v>
      </c>
      <c r="AN295" s="1046">
        <v>1.05</v>
      </c>
      <c r="AO295" s="1054">
        <v>3000</v>
      </c>
      <c r="AP295" s="1046">
        <v>1</v>
      </c>
      <c r="AQ295" s="1054">
        <v>10000</v>
      </c>
      <c r="AR295" s="1046">
        <v>0.93</v>
      </c>
      <c r="AS295" s="1055">
        <v>20000</v>
      </c>
      <c r="AT295" s="1157">
        <v>0.9</v>
      </c>
    </row>
    <row r="296" spans="2:46" ht="12.75" customHeight="1">
      <c r="B296" s="2109" t="str">
        <f>+$B$9</f>
        <v>工場・倉庫・市場</v>
      </c>
      <c r="C296" s="1045">
        <v>20120</v>
      </c>
      <c r="D296" s="1046" t="s">
        <v>500</v>
      </c>
      <c r="E296" s="1047">
        <v>1.1499999999999999</v>
      </c>
      <c r="F296" s="1047" t="s">
        <v>730</v>
      </c>
      <c r="G296" s="1047">
        <v>1</v>
      </c>
      <c r="H296" s="1047" t="s">
        <v>1195</v>
      </c>
      <c r="I296" s="1053" t="s">
        <v>1195</v>
      </c>
      <c r="J296" s="1516" t="s">
        <v>501</v>
      </c>
      <c r="K296" s="1047">
        <v>0.17</v>
      </c>
      <c r="L296" s="1047">
        <v>1.1000000000000001</v>
      </c>
      <c r="M296" s="1047" t="s">
        <v>502</v>
      </c>
      <c r="N296" s="1047">
        <v>0.14000000000000001</v>
      </c>
      <c r="O296" s="1047">
        <v>1</v>
      </c>
      <c r="P296" s="1047" t="s">
        <v>503</v>
      </c>
      <c r="Q296" s="1047">
        <v>0.08</v>
      </c>
      <c r="R296" s="1048">
        <v>0.8</v>
      </c>
      <c r="S296" s="1154" t="s">
        <v>504</v>
      </c>
      <c r="T296" s="1154">
        <v>200</v>
      </c>
      <c r="U296" s="1047">
        <v>1.05</v>
      </c>
      <c r="V296" s="1051" t="s">
        <v>505</v>
      </c>
      <c r="W296" s="1051">
        <v>500</v>
      </c>
      <c r="X296" s="1047">
        <v>1</v>
      </c>
      <c r="Y296" s="1056" t="s">
        <v>506</v>
      </c>
      <c r="Z296" s="1047">
        <v>1.1499999999999999</v>
      </c>
      <c r="AA296" s="1047" t="s">
        <v>507</v>
      </c>
      <c r="AB296" s="1047">
        <v>1</v>
      </c>
      <c r="AC296" s="1047" t="s">
        <v>1195</v>
      </c>
      <c r="AD296" s="1053" t="s">
        <v>1195</v>
      </c>
      <c r="AE296" s="1056" t="s">
        <v>508</v>
      </c>
      <c r="AF296" s="1047">
        <v>1.05</v>
      </c>
      <c r="AG296" s="1047" t="s">
        <v>509</v>
      </c>
      <c r="AH296" s="1047">
        <v>1</v>
      </c>
      <c r="AI296" s="1056" t="s">
        <v>510</v>
      </c>
      <c r="AJ296" s="1047">
        <v>1.1000000000000001</v>
      </c>
      <c r="AK296" s="1047" t="s">
        <v>511</v>
      </c>
      <c r="AL296" s="1053">
        <v>1</v>
      </c>
      <c r="AM296" s="1084">
        <v>1000</v>
      </c>
      <c r="AN296" s="1046">
        <v>1.05</v>
      </c>
      <c r="AO296" s="1054">
        <v>3000</v>
      </c>
      <c r="AP296" s="1046">
        <v>1</v>
      </c>
      <c r="AQ296" s="1054">
        <v>10000</v>
      </c>
      <c r="AR296" s="1046">
        <v>0.93</v>
      </c>
      <c r="AS296" s="1055">
        <v>20000</v>
      </c>
      <c r="AT296" s="1157">
        <v>0.9</v>
      </c>
    </row>
    <row r="297" spans="2:46" ht="12.75" customHeight="1">
      <c r="B297" s="2110" t="str">
        <f>+$B$10</f>
        <v>劇場型建物</v>
      </c>
      <c r="C297" s="1102">
        <v>20120</v>
      </c>
      <c r="D297" s="1060" t="s">
        <v>500</v>
      </c>
      <c r="E297" s="1061">
        <v>1.1499999999999999</v>
      </c>
      <c r="F297" s="1061" t="s">
        <v>730</v>
      </c>
      <c r="G297" s="1061">
        <v>1</v>
      </c>
      <c r="H297" s="1061" t="s">
        <v>1195</v>
      </c>
      <c r="I297" s="1064" t="s">
        <v>1195</v>
      </c>
      <c r="J297" s="1517" t="s">
        <v>501</v>
      </c>
      <c r="K297" s="1076">
        <v>0.17</v>
      </c>
      <c r="L297" s="1076">
        <v>1.1000000000000001</v>
      </c>
      <c r="M297" s="1076" t="s">
        <v>502</v>
      </c>
      <c r="N297" s="1076">
        <v>0.14000000000000001</v>
      </c>
      <c r="O297" s="1076">
        <v>1</v>
      </c>
      <c r="P297" s="1076" t="s">
        <v>503</v>
      </c>
      <c r="Q297" s="1076">
        <v>0.08</v>
      </c>
      <c r="R297" s="1077">
        <v>0.8</v>
      </c>
      <c r="S297" s="1158" t="s">
        <v>504</v>
      </c>
      <c r="T297" s="1158">
        <v>200</v>
      </c>
      <c r="U297" s="1061">
        <v>1.05</v>
      </c>
      <c r="V297" s="1095" t="s">
        <v>505</v>
      </c>
      <c r="W297" s="1095">
        <v>500</v>
      </c>
      <c r="X297" s="1061">
        <v>1</v>
      </c>
      <c r="Y297" s="1063" t="s">
        <v>506</v>
      </c>
      <c r="Z297" s="1061">
        <v>1.1499999999999999</v>
      </c>
      <c r="AA297" s="1061" t="s">
        <v>507</v>
      </c>
      <c r="AB297" s="1061">
        <v>1</v>
      </c>
      <c r="AC297" s="1061" t="s">
        <v>1195</v>
      </c>
      <c r="AD297" s="1064" t="s">
        <v>1195</v>
      </c>
      <c r="AE297" s="1063" t="s">
        <v>508</v>
      </c>
      <c r="AF297" s="1061">
        <v>1.05</v>
      </c>
      <c r="AG297" s="1061" t="s">
        <v>509</v>
      </c>
      <c r="AH297" s="1061">
        <v>1</v>
      </c>
      <c r="AI297" s="1075" t="s">
        <v>510</v>
      </c>
      <c r="AJ297" s="1076">
        <v>1.1000000000000001</v>
      </c>
      <c r="AK297" s="1076" t="s">
        <v>511</v>
      </c>
      <c r="AL297" s="1159">
        <v>1</v>
      </c>
      <c r="AM297" s="1160">
        <v>1000</v>
      </c>
      <c r="AN297" s="1076">
        <v>1.05</v>
      </c>
      <c r="AO297" s="1161">
        <v>3000</v>
      </c>
      <c r="AP297" s="1162">
        <v>1</v>
      </c>
      <c r="AQ297" s="1161">
        <v>10000</v>
      </c>
      <c r="AR297" s="1162">
        <v>0.93</v>
      </c>
      <c r="AS297" s="1520">
        <v>20000</v>
      </c>
      <c r="AT297" s="1163">
        <v>0.9</v>
      </c>
    </row>
    <row r="298" spans="2:46" ht="12.75" customHeight="1">
      <c r="B298" s="1008" t="s">
        <v>359</v>
      </c>
      <c r="C298" s="1121" t="s">
        <v>223</v>
      </c>
      <c r="D298" s="1014" t="s">
        <v>512</v>
      </c>
      <c r="E298" s="1014"/>
      <c r="F298" s="1015"/>
      <c r="G298" s="1015"/>
      <c r="H298" s="1015"/>
      <c r="I298" s="1015"/>
      <c r="J298" s="1015"/>
      <c r="K298" s="1016"/>
      <c r="L298" s="1017"/>
      <c r="M298" s="1014" t="s">
        <v>513</v>
      </c>
      <c r="N298" s="1015"/>
      <c r="O298" s="1015"/>
      <c r="P298" s="1015"/>
      <c r="Q298" s="1015"/>
      <c r="R298" s="1017"/>
      <c r="S298" s="1013" t="s">
        <v>514</v>
      </c>
      <c r="T298" s="1015"/>
      <c r="U298" s="1015"/>
      <c r="V298" s="1015"/>
      <c r="W298" s="1015"/>
      <c r="X298" s="1017"/>
      <c r="Y298" s="1021"/>
      <c r="Z298" s="1021"/>
      <c r="AA298" s="1021"/>
      <c r="AB298" s="1021"/>
      <c r="AC298" s="1021"/>
      <c r="AD298" s="1021"/>
      <c r="AE298" s="1021"/>
      <c r="AF298" s="1021"/>
      <c r="AG298" s="1021"/>
      <c r="AH298" s="1021"/>
      <c r="AI298" s="1021"/>
      <c r="AJ298" s="1021"/>
      <c r="AS298" s="1021"/>
    </row>
    <row r="299" spans="2:46" ht="12.75" customHeight="1">
      <c r="B299" s="1023"/>
      <c r="C299" s="1024" t="s">
        <v>515</v>
      </c>
      <c r="D299" s="1029" t="s">
        <v>366</v>
      </c>
      <c r="E299" s="1029"/>
      <c r="F299" s="1030"/>
      <c r="G299" s="1030" t="s">
        <v>367</v>
      </c>
      <c r="H299" s="1030"/>
      <c r="I299" s="1030"/>
      <c r="J299" s="1030" t="s">
        <v>368</v>
      </c>
      <c r="K299" s="1031"/>
      <c r="L299" s="1032"/>
      <c r="M299" s="1029" t="s">
        <v>366</v>
      </c>
      <c r="N299" s="1030"/>
      <c r="O299" s="1030" t="s">
        <v>367</v>
      </c>
      <c r="P299" s="1030"/>
      <c r="Q299" s="1030" t="s">
        <v>368</v>
      </c>
      <c r="R299" s="1032"/>
      <c r="S299" s="1028" t="s">
        <v>366</v>
      </c>
      <c r="T299" s="1030"/>
      <c r="U299" s="1030" t="s">
        <v>367</v>
      </c>
      <c r="V299" s="1030"/>
      <c r="W299" s="1030" t="s">
        <v>368</v>
      </c>
      <c r="X299" s="1032"/>
      <c r="Y299" s="1036"/>
      <c r="Z299" s="1036"/>
      <c r="AA299" s="1036"/>
      <c r="AB299" s="1036"/>
      <c r="AC299" s="1036"/>
      <c r="AD299" s="1036"/>
      <c r="AE299" s="1036"/>
      <c r="AF299" s="1036"/>
      <c r="AG299" s="1036"/>
      <c r="AH299" s="1036"/>
      <c r="AI299" s="1036"/>
      <c r="AJ299" s="1036"/>
      <c r="AS299" s="1036"/>
    </row>
    <row r="300" spans="2:46" ht="12.75" customHeight="1">
      <c r="B300" s="2108" t="str">
        <f>+$B$6</f>
        <v>事務所・店舗・百貨店</v>
      </c>
      <c r="C300" s="2258">
        <v>14290</v>
      </c>
      <c r="D300" s="1038" t="s">
        <v>501</v>
      </c>
      <c r="E300" s="1038">
        <v>0.17</v>
      </c>
      <c r="F300" s="1039">
        <v>1.1000000000000001</v>
      </c>
      <c r="G300" s="1039" t="s">
        <v>502</v>
      </c>
      <c r="H300" s="1039">
        <v>0.14000000000000001</v>
      </c>
      <c r="I300" s="1039">
        <v>1</v>
      </c>
      <c r="J300" s="1039" t="s">
        <v>503</v>
      </c>
      <c r="K300" s="1042">
        <v>0.08</v>
      </c>
      <c r="L300" s="1040">
        <v>0.8</v>
      </c>
      <c r="M300" s="1038" t="s">
        <v>500</v>
      </c>
      <c r="N300" s="1039">
        <v>1.1000000000000001</v>
      </c>
      <c r="O300" s="1039" t="s">
        <v>730</v>
      </c>
      <c r="P300" s="1039">
        <v>1</v>
      </c>
      <c r="Q300" s="1470" t="s">
        <v>1333</v>
      </c>
      <c r="R300" s="1042" t="s">
        <v>1195</v>
      </c>
      <c r="S300" s="1041" t="s">
        <v>516</v>
      </c>
      <c r="T300" s="1039">
        <v>1.1000000000000001</v>
      </c>
      <c r="U300" s="1039" t="s">
        <v>375</v>
      </c>
      <c r="V300" s="1039">
        <v>1</v>
      </c>
      <c r="W300" s="1039" t="s">
        <v>1071</v>
      </c>
      <c r="X300" s="1040">
        <v>0.8</v>
      </c>
      <c r="Y300" s="1036"/>
      <c r="Z300" s="1036"/>
      <c r="AA300" s="1036"/>
      <c r="AB300" s="1036"/>
      <c r="AC300" s="1036"/>
      <c r="AD300" s="1036"/>
      <c r="AE300" s="1036"/>
      <c r="AF300" s="1036"/>
      <c r="AG300" s="1036"/>
      <c r="AH300" s="1036"/>
      <c r="AI300" s="1036"/>
      <c r="AJ300" s="1036"/>
      <c r="AS300" s="1036"/>
    </row>
    <row r="301" spans="2:46" ht="12.75" customHeight="1">
      <c r="B301" s="2109" t="str">
        <f>+$B$7</f>
        <v>住宅・アパート</v>
      </c>
      <c r="C301" s="2463">
        <v>14290</v>
      </c>
      <c r="D301" s="1046" t="s">
        <v>501</v>
      </c>
      <c r="E301" s="1046">
        <v>0.17</v>
      </c>
      <c r="F301" s="1047">
        <v>1.1000000000000001</v>
      </c>
      <c r="G301" s="1047" t="s">
        <v>502</v>
      </c>
      <c r="H301" s="1047">
        <v>0.14000000000000001</v>
      </c>
      <c r="I301" s="1047">
        <v>1</v>
      </c>
      <c r="J301" s="1047" t="s">
        <v>503</v>
      </c>
      <c r="K301" s="1053">
        <v>0.08</v>
      </c>
      <c r="L301" s="1048">
        <v>0.8</v>
      </c>
      <c r="M301" s="1046" t="s">
        <v>500</v>
      </c>
      <c r="N301" s="1047">
        <v>1.1000000000000001</v>
      </c>
      <c r="O301" s="1047" t="s">
        <v>730</v>
      </c>
      <c r="P301" s="1047">
        <v>1</v>
      </c>
      <c r="Q301" s="1047" t="s">
        <v>1195</v>
      </c>
      <c r="R301" s="1053" t="s">
        <v>1195</v>
      </c>
      <c r="S301" s="1056" t="s">
        <v>516</v>
      </c>
      <c r="T301" s="1047">
        <v>1.1000000000000001</v>
      </c>
      <c r="U301" s="1047" t="s">
        <v>375</v>
      </c>
      <c r="V301" s="1047">
        <v>1</v>
      </c>
      <c r="W301" s="1047" t="s">
        <v>1071</v>
      </c>
      <c r="X301" s="1048">
        <v>0.8</v>
      </c>
      <c r="Y301" s="1036"/>
      <c r="Z301" s="1036"/>
      <c r="AA301" s="1036"/>
      <c r="AB301" s="1036"/>
      <c r="AC301" s="1036"/>
      <c r="AD301" s="1036"/>
      <c r="AE301" s="1036"/>
      <c r="AF301" s="1036"/>
      <c r="AG301" s="1036"/>
      <c r="AH301" s="1036"/>
      <c r="AI301" s="1036"/>
      <c r="AJ301" s="1036"/>
      <c r="AS301" s="1036"/>
    </row>
    <row r="302" spans="2:46" ht="12.75" customHeight="1">
      <c r="B302" s="2109" t="str">
        <f>+$B$8</f>
        <v>病院・ホテル</v>
      </c>
      <c r="C302" s="2463">
        <v>14290</v>
      </c>
      <c r="D302" s="1046" t="s">
        <v>501</v>
      </c>
      <c r="E302" s="1046">
        <v>0.17</v>
      </c>
      <c r="F302" s="1047">
        <v>1.1000000000000001</v>
      </c>
      <c r="G302" s="1047" t="s">
        <v>502</v>
      </c>
      <c r="H302" s="1047">
        <v>0.14000000000000001</v>
      </c>
      <c r="I302" s="1047">
        <v>1</v>
      </c>
      <c r="J302" s="1047" t="s">
        <v>503</v>
      </c>
      <c r="K302" s="1053">
        <v>0.08</v>
      </c>
      <c r="L302" s="1048">
        <v>0.8</v>
      </c>
      <c r="M302" s="1046" t="s">
        <v>500</v>
      </c>
      <c r="N302" s="1047">
        <v>1.1000000000000001</v>
      </c>
      <c r="O302" s="1047" t="s">
        <v>730</v>
      </c>
      <c r="P302" s="1047">
        <v>1</v>
      </c>
      <c r="Q302" s="1047" t="s">
        <v>1195</v>
      </c>
      <c r="R302" s="1053" t="s">
        <v>1195</v>
      </c>
      <c r="S302" s="1056" t="s">
        <v>516</v>
      </c>
      <c r="T302" s="1047">
        <v>1.1000000000000001</v>
      </c>
      <c r="U302" s="1047" t="s">
        <v>375</v>
      </c>
      <c r="V302" s="1047">
        <v>1</v>
      </c>
      <c r="W302" s="1047" t="s">
        <v>1071</v>
      </c>
      <c r="X302" s="1048">
        <v>0.8</v>
      </c>
      <c r="Y302" s="1036"/>
      <c r="Z302" s="1036"/>
      <c r="AA302" s="1036"/>
      <c r="AB302" s="1036"/>
      <c r="AC302" s="1036"/>
      <c r="AD302" s="1036"/>
      <c r="AE302" s="1036"/>
      <c r="AF302" s="1036"/>
      <c r="AG302" s="1036"/>
      <c r="AH302" s="1036"/>
      <c r="AI302" s="1036"/>
      <c r="AJ302" s="1036"/>
      <c r="AS302" s="1036"/>
    </row>
    <row r="303" spans="2:46" ht="12.75" customHeight="1">
      <c r="B303" s="2109" t="str">
        <f>+$B$9</f>
        <v>工場・倉庫・市場</v>
      </c>
      <c r="C303" s="2463">
        <v>14290</v>
      </c>
      <c r="D303" s="1046" t="s">
        <v>501</v>
      </c>
      <c r="E303" s="1046">
        <v>0.17</v>
      </c>
      <c r="F303" s="1047">
        <v>1.1000000000000001</v>
      </c>
      <c r="G303" s="1047" t="s">
        <v>502</v>
      </c>
      <c r="H303" s="1047">
        <v>0.14000000000000001</v>
      </c>
      <c r="I303" s="1047">
        <v>1</v>
      </c>
      <c r="J303" s="1047" t="s">
        <v>503</v>
      </c>
      <c r="K303" s="1053">
        <v>0.08</v>
      </c>
      <c r="L303" s="1048">
        <v>0.8</v>
      </c>
      <c r="M303" s="1046" t="s">
        <v>500</v>
      </c>
      <c r="N303" s="1047">
        <v>1.1000000000000001</v>
      </c>
      <c r="O303" s="1047" t="s">
        <v>730</v>
      </c>
      <c r="P303" s="1047">
        <v>1</v>
      </c>
      <c r="Q303" s="1047" t="s">
        <v>1195</v>
      </c>
      <c r="R303" s="1053" t="s">
        <v>1195</v>
      </c>
      <c r="S303" s="1056" t="s">
        <v>516</v>
      </c>
      <c r="T303" s="1047">
        <v>1.1000000000000001</v>
      </c>
      <c r="U303" s="1047" t="s">
        <v>375</v>
      </c>
      <c r="V303" s="1047">
        <v>1</v>
      </c>
      <c r="W303" s="1047" t="s">
        <v>1071</v>
      </c>
      <c r="X303" s="1048">
        <v>0.8</v>
      </c>
      <c r="Y303" s="1036"/>
      <c r="Z303" s="1036"/>
      <c r="AA303" s="1036"/>
      <c r="AB303" s="1036"/>
      <c r="AC303" s="1036"/>
      <c r="AD303" s="1036"/>
      <c r="AE303" s="1036"/>
      <c r="AF303" s="1036"/>
      <c r="AG303" s="1036"/>
      <c r="AH303" s="1036"/>
      <c r="AI303" s="1036"/>
      <c r="AJ303" s="1036"/>
      <c r="AS303" s="1036"/>
    </row>
    <row r="304" spans="2:46" ht="12.75" customHeight="1">
      <c r="B304" s="2110" t="str">
        <f>+$B$10</f>
        <v>劇場型建物</v>
      </c>
      <c r="C304" s="2463">
        <v>14290</v>
      </c>
      <c r="D304" s="1060" t="s">
        <v>501</v>
      </c>
      <c r="E304" s="1060">
        <v>0.17</v>
      </c>
      <c r="F304" s="1061">
        <v>1.1000000000000001</v>
      </c>
      <c r="G304" s="1061" t="s">
        <v>502</v>
      </c>
      <c r="H304" s="1061">
        <v>0.14000000000000001</v>
      </c>
      <c r="I304" s="1061">
        <v>1</v>
      </c>
      <c r="J304" s="1061" t="s">
        <v>503</v>
      </c>
      <c r="K304" s="1064">
        <v>0.08</v>
      </c>
      <c r="L304" s="1062">
        <v>0.8</v>
      </c>
      <c r="M304" s="1060" t="s">
        <v>500</v>
      </c>
      <c r="N304" s="1061">
        <v>1.1000000000000001</v>
      </c>
      <c r="O304" s="1061" t="s">
        <v>730</v>
      </c>
      <c r="P304" s="1061">
        <v>1</v>
      </c>
      <c r="Q304" s="1061" t="s">
        <v>1195</v>
      </c>
      <c r="R304" s="1064" t="s">
        <v>1195</v>
      </c>
      <c r="S304" s="1075" t="s">
        <v>516</v>
      </c>
      <c r="T304" s="1076">
        <v>1.1000000000000001</v>
      </c>
      <c r="U304" s="1076" t="s">
        <v>375</v>
      </c>
      <c r="V304" s="1076">
        <v>1</v>
      </c>
      <c r="W304" s="1076" t="s">
        <v>1071</v>
      </c>
      <c r="X304" s="1077">
        <v>0.8</v>
      </c>
      <c r="Y304" s="1036"/>
      <c r="Z304" s="1036"/>
      <c r="AA304" s="1036"/>
      <c r="AB304" s="1036"/>
      <c r="AC304" s="1036"/>
      <c r="AD304" s="1036"/>
      <c r="AE304" s="1036"/>
      <c r="AF304" s="1036"/>
      <c r="AG304" s="1036"/>
      <c r="AH304" s="1036"/>
      <c r="AI304" s="1036"/>
      <c r="AJ304" s="1036"/>
      <c r="AS304" s="1036"/>
    </row>
    <row r="305" spans="2:45" ht="12.75" customHeight="1">
      <c r="B305" s="1008" t="s">
        <v>359</v>
      </c>
      <c r="C305" s="1121" t="s">
        <v>1072</v>
      </c>
      <c r="D305" s="1013" t="s">
        <v>1073</v>
      </c>
      <c r="E305" s="1015"/>
      <c r="F305" s="1015"/>
      <c r="G305" s="1015"/>
      <c r="H305" s="1015"/>
      <c r="I305" s="1017"/>
      <c r="J305" s="1013" t="s">
        <v>1074</v>
      </c>
      <c r="K305" s="1014"/>
      <c r="L305" s="1015"/>
      <c r="M305" s="1015"/>
      <c r="N305" s="1015"/>
      <c r="O305" s="1015"/>
      <c r="P305" s="1015"/>
      <c r="Q305" s="1016"/>
      <c r="R305" s="1017"/>
      <c r="S305" s="1014" t="s">
        <v>1075</v>
      </c>
      <c r="T305" s="1014"/>
      <c r="U305" s="1015"/>
      <c r="V305" s="1015"/>
      <c r="W305" s="1015"/>
      <c r="X305" s="1015"/>
      <c r="Y305" s="1013" t="s">
        <v>1076</v>
      </c>
      <c r="Z305" s="1015"/>
      <c r="AA305" s="1015"/>
      <c r="AB305" s="1015"/>
      <c r="AC305" s="1015"/>
      <c r="AD305" s="1017"/>
      <c r="AE305" s="1014" t="s">
        <v>1077</v>
      </c>
      <c r="AF305" s="1015"/>
      <c r="AG305" s="1015"/>
      <c r="AH305" s="1015"/>
      <c r="AI305" s="1015"/>
      <c r="AJ305" s="1017"/>
      <c r="AK305" s="1013" t="s">
        <v>1078</v>
      </c>
      <c r="AL305" s="1015"/>
      <c r="AM305" s="1015"/>
      <c r="AN305" s="1015"/>
      <c r="AO305" s="1015"/>
      <c r="AP305" s="1017"/>
      <c r="AQ305" s="1146"/>
      <c r="AR305" s="1146"/>
      <c r="AS305" s="1022"/>
    </row>
    <row r="306" spans="2:45" ht="12.75" customHeight="1">
      <c r="B306" s="1023"/>
      <c r="C306" s="1024" t="s">
        <v>1079</v>
      </c>
      <c r="D306" s="1028" t="s">
        <v>366</v>
      </c>
      <c r="E306" s="1030"/>
      <c r="F306" s="1030" t="s">
        <v>367</v>
      </c>
      <c r="G306" s="1030"/>
      <c r="H306" s="1030" t="s">
        <v>368</v>
      </c>
      <c r="I306" s="1032"/>
      <c r="J306" s="1028" t="s">
        <v>366</v>
      </c>
      <c r="K306" s="1029"/>
      <c r="L306" s="1030"/>
      <c r="M306" s="1030" t="s">
        <v>367</v>
      </c>
      <c r="N306" s="1030"/>
      <c r="O306" s="1030"/>
      <c r="P306" s="1030" t="s">
        <v>368</v>
      </c>
      <c r="Q306" s="1031"/>
      <c r="R306" s="1032"/>
      <c r="S306" s="1029" t="s">
        <v>366</v>
      </c>
      <c r="T306" s="1029"/>
      <c r="U306" s="1030"/>
      <c r="V306" s="1030" t="s">
        <v>367</v>
      </c>
      <c r="W306" s="1030"/>
      <c r="X306" s="1030"/>
      <c r="Y306" s="1028" t="s">
        <v>366</v>
      </c>
      <c r="Z306" s="1030"/>
      <c r="AA306" s="1030" t="s">
        <v>367</v>
      </c>
      <c r="AB306" s="1030"/>
      <c r="AC306" s="1030" t="s">
        <v>368</v>
      </c>
      <c r="AD306" s="1032"/>
      <c r="AE306" s="1029" t="s">
        <v>366</v>
      </c>
      <c r="AF306" s="1030"/>
      <c r="AG306" s="1030" t="s">
        <v>367</v>
      </c>
      <c r="AH306" s="1030"/>
      <c r="AI306" s="1030" t="s">
        <v>368</v>
      </c>
      <c r="AJ306" s="1032"/>
      <c r="AK306" s="1028" t="s">
        <v>366</v>
      </c>
      <c r="AL306" s="1030"/>
      <c r="AM306" s="1030" t="s">
        <v>367</v>
      </c>
      <c r="AN306" s="1030"/>
      <c r="AO306" s="1030" t="s">
        <v>368</v>
      </c>
      <c r="AP306" s="1030"/>
      <c r="AQ306" s="1518" t="s">
        <v>21</v>
      </c>
      <c r="AR306" s="1149"/>
      <c r="AS306" s="1037"/>
    </row>
    <row r="307" spans="2:45" ht="12.75" customHeight="1">
      <c r="B307" s="2108" t="str">
        <f>+$B$6</f>
        <v>事務所・店舗・百貨店</v>
      </c>
      <c r="C307" s="2258">
        <v>16270</v>
      </c>
      <c r="D307" s="1041" t="s">
        <v>500</v>
      </c>
      <c r="E307" s="1039">
        <v>1.1499999999999999</v>
      </c>
      <c r="F307" s="1039" t="s">
        <v>730</v>
      </c>
      <c r="G307" s="1039">
        <v>1</v>
      </c>
      <c r="H307" s="1470" t="s">
        <v>1333</v>
      </c>
      <c r="I307" s="1074" t="s">
        <v>1195</v>
      </c>
      <c r="J307" s="1072" t="s">
        <v>501</v>
      </c>
      <c r="K307" s="1038">
        <v>0.17</v>
      </c>
      <c r="L307" s="1039">
        <v>1.1000000000000001</v>
      </c>
      <c r="M307" s="1039" t="s">
        <v>502</v>
      </c>
      <c r="N307" s="1039">
        <v>0.14000000000000001</v>
      </c>
      <c r="O307" s="1039">
        <v>1</v>
      </c>
      <c r="P307" s="1039" t="s">
        <v>503</v>
      </c>
      <c r="Q307" s="1042">
        <v>0.08</v>
      </c>
      <c r="R307" s="1040">
        <v>0.8</v>
      </c>
      <c r="S307" s="1150" t="s">
        <v>504</v>
      </c>
      <c r="T307" s="1150">
        <v>200</v>
      </c>
      <c r="U307" s="1039">
        <v>1.05</v>
      </c>
      <c r="V307" s="1092" t="s">
        <v>505</v>
      </c>
      <c r="W307" s="1092">
        <v>500</v>
      </c>
      <c r="X307" s="1039">
        <v>1</v>
      </c>
      <c r="Y307" s="1041" t="s">
        <v>508</v>
      </c>
      <c r="Z307" s="1039">
        <v>1.05</v>
      </c>
      <c r="AA307" s="1039" t="s">
        <v>509</v>
      </c>
      <c r="AB307" s="1039">
        <v>1</v>
      </c>
      <c r="AC307" s="1470" t="s">
        <v>1333</v>
      </c>
      <c r="AD307" s="1074" t="s">
        <v>1195</v>
      </c>
      <c r="AE307" s="1072" t="s">
        <v>510</v>
      </c>
      <c r="AF307" s="1039">
        <v>1.1000000000000001</v>
      </c>
      <c r="AG307" s="1039" t="s">
        <v>511</v>
      </c>
      <c r="AH307" s="1039">
        <v>1</v>
      </c>
      <c r="AI307" s="1039"/>
      <c r="AJ307" s="1040"/>
      <c r="AK307" s="1083">
        <v>1000</v>
      </c>
      <c r="AL307" s="1039">
        <v>1.05</v>
      </c>
      <c r="AM307" s="1044">
        <v>3000</v>
      </c>
      <c r="AN307" s="1039">
        <v>1</v>
      </c>
      <c r="AO307" s="1044">
        <v>10000</v>
      </c>
      <c r="AP307" s="1039">
        <v>0.93</v>
      </c>
      <c r="AQ307" s="1519">
        <v>20000</v>
      </c>
      <c r="AR307" s="1153">
        <v>0.9</v>
      </c>
      <c r="AS307" s="1037"/>
    </row>
    <row r="308" spans="2:45" ht="12.75" customHeight="1">
      <c r="B308" s="2109" t="str">
        <f>+$B$7</f>
        <v>住宅・アパート</v>
      </c>
      <c r="C308" s="1045">
        <v>16270</v>
      </c>
      <c r="D308" s="1056" t="s">
        <v>500</v>
      </c>
      <c r="E308" s="1047">
        <v>1.1499999999999999</v>
      </c>
      <c r="F308" s="1047" t="s">
        <v>730</v>
      </c>
      <c r="G308" s="1047">
        <v>1</v>
      </c>
      <c r="H308" s="1047" t="s">
        <v>1195</v>
      </c>
      <c r="I308" s="1048" t="s">
        <v>1195</v>
      </c>
      <c r="J308" s="1056" t="s">
        <v>501</v>
      </c>
      <c r="K308" s="1046">
        <v>0.17</v>
      </c>
      <c r="L308" s="1047">
        <v>1.1000000000000001</v>
      </c>
      <c r="M308" s="1047" t="s">
        <v>502</v>
      </c>
      <c r="N308" s="1047">
        <v>0.14000000000000001</v>
      </c>
      <c r="O308" s="1047">
        <v>1</v>
      </c>
      <c r="P308" s="1047" t="s">
        <v>503</v>
      </c>
      <c r="Q308" s="1053">
        <v>0.08</v>
      </c>
      <c r="R308" s="1048">
        <v>0.8</v>
      </c>
      <c r="S308" s="1154" t="s">
        <v>504</v>
      </c>
      <c r="T308" s="1154">
        <v>200</v>
      </c>
      <c r="U308" s="1047">
        <v>1.05</v>
      </c>
      <c r="V308" s="1051" t="s">
        <v>505</v>
      </c>
      <c r="W308" s="1051">
        <v>500</v>
      </c>
      <c r="X308" s="1047">
        <v>1</v>
      </c>
      <c r="Y308" s="1056" t="s">
        <v>508</v>
      </c>
      <c r="Z308" s="1047">
        <v>1.05</v>
      </c>
      <c r="AA308" s="1047" t="s">
        <v>509</v>
      </c>
      <c r="AB308" s="1047">
        <v>1</v>
      </c>
      <c r="AC308" s="1047" t="s">
        <v>1195</v>
      </c>
      <c r="AD308" s="1048" t="s">
        <v>1195</v>
      </c>
      <c r="AE308" s="1056" t="s">
        <v>510</v>
      </c>
      <c r="AF308" s="1047">
        <v>1.1000000000000001</v>
      </c>
      <c r="AG308" s="1047" t="s">
        <v>511</v>
      </c>
      <c r="AH308" s="1047">
        <v>1</v>
      </c>
      <c r="AI308" s="1047"/>
      <c r="AJ308" s="1048"/>
      <c r="AK308" s="1084">
        <v>360</v>
      </c>
      <c r="AL308" s="1122">
        <v>1.05</v>
      </c>
      <c r="AM308" s="1055">
        <v>1800</v>
      </c>
      <c r="AN308" s="1122">
        <v>1</v>
      </c>
      <c r="AO308" s="1055">
        <v>3600</v>
      </c>
      <c r="AP308" s="1122">
        <v>0.93</v>
      </c>
      <c r="AQ308" s="1590">
        <v>4500</v>
      </c>
      <c r="AR308" s="1156">
        <v>0.9</v>
      </c>
      <c r="AS308" s="1037"/>
    </row>
    <row r="309" spans="2:45" ht="12.75" customHeight="1">
      <c r="B309" s="2109" t="str">
        <f>+$B$8</f>
        <v>病院・ホテル</v>
      </c>
      <c r="C309" s="1045">
        <v>16270</v>
      </c>
      <c r="D309" s="1056" t="s">
        <v>500</v>
      </c>
      <c r="E309" s="1047">
        <v>1.1499999999999999</v>
      </c>
      <c r="F309" s="1047" t="s">
        <v>730</v>
      </c>
      <c r="G309" s="1047">
        <v>1</v>
      </c>
      <c r="H309" s="1047" t="s">
        <v>1195</v>
      </c>
      <c r="I309" s="1048" t="s">
        <v>1195</v>
      </c>
      <c r="J309" s="1056" t="s">
        <v>501</v>
      </c>
      <c r="K309" s="1046">
        <v>0.17</v>
      </c>
      <c r="L309" s="1047">
        <v>1.1000000000000001</v>
      </c>
      <c r="M309" s="1047" t="s">
        <v>502</v>
      </c>
      <c r="N309" s="1047">
        <v>0.14000000000000001</v>
      </c>
      <c r="O309" s="1047">
        <v>1</v>
      </c>
      <c r="P309" s="1047" t="s">
        <v>503</v>
      </c>
      <c r="Q309" s="1053">
        <v>0.08</v>
      </c>
      <c r="R309" s="1048">
        <v>0.8</v>
      </c>
      <c r="S309" s="1154" t="s">
        <v>504</v>
      </c>
      <c r="T309" s="1154">
        <v>200</v>
      </c>
      <c r="U309" s="1047">
        <v>1.05</v>
      </c>
      <c r="V309" s="1051" t="s">
        <v>505</v>
      </c>
      <c r="W309" s="1051">
        <v>500</v>
      </c>
      <c r="X309" s="1047">
        <v>1</v>
      </c>
      <c r="Y309" s="1056" t="s">
        <v>508</v>
      </c>
      <c r="Z309" s="1047">
        <v>1.05</v>
      </c>
      <c r="AA309" s="1047" t="s">
        <v>509</v>
      </c>
      <c r="AB309" s="1047">
        <v>1</v>
      </c>
      <c r="AC309" s="1047" t="s">
        <v>1195</v>
      </c>
      <c r="AD309" s="1048" t="s">
        <v>1195</v>
      </c>
      <c r="AE309" s="1056" t="s">
        <v>510</v>
      </c>
      <c r="AF309" s="1047">
        <v>1.1000000000000001</v>
      </c>
      <c r="AG309" s="1047" t="s">
        <v>511</v>
      </c>
      <c r="AH309" s="1047">
        <v>1</v>
      </c>
      <c r="AI309" s="1047"/>
      <c r="AJ309" s="1048"/>
      <c r="AK309" s="1084">
        <v>1000</v>
      </c>
      <c r="AL309" s="1047">
        <v>1.05</v>
      </c>
      <c r="AM309" s="1055">
        <v>3000</v>
      </c>
      <c r="AN309" s="1047">
        <v>1</v>
      </c>
      <c r="AO309" s="1055">
        <v>10000</v>
      </c>
      <c r="AP309" s="1047">
        <v>0.93</v>
      </c>
      <c r="AQ309" s="1055">
        <v>20000</v>
      </c>
      <c r="AR309" s="1157">
        <v>0.9</v>
      </c>
      <c r="AS309" s="1037"/>
    </row>
    <row r="310" spans="2:45" ht="12.75" customHeight="1">
      <c r="B310" s="2109" t="str">
        <f>+$B$9</f>
        <v>工場・倉庫・市場</v>
      </c>
      <c r="C310" s="1045">
        <v>16270</v>
      </c>
      <c r="D310" s="1056" t="s">
        <v>500</v>
      </c>
      <c r="E310" s="1047">
        <v>1.1499999999999999</v>
      </c>
      <c r="F310" s="1047" t="s">
        <v>730</v>
      </c>
      <c r="G310" s="1047">
        <v>1</v>
      </c>
      <c r="H310" s="1047" t="s">
        <v>1195</v>
      </c>
      <c r="I310" s="1048" t="s">
        <v>1195</v>
      </c>
      <c r="J310" s="1056" t="s">
        <v>501</v>
      </c>
      <c r="K310" s="1046">
        <v>0.17</v>
      </c>
      <c r="L310" s="1047">
        <v>1.1000000000000001</v>
      </c>
      <c r="M310" s="1047" t="s">
        <v>502</v>
      </c>
      <c r="N310" s="1047">
        <v>0.14000000000000001</v>
      </c>
      <c r="O310" s="1047">
        <v>1</v>
      </c>
      <c r="P310" s="1047" t="s">
        <v>503</v>
      </c>
      <c r="Q310" s="1053">
        <v>0.08</v>
      </c>
      <c r="R310" s="1048">
        <v>0.8</v>
      </c>
      <c r="S310" s="1154" t="s">
        <v>504</v>
      </c>
      <c r="T310" s="1154">
        <v>200</v>
      </c>
      <c r="U310" s="1047">
        <v>1.05</v>
      </c>
      <c r="V310" s="1051" t="s">
        <v>505</v>
      </c>
      <c r="W310" s="1051">
        <v>500</v>
      </c>
      <c r="X310" s="1047">
        <v>1</v>
      </c>
      <c r="Y310" s="1056" t="s">
        <v>508</v>
      </c>
      <c r="Z310" s="1047">
        <v>1.05</v>
      </c>
      <c r="AA310" s="1047" t="s">
        <v>509</v>
      </c>
      <c r="AB310" s="1047">
        <v>1</v>
      </c>
      <c r="AC310" s="1047" t="s">
        <v>1195</v>
      </c>
      <c r="AD310" s="1048" t="s">
        <v>1195</v>
      </c>
      <c r="AE310" s="1056" t="s">
        <v>510</v>
      </c>
      <c r="AF310" s="1047">
        <v>1.1000000000000001</v>
      </c>
      <c r="AG310" s="1047" t="s">
        <v>511</v>
      </c>
      <c r="AH310" s="1047">
        <v>1</v>
      </c>
      <c r="AI310" s="1047"/>
      <c r="AJ310" s="1048"/>
      <c r="AK310" s="1084">
        <v>1000</v>
      </c>
      <c r="AL310" s="1047">
        <v>1.05</v>
      </c>
      <c r="AM310" s="1055">
        <v>3000</v>
      </c>
      <c r="AN310" s="1047">
        <v>1</v>
      </c>
      <c r="AO310" s="1055">
        <v>10000</v>
      </c>
      <c r="AP310" s="1047">
        <v>0.93</v>
      </c>
      <c r="AQ310" s="1055">
        <v>20000</v>
      </c>
      <c r="AR310" s="1157">
        <v>0.9</v>
      </c>
      <c r="AS310" s="1037"/>
    </row>
    <row r="311" spans="2:45" ht="12.75" customHeight="1">
      <c r="B311" s="2110" t="str">
        <f>+$B$10</f>
        <v>劇場型建物</v>
      </c>
      <c r="C311" s="1045">
        <v>16270</v>
      </c>
      <c r="D311" s="1063" t="s">
        <v>500</v>
      </c>
      <c r="E311" s="1061">
        <v>1.1499999999999999</v>
      </c>
      <c r="F311" s="1061" t="s">
        <v>730</v>
      </c>
      <c r="G311" s="1061">
        <v>1</v>
      </c>
      <c r="H311" s="1061" t="s">
        <v>1195</v>
      </c>
      <c r="I311" s="1077" t="s">
        <v>1195</v>
      </c>
      <c r="J311" s="1075" t="s">
        <v>501</v>
      </c>
      <c r="K311" s="1060">
        <v>0.17</v>
      </c>
      <c r="L311" s="1061">
        <v>1.1000000000000001</v>
      </c>
      <c r="M311" s="1061" t="s">
        <v>502</v>
      </c>
      <c r="N311" s="1061">
        <v>0.14000000000000001</v>
      </c>
      <c r="O311" s="1061">
        <v>1</v>
      </c>
      <c r="P311" s="1061" t="s">
        <v>503</v>
      </c>
      <c r="Q311" s="1064">
        <v>0.08</v>
      </c>
      <c r="R311" s="1062">
        <v>0.8</v>
      </c>
      <c r="S311" s="1158" t="s">
        <v>504</v>
      </c>
      <c r="T311" s="1158">
        <v>200</v>
      </c>
      <c r="U311" s="1061">
        <v>1.05</v>
      </c>
      <c r="V311" s="1095" t="s">
        <v>505</v>
      </c>
      <c r="W311" s="1095">
        <v>500</v>
      </c>
      <c r="X311" s="1061">
        <v>1</v>
      </c>
      <c r="Y311" s="1063" t="s">
        <v>508</v>
      </c>
      <c r="Z311" s="1061">
        <v>1.05</v>
      </c>
      <c r="AA311" s="1061" t="s">
        <v>509</v>
      </c>
      <c r="AB311" s="1061">
        <v>1</v>
      </c>
      <c r="AC311" s="1061" t="s">
        <v>1195</v>
      </c>
      <c r="AD311" s="1077" t="s">
        <v>1195</v>
      </c>
      <c r="AE311" s="1075" t="s">
        <v>510</v>
      </c>
      <c r="AF311" s="1061">
        <v>1.1000000000000001</v>
      </c>
      <c r="AG311" s="1061" t="s">
        <v>511</v>
      </c>
      <c r="AH311" s="1061">
        <v>1</v>
      </c>
      <c r="AI311" s="1061"/>
      <c r="AJ311" s="1062"/>
      <c r="AK311" s="1086">
        <v>1000</v>
      </c>
      <c r="AL311" s="1076">
        <v>1.05</v>
      </c>
      <c r="AM311" s="1087">
        <v>3000</v>
      </c>
      <c r="AN311" s="1076">
        <v>1</v>
      </c>
      <c r="AO311" s="1087">
        <v>10000</v>
      </c>
      <c r="AP311" s="1076">
        <v>0.93</v>
      </c>
      <c r="AQ311" s="1520">
        <v>20000</v>
      </c>
      <c r="AR311" s="1163">
        <v>0.9</v>
      </c>
      <c r="AS311" s="1037"/>
    </row>
    <row r="312" spans="2:45" ht="12.75" customHeight="1">
      <c r="B312" s="1008" t="s">
        <v>359</v>
      </c>
      <c r="C312" s="1121" t="s">
        <v>225</v>
      </c>
      <c r="D312" s="1014" t="s">
        <v>1080</v>
      </c>
      <c r="E312" s="1015"/>
      <c r="F312" s="1015"/>
      <c r="G312" s="1015"/>
      <c r="H312" s="1015"/>
      <c r="I312" s="1017"/>
      <c r="J312" s="1014" t="s">
        <v>1081</v>
      </c>
      <c r="K312" s="1015"/>
      <c r="L312" s="1015"/>
      <c r="M312" s="1015"/>
      <c r="N312" s="1015"/>
      <c r="O312" s="1017"/>
      <c r="P312" s="1146"/>
      <c r="Q312" s="1146"/>
      <c r="R312" s="1021"/>
      <c r="S312" s="1021"/>
      <c r="T312" s="1021"/>
      <c r="U312" s="1021"/>
      <c r="V312" s="1021"/>
      <c r="W312" s="1021"/>
      <c r="X312" s="1021"/>
      <c r="Y312" s="1021"/>
      <c r="Z312" s="1021"/>
      <c r="AA312" s="1021"/>
      <c r="AB312" s="1021"/>
      <c r="AC312" s="1021"/>
      <c r="AD312" s="1021"/>
      <c r="AE312" s="1021"/>
      <c r="AF312" s="1021"/>
      <c r="AG312" s="1021"/>
      <c r="AH312" s="1021"/>
      <c r="AI312" s="1021"/>
      <c r="AJ312" s="1021"/>
      <c r="AK312" s="1021"/>
      <c r="AL312" s="1021"/>
      <c r="AM312" s="1021"/>
      <c r="AN312" s="1021"/>
      <c r="AO312" s="1021"/>
      <c r="AP312" s="1021"/>
      <c r="AQ312" s="1021"/>
      <c r="AR312" s="1021"/>
      <c r="AS312" s="1022"/>
    </row>
    <row r="313" spans="2:45" ht="12.75" customHeight="1">
      <c r="B313" s="1023"/>
      <c r="C313" s="1024" t="s">
        <v>1082</v>
      </c>
      <c r="D313" s="1029" t="s">
        <v>366</v>
      </c>
      <c r="E313" s="1030"/>
      <c r="F313" s="1030" t="s">
        <v>367</v>
      </c>
      <c r="G313" s="1030"/>
      <c r="H313" s="1030" t="s">
        <v>368</v>
      </c>
      <c r="I313" s="1032"/>
      <c r="J313" s="1029" t="s">
        <v>366</v>
      </c>
      <c r="K313" s="1030"/>
      <c r="L313" s="1030" t="s">
        <v>367</v>
      </c>
      <c r="M313" s="1030"/>
      <c r="N313" s="1030" t="s">
        <v>368</v>
      </c>
      <c r="O313" s="1032"/>
      <c r="P313" s="1518" t="s">
        <v>21</v>
      </c>
      <c r="Q313" s="1149"/>
      <c r="R313" s="1036"/>
      <c r="S313" s="1036"/>
      <c r="T313" s="1036"/>
      <c r="U313" s="1036"/>
      <c r="V313" s="1036"/>
      <c r="W313" s="1036"/>
      <c r="X313" s="1036"/>
      <c r="Y313" s="1036"/>
      <c r="Z313" s="1036"/>
      <c r="AA313" s="1036"/>
      <c r="AB313" s="1036"/>
      <c r="AC313" s="1036"/>
      <c r="AD313" s="1036"/>
      <c r="AE313" s="1036"/>
      <c r="AF313" s="1036"/>
      <c r="AG313" s="1036"/>
      <c r="AH313" s="1036"/>
      <c r="AI313" s="1036"/>
      <c r="AJ313" s="1036"/>
      <c r="AK313" s="1036"/>
      <c r="AL313" s="1036"/>
      <c r="AM313" s="1036"/>
      <c r="AN313" s="1036"/>
      <c r="AO313" s="1036"/>
      <c r="AP313" s="1036"/>
      <c r="AQ313" s="1036"/>
      <c r="AR313" s="1036"/>
      <c r="AS313" s="1037"/>
    </row>
    <row r="314" spans="2:45" ht="12.75" customHeight="1">
      <c r="B314" s="2108" t="str">
        <f>+$B$6</f>
        <v>事務所・店舗・百貨店</v>
      </c>
      <c r="C314" s="2258">
        <v>8790</v>
      </c>
      <c r="D314" s="1038" t="s">
        <v>1083</v>
      </c>
      <c r="E314" s="1039">
        <v>1.2</v>
      </c>
      <c r="F314" s="1039" t="s">
        <v>1084</v>
      </c>
      <c r="G314" s="1039">
        <v>1</v>
      </c>
      <c r="H314" s="1039" t="s">
        <v>1085</v>
      </c>
      <c r="I314" s="1040">
        <v>0.85</v>
      </c>
      <c r="J314" s="1043">
        <v>1000</v>
      </c>
      <c r="K314" s="1039">
        <v>1.05</v>
      </c>
      <c r="L314" s="1044">
        <v>3000</v>
      </c>
      <c r="M314" s="1039">
        <v>1</v>
      </c>
      <c r="N314" s="1044">
        <v>10000</v>
      </c>
      <c r="O314" s="1040">
        <v>0.93</v>
      </c>
      <c r="P314" s="1519">
        <v>20000</v>
      </c>
      <c r="Q314" s="1153">
        <v>0.9</v>
      </c>
      <c r="R314" s="1036"/>
      <c r="S314" s="1036"/>
      <c r="T314" s="1036"/>
      <c r="U314" s="1036"/>
      <c r="V314" s="1036"/>
      <c r="W314" s="1036"/>
      <c r="X314" s="1036"/>
      <c r="Y314" s="1036"/>
      <c r="Z314" s="1036"/>
      <c r="AA314" s="1036"/>
      <c r="AB314" s="1036"/>
      <c r="AC314" s="1036"/>
      <c r="AD314" s="1036"/>
      <c r="AE314" s="1036"/>
      <c r="AF314" s="1036"/>
      <c r="AG314" s="1036"/>
      <c r="AH314" s="1036"/>
      <c r="AI314" s="1036"/>
      <c r="AJ314" s="1036"/>
      <c r="AK314" s="1036"/>
      <c r="AL314" s="1036"/>
      <c r="AM314" s="1036"/>
      <c r="AN314" s="1036"/>
      <c r="AO314" s="1036"/>
      <c r="AP314" s="1036"/>
      <c r="AQ314" s="1036"/>
      <c r="AR314" s="1036"/>
      <c r="AS314" s="1037"/>
    </row>
    <row r="315" spans="2:45" ht="12.75" customHeight="1">
      <c r="B315" s="2109" t="str">
        <f>+$B$7</f>
        <v>住宅・アパート</v>
      </c>
      <c r="C315" s="1045">
        <v>9610</v>
      </c>
      <c r="D315" s="1046" t="s">
        <v>1083</v>
      </c>
      <c r="E315" s="1047">
        <v>1.2</v>
      </c>
      <c r="F315" s="1047" t="s">
        <v>1084</v>
      </c>
      <c r="G315" s="1047">
        <v>1</v>
      </c>
      <c r="H315" s="1047" t="s">
        <v>1085</v>
      </c>
      <c r="I315" s="1048">
        <v>0.85</v>
      </c>
      <c r="J315" s="1054">
        <v>360</v>
      </c>
      <c r="K315" s="1122">
        <v>1.05</v>
      </c>
      <c r="L315" s="1055">
        <v>1800</v>
      </c>
      <c r="M315" s="1122">
        <v>1</v>
      </c>
      <c r="N315" s="1055">
        <v>3600</v>
      </c>
      <c r="O315" s="1123">
        <v>0.93</v>
      </c>
      <c r="P315" s="1590">
        <v>4500</v>
      </c>
      <c r="Q315" s="1156">
        <v>0.9</v>
      </c>
      <c r="R315" s="1036"/>
      <c r="S315" s="1036"/>
      <c r="T315" s="1036"/>
      <c r="U315" s="1036"/>
      <c r="V315" s="1036"/>
      <c r="W315" s="1036"/>
      <c r="X315" s="1036"/>
      <c r="Y315" s="1036"/>
      <c r="Z315" s="1036"/>
      <c r="AA315" s="1036"/>
      <c r="AB315" s="1036"/>
      <c r="AC315" s="1036"/>
      <c r="AD315" s="1036"/>
      <c r="AE315" s="1036"/>
      <c r="AF315" s="1036"/>
      <c r="AG315" s="1036"/>
      <c r="AH315" s="1036"/>
      <c r="AI315" s="1036"/>
      <c r="AJ315" s="1036"/>
      <c r="AK315" s="1036"/>
      <c r="AL315" s="1036"/>
      <c r="AM315" s="1036"/>
      <c r="AN315" s="1036"/>
      <c r="AO315" s="1036"/>
      <c r="AP315" s="1036"/>
      <c r="AQ315" s="1036"/>
      <c r="AR315" s="1036"/>
      <c r="AS315" s="1037"/>
    </row>
    <row r="316" spans="2:45" ht="12.75" customHeight="1">
      <c r="B316" s="2109" t="str">
        <f>+$B$8</f>
        <v>病院・ホテル</v>
      </c>
      <c r="C316" s="1045">
        <v>9610</v>
      </c>
      <c r="D316" s="1046" t="s">
        <v>1083</v>
      </c>
      <c r="E316" s="1047">
        <v>1.2</v>
      </c>
      <c r="F316" s="1047" t="s">
        <v>1084</v>
      </c>
      <c r="G316" s="1047">
        <v>1</v>
      </c>
      <c r="H316" s="1047" t="s">
        <v>1085</v>
      </c>
      <c r="I316" s="1048">
        <v>0.85</v>
      </c>
      <c r="J316" s="1054">
        <v>1000</v>
      </c>
      <c r="K316" s="1047">
        <v>1.05</v>
      </c>
      <c r="L316" s="1055">
        <v>3000</v>
      </c>
      <c r="M316" s="1047">
        <v>1</v>
      </c>
      <c r="N316" s="1055">
        <v>10000</v>
      </c>
      <c r="O316" s="1048">
        <v>0.93</v>
      </c>
      <c r="P316" s="1055">
        <v>20000</v>
      </c>
      <c r="Q316" s="1157">
        <v>0.9</v>
      </c>
      <c r="R316" s="1036"/>
      <c r="S316" s="1036"/>
      <c r="T316" s="1036"/>
      <c r="U316" s="1036"/>
      <c r="V316" s="1036"/>
      <c r="W316" s="1036"/>
      <c r="X316" s="1036"/>
      <c r="Y316" s="1036"/>
      <c r="Z316" s="1036"/>
      <c r="AA316" s="1036"/>
      <c r="AB316" s="1036"/>
      <c r="AC316" s="1036"/>
      <c r="AD316" s="1036"/>
      <c r="AE316" s="1036"/>
      <c r="AF316" s="1036"/>
      <c r="AG316" s="1036"/>
      <c r="AH316" s="1036"/>
      <c r="AI316" s="1036"/>
      <c r="AJ316" s="1036"/>
      <c r="AK316" s="1036"/>
      <c r="AL316" s="1036"/>
      <c r="AM316" s="1036"/>
      <c r="AN316" s="1036"/>
      <c r="AO316" s="1036"/>
      <c r="AP316" s="1036"/>
      <c r="AQ316" s="1036"/>
      <c r="AR316" s="1036"/>
      <c r="AS316" s="1037"/>
    </row>
    <row r="317" spans="2:45" ht="12.75" customHeight="1">
      <c r="B317" s="2109" t="str">
        <f>+$B$9</f>
        <v>工場・倉庫・市場</v>
      </c>
      <c r="C317" s="1045">
        <v>8790</v>
      </c>
      <c r="D317" s="1046" t="s">
        <v>1083</v>
      </c>
      <c r="E317" s="1047">
        <v>1.2</v>
      </c>
      <c r="F317" s="1047" t="s">
        <v>1084</v>
      </c>
      <c r="G317" s="1047">
        <v>1</v>
      </c>
      <c r="H317" s="1047" t="s">
        <v>1085</v>
      </c>
      <c r="I317" s="1048">
        <v>0.85</v>
      </c>
      <c r="J317" s="1054">
        <v>1000</v>
      </c>
      <c r="K317" s="1047">
        <v>1.05</v>
      </c>
      <c r="L317" s="1055">
        <v>3000</v>
      </c>
      <c r="M317" s="1047">
        <v>1</v>
      </c>
      <c r="N317" s="1055">
        <v>10000</v>
      </c>
      <c r="O317" s="1048">
        <v>0.93</v>
      </c>
      <c r="P317" s="1055">
        <v>20000</v>
      </c>
      <c r="Q317" s="1157">
        <v>0.9</v>
      </c>
      <c r="R317" s="1036"/>
      <c r="S317" s="1036"/>
      <c r="T317" s="1036"/>
      <c r="U317" s="1036"/>
      <c r="V317" s="1036"/>
      <c r="W317" s="1036"/>
      <c r="X317" s="1036"/>
      <c r="Y317" s="1036"/>
      <c r="Z317" s="1036"/>
      <c r="AA317" s="1036"/>
      <c r="AB317" s="1036"/>
      <c r="AC317" s="1036"/>
      <c r="AD317" s="1036"/>
      <c r="AE317" s="1036"/>
      <c r="AF317" s="1036"/>
      <c r="AG317" s="1036"/>
      <c r="AH317" s="1036"/>
      <c r="AI317" s="1036"/>
      <c r="AJ317" s="1036"/>
      <c r="AK317" s="1036"/>
      <c r="AL317" s="1036"/>
      <c r="AM317" s="1036"/>
      <c r="AN317" s="1036"/>
      <c r="AO317" s="1036"/>
      <c r="AP317" s="1036"/>
      <c r="AQ317" s="1036"/>
      <c r="AR317" s="1036"/>
      <c r="AS317" s="1037"/>
    </row>
    <row r="318" spans="2:45" ht="12.75" customHeight="1">
      <c r="B318" s="2110" t="str">
        <f>+$B$10</f>
        <v>劇場型建物</v>
      </c>
      <c r="C318" s="2463">
        <v>8790</v>
      </c>
      <c r="D318" s="1060" t="s">
        <v>1083</v>
      </c>
      <c r="E318" s="1061">
        <v>1.2</v>
      </c>
      <c r="F318" s="1061" t="s">
        <v>1084</v>
      </c>
      <c r="G318" s="1061">
        <v>1</v>
      </c>
      <c r="H318" s="1061" t="s">
        <v>1085</v>
      </c>
      <c r="I318" s="1062">
        <v>0.85</v>
      </c>
      <c r="J318" s="1065">
        <v>1000</v>
      </c>
      <c r="K318" s="1061">
        <v>1.05</v>
      </c>
      <c r="L318" s="1066">
        <v>3000</v>
      </c>
      <c r="M318" s="1061">
        <v>1</v>
      </c>
      <c r="N318" s="1066">
        <v>10000</v>
      </c>
      <c r="O318" s="1062">
        <v>0.93</v>
      </c>
      <c r="P318" s="1520">
        <v>20000</v>
      </c>
      <c r="Q318" s="1163">
        <v>0.9</v>
      </c>
      <c r="R318" s="1036"/>
      <c r="S318" s="1036"/>
      <c r="T318" s="1036"/>
      <c r="U318" s="1036"/>
      <c r="V318" s="1036"/>
      <c r="W318" s="1036"/>
      <c r="X318" s="1036"/>
      <c r="Y318" s="1036"/>
      <c r="Z318" s="1036"/>
      <c r="AA318" s="1036"/>
      <c r="AB318" s="1036"/>
      <c r="AC318" s="1036"/>
      <c r="AD318" s="1036"/>
      <c r="AE318" s="1036"/>
      <c r="AF318" s="1036"/>
      <c r="AG318" s="1036"/>
      <c r="AH318" s="1036"/>
      <c r="AI318" s="1036"/>
      <c r="AJ318" s="1036"/>
      <c r="AK318" s="1036"/>
      <c r="AL318" s="1036"/>
      <c r="AM318" s="1036"/>
      <c r="AN318" s="1036"/>
      <c r="AO318" s="1036"/>
      <c r="AP318" s="1036"/>
      <c r="AQ318" s="1036"/>
      <c r="AR318" s="1036"/>
      <c r="AS318" s="1037"/>
    </row>
    <row r="319" spans="2:45" ht="12.75" customHeight="1">
      <c r="B319" s="1008" t="s">
        <v>359</v>
      </c>
      <c r="C319" s="1121" t="s">
        <v>1086</v>
      </c>
      <c r="D319" s="1013" t="s">
        <v>1087</v>
      </c>
      <c r="E319" s="1014"/>
      <c r="F319" s="1015"/>
      <c r="G319" s="1015"/>
      <c r="H319" s="1015"/>
      <c r="I319" s="1015"/>
      <c r="J319" s="1015"/>
      <c r="K319" s="1016"/>
      <c r="L319" s="1017"/>
      <c r="M319" s="1014" t="s">
        <v>1088</v>
      </c>
      <c r="N319" s="1015"/>
      <c r="O319" s="1015"/>
      <c r="P319" s="1015"/>
      <c r="Q319" s="1015"/>
      <c r="R319" s="1017"/>
      <c r="S319" s="1014" t="s">
        <v>1089</v>
      </c>
      <c r="T319" s="1015"/>
      <c r="U319" s="1015"/>
      <c r="V319" s="1015"/>
      <c r="W319" s="1015"/>
      <c r="X319" s="1016"/>
      <c r="Y319" s="1146"/>
      <c r="Z319" s="1146"/>
      <c r="AA319" s="1021"/>
      <c r="AB319" s="1020"/>
      <c r="AC319" s="1020"/>
      <c r="AD319" s="1021"/>
      <c r="AE319" s="1021"/>
      <c r="AF319" s="1021"/>
      <c r="AG319" s="1021"/>
      <c r="AH319" s="1021"/>
      <c r="AI319" s="1021"/>
      <c r="AJ319" s="1021"/>
      <c r="AK319" s="1021"/>
      <c r="AL319" s="1021"/>
      <c r="AM319" s="1021"/>
      <c r="AN319" s="1021"/>
      <c r="AO319" s="1021"/>
      <c r="AP319" s="1021"/>
      <c r="AQ319" s="1021"/>
      <c r="AR319" s="1021"/>
      <c r="AS319" s="1022"/>
    </row>
    <row r="320" spans="2:45" ht="12.75" customHeight="1">
      <c r="B320" s="1023"/>
      <c r="C320" s="1024" t="s">
        <v>1090</v>
      </c>
      <c r="D320" s="1028" t="s">
        <v>366</v>
      </c>
      <c r="E320" s="1029"/>
      <c r="F320" s="1030"/>
      <c r="G320" s="1030" t="s">
        <v>367</v>
      </c>
      <c r="H320" s="1030"/>
      <c r="I320" s="1030"/>
      <c r="J320" s="1030" t="s">
        <v>368</v>
      </c>
      <c r="K320" s="1031"/>
      <c r="L320" s="1032"/>
      <c r="M320" s="1029" t="s">
        <v>366</v>
      </c>
      <c r="N320" s="1030"/>
      <c r="O320" s="1030" t="s">
        <v>367</v>
      </c>
      <c r="P320" s="1030"/>
      <c r="Q320" s="1030" t="s">
        <v>368</v>
      </c>
      <c r="R320" s="1032"/>
      <c r="S320" s="1029" t="s">
        <v>366</v>
      </c>
      <c r="T320" s="1030"/>
      <c r="U320" s="1030" t="s">
        <v>367</v>
      </c>
      <c r="V320" s="1030"/>
      <c r="W320" s="1030" t="s">
        <v>368</v>
      </c>
      <c r="X320" s="1031"/>
      <c r="Y320" s="1518" t="s">
        <v>21</v>
      </c>
      <c r="Z320" s="1149"/>
      <c r="AA320" s="1036"/>
      <c r="AB320" s="1035"/>
      <c r="AC320" s="1035"/>
      <c r="AD320" s="1036"/>
      <c r="AE320" s="1036"/>
      <c r="AF320" s="1036"/>
      <c r="AG320" s="1036"/>
      <c r="AH320" s="1036"/>
      <c r="AI320" s="1036"/>
      <c r="AJ320" s="1036"/>
      <c r="AK320" s="1036"/>
      <c r="AL320" s="1036"/>
      <c r="AM320" s="1036"/>
      <c r="AN320" s="1036"/>
      <c r="AO320" s="1036"/>
      <c r="AP320" s="1036"/>
      <c r="AQ320" s="1036"/>
      <c r="AR320" s="1036"/>
      <c r="AS320" s="1037"/>
    </row>
    <row r="321" spans="2:51" ht="12.75" customHeight="1">
      <c r="B321" s="2108" t="str">
        <f>+$B$6</f>
        <v>事務所・店舗・百貨店</v>
      </c>
      <c r="C321" s="2258">
        <v>10990</v>
      </c>
      <c r="D321" s="1150" t="s">
        <v>504</v>
      </c>
      <c r="E321" s="1150">
        <v>200</v>
      </c>
      <c r="F321" s="1039">
        <v>1.05</v>
      </c>
      <c r="G321" s="1092" t="s">
        <v>505</v>
      </c>
      <c r="H321" s="1092">
        <v>500</v>
      </c>
      <c r="I321" s="1039">
        <v>1</v>
      </c>
      <c r="J321" s="1039" t="s">
        <v>1195</v>
      </c>
      <c r="K321" s="1042" t="s">
        <v>1195</v>
      </c>
      <c r="L321" s="1040" t="s">
        <v>1195</v>
      </c>
      <c r="M321" s="1038" t="s">
        <v>500</v>
      </c>
      <c r="N321" s="1039">
        <v>1.2</v>
      </c>
      <c r="O321" s="1039" t="s">
        <v>730</v>
      </c>
      <c r="P321" s="1039">
        <v>1</v>
      </c>
      <c r="Q321" s="1042" t="s">
        <v>1195</v>
      </c>
      <c r="R321" s="1040" t="s">
        <v>1195</v>
      </c>
      <c r="S321" s="1043">
        <v>1000</v>
      </c>
      <c r="T321" s="1039">
        <v>1.05</v>
      </c>
      <c r="U321" s="1044">
        <v>3000</v>
      </c>
      <c r="V321" s="1039">
        <v>1</v>
      </c>
      <c r="W321" s="1044">
        <v>10000</v>
      </c>
      <c r="X321" s="1042">
        <v>0.93</v>
      </c>
      <c r="Y321" s="1519">
        <v>20000</v>
      </c>
      <c r="Z321" s="1153">
        <v>0.9</v>
      </c>
      <c r="AA321" s="1036"/>
      <c r="AB321" s="1035"/>
      <c r="AC321" s="1035"/>
      <c r="AD321" s="1036"/>
      <c r="AE321" s="1036"/>
      <c r="AF321" s="1036"/>
      <c r="AG321" s="1036"/>
      <c r="AH321" s="1036"/>
      <c r="AI321" s="1036"/>
      <c r="AJ321" s="1036"/>
      <c r="AK321" s="1036"/>
      <c r="AL321" s="1036"/>
      <c r="AM321" s="1036"/>
      <c r="AN321" s="1036"/>
      <c r="AO321" s="1036"/>
      <c r="AP321" s="1036"/>
      <c r="AQ321" s="1036"/>
      <c r="AR321" s="1036"/>
      <c r="AS321" s="1037"/>
    </row>
    <row r="322" spans="2:51" ht="12.75" customHeight="1">
      <c r="B322" s="2109" t="str">
        <f>+$B$7</f>
        <v>住宅・アパート</v>
      </c>
      <c r="C322" s="1045">
        <v>12150</v>
      </c>
      <c r="D322" s="1154" t="s">
        <v>504</v>
      </c>
      <c r="E322" s="1154">
        <v>200</v>
      </c>
      <c r="F322" s="1047">
        <v>1.05</v>
      </c>
      <c r="G322" s="1051" t="s">
        <v>505</v>
      </c>
      <c r="H322" s="1051">
        <v>500</v>
      </c>
      <c r="I322" s="1047">
        <v>1</v>
      </c>
      <c r="J322" s="1047" t="s">
        <v>1195</v>
      </c>
      <c r="K322" s="1053" t="s">
        <v>1195</v>
      </c>
      <c r="L322" s="1048" t="s">
        <v>1195</v>
      </c>
      <c r="M322" s="1046" t="s">
        <v>500</v>
      </c>
      <c r="N322" s="1047">
        <v>1.2</v>
      </c>
      <c r="O322" s="1047" t="s">
        <v>730</v>
      </c>
      <c r="P322" s="1047">
        <v>1</v>
      </c>
      <c r="Q322" s="1053" t="s">
        <v>1195</v>
      </c>
      <c r="R322" s="1048" t="s">
        <v>1195</v>
      </c>
      <c r="S322" s="1054">
        <v>360</v>
      </c>
      <c r="T322" s="1122">
        <v>1.05</v>
      </c>
      <c r="U322" s="1055">
        <v>1800</v>
      </c>
      <c r="V322" s="1122">
        <v>1</v>
      </c>
      <c r="W322" s="1055">
        <v>3600</v>
      </c>
      <c r="X322" s="1164">
        <v>0.93</v>
      </c>
      <c r="Y322" s="1590">
        <v>4500</v>
      </c>
      <c r="Z322" s="1156">
        <v>0.9</v>
      </c>
      <c r="AA322" s="1036"/>
      <c r="AB322" s="1035"/>
      <c r="AC322" s="1035"/>
      <c r="AD322" s="1036"/>
      <c r="AE322" s="1036"/>
      <c r="AF322" s="1036"/>
      <c r="AG322" s="1036"/>
      <c r="AH322" s="1036"/>
      <c r="AI322" s="1036"/>
      <c r="AJ322" s="1036"/>
      <c r="AK322" s="1036"/>
      <c r="AL322" s="1036"/>
      <c r="AM322" s="1036"/>
      <c r="AN322" s="1036"/>
      <c r="AO322" s="1036"/>
      <c r="AP322" s="1036"/>
      <c r="AQ322" s="1036"/>
      <c r="AR322" s="1036"/>
      <c r="AS322" s="1037"/>
    </row>
    <row r="323" spans="2:51" ht="12.75" customHeight="1">
      <c r="B323" s="2109" t="str">
        <f>+$B$8</f>
        <v>病院・ホテル</v>
      </c>
      <c r="C323" s="1045">
        <v>12150</v>
      </c>
      <c r="D323" s="1154" t="s">
        <v>504</v>
      </c>
      <c r="E323" s="1154">
        <v>200</v>
      </c>
      <c r="F323" s="1047">
        <v>1.05</v>
      </c>
      <c r="G323" s="1051" t="s">
        <v>505</v>
      </c>
      <c r="H323" s="1051">
        <v>500</v>
      </c>
      <c r="I323" s="1047">
        <v>1</v>
      </c>
      <c r="J323" s="1047" t="s">
        <v>1195</v>
      </c>
      <c r="K323" s="1053" t="s">
        <v>1195</v>
      </c>
      <c r="L323" s="1048" t="s">
        <v>1195</v>
      </c>
      <c r="M323" s="1046" t="s">
        <v>500</v>
      </c>
      <c r="N323" s="1047">
        <v>1.2</v>
      </c>
      <c r="O323" s="1047" t="s">
        <v>730</v>
      </c>
      <c r="P323" s="1047">
        <v>1</v>
      </c>
      <c r="Q323" s="1053" t="s">
        <v>1195</v>
      </c>
      <c r="R323" s="1048" t="s">
        <v>1195</v>
      </c>
      <c r="S323" s="1054">
        <v>1000</v>
      </c>
      <c r="T323" s="1047">
        <v>1.05</v>
      </c>
      <c r="U323" s="1055">
        <v>3000</v>
      </c>
      <c r="V323" s="1047">
        <v>1</v>
      </c>
      <c r="W323" s="1055">
        <v>10000</v>
      </c>
      <c r="X323" s="1053">
        <v>0.93</v>
      </c>
      <c r="Y323" s="1055">
        <v>20000</v>
      </c>
      <c r="Z323" s="1157">
        <v>0.9</v>
      </c>
      <c r="AA323" s="1036"/>
      <c r="AB323" s="1035"/>
      <c r="AC323" s="1035"/>
      <c r="AD323" s="1036"/>
      <c r="AE323" s="1036"/>
      <c r="AF323" s="1036"/>
      <c r="AG323" s="1036"/>
      <c r="AH323" s="1036"/>
      <c r="AI323" s="1036"/>
      <c r="AJ323" s="1036"/>
      <c r="AK323" s="1036"/>
      <c r="AL323" s="1036"/>
      <c r="AM323" s="1036"/>
      <c r="AN323" s="1036"/>
      <c r="AO323" s="1036"/>
      <c r="AP323" s="1036"/>
      <c r="AQ323" s="1036"/>
      <c r="AR323" s="1036"/>
      <c r="AS323" s="1037"/>
    </row>
    <row r="324" spans="2:51" ht="12.75" customHeight="1">
      <c r="B324" s="2109" t="str">
        <f>+$B$9</f>
        <v>工場・倉庫・市場</v>
      </c>
      <c r="C324" s="1045">
        <v>10990</v>
      </c>
      <c r="D324" s="1154" t="s">
        <v>504</v>
      </c>
      <c r="E324" s="1154">
        <v>200</v>
      </c>
      <c r="F324" s="1047">
        <v>1.05</v>
      </c>
      <c r="G324" s="1051" t="s">
        <v>505</v>
      </c>
      <c r="H324" s="1051">
        <v>500</v>
      </c>
      <c r="I324" s="1047">
        <v>1</v>
      </c>
      <c r="J324" s="1047" t="s">
        <v>1195</v>
      </c>
      <c r="K324" s="1053" t="s">
        <v>1195</v>
      </c>
      <c r="L324" s="1048" t="s">
        <v>1195</v>
      </c>
      <c r="M324" s="1046" t="s">
        <v>500</v>
      </c>
      <c r="N324" s="1047">
        <v>1.2</v>
      </c>
      <c r="O324" s="1047" t="s">
        <v>730</v>
      </c>
      <c r="P324" s="1047">
        <v>1</v>
      </c>
      <c r="Q324" s="1053" t="s">
        <v>1195</v>
      </c>
      <c r="R324" s="1048" t="s">
        <v>1195</v>
      </c>
      <c r="S324" s="1054">
        <v>1000</v>
      </c>
      <c r="T324" s="1047">
        <v>1.05</v>
      </c>
      <c r="U324" s="1055">
        <v>3000</v>
      </c>
      <c r="V324" s="1047">
        <v>1</v>
      </c>
      <c r="W324" s="1055">
        <v>10000</v>
      </c>
      <c r="X324" s="1053">
        <v>0.93</v>
      </c>
      <c r="Y324" s="1055">
        <v>20000</v>
      </c>
      <c r="Z324" s="1157">
        <v>0.9</v>
      </c>
      <c r="AA324" s="1036"/>
      <c r="AB324" s="1035"/>
      <c r="AC324" s="1035"/>
      <c r="AD324" s="1036"/>
      <c r="AE324" s="1036"/>
      <c r="AF324" s="1036"/>
      <c r="AG324" s="1036"/>
      <c r="AH324" s="1036"/>
      <c r="AI324" s="1036"/>
      <c r="AJ324" s="1036"/>
      <c r="AK324" s="1036"/>
      <c r="AL324" s="1036"/>
      <c r="AM324" s="1036"/>
      <c r="AN324" s="1036"/>
      <c r="AO324" s="1036"/>
      <c r="AP324" s="1036"/>
      <c r="AQ324" s="1036"/>
      <c r="AR324" s="1036"/>
      <c r="AS324" s="1037"/>
    </row>
    <row r="325" spans="2:51" ht="12.75" customHeight="1">
      <c r="B325" s="2110" t="str">
        <f>+$B$10</f>
        <v>劇場型建物</v>
      </c>
      <c r="C325" s="2463">
        <v>10990</v>
      </c>
      <c r="D325" s="1158" t="s">
        <v>504</v>
      </c>
      <c r="E325" s="1158">
        <v>200</v>
      </c>
      <c r="F325" s="1061">
        <v>1.05</v>
      </c>
      <c r="G325" s="1095" t="s">
        <v>505</v>
      </c>
      <c r="H325" s="1095">
        <v>500</v>
      </c>
      <c r="I325" s="1061">
        <v>1</v>
      </c>
      <c r="J325" s="1061" t="s">
        <v>1195</v>
      </c>
      <c r="K325" s="1064" t="s">
        <v>1195</v>
      </c>
      <c r="L325" s="1062" t="s">
        <v>1195</v>
      </c>
      <c r="M325" s="1060" t="s">
        <v>500</v>
      </c>
      <c r="N325" s="1061">
        <v>1.2</v>
      </c>
      <c r="O325" s="1061" t="s">
        <v>730</v>
      </c>
      <c r="P325" s="1061">
        <v>1</v>
      </c>
      <c r="Q325" s="1064" t="s">
        <v>1195</v>
      </c>
      <c r="R325" s="1062" t="s">
        <v>1195</v>
      </c>
      <c r="S325" s="1065">
        <v>1000</v>
      </c>
      <c r="T325" s="1061">
        <v>1.05</v>
      </c>
      <c r="U325" s="1066">
        <v>3000</v>
      </c>
      <c r="V325" s="1061">
        <v>1</v>
      </c>
      <c r="W325" s="1066">
        <v>10000</v>
      </c>
      <c r="X325" s="1064">
        <v>0.93</v>
      </c>
      <c r="Y325" s="1520">
        <v>20000</v>
      </c>
      <c r="Z325" s="1163">
        <v>0.9</v>
      </c>
      <c r="AA325" s="1089"/>
      <c r="AB325" s="1035"/>
      <c r="AC325" s="1035"/>
      <c r="AD325" s="1036"/>
      <c r="AE325" s="1036"/>
      <c r="AF325" s="1036"/>
      <c r="AG325" s="1036"/>
      <c r="AH325" s="1036"/>
      <c r="AI325" s="1036"/>
      <c r="AJ325" s="1036"/>
      <c r="AK325" s="1036"/>
      <c r="AL325" s="1036"/>
      <c r="AM325" s="1036"/>
      <c r="AN325" s="1036"/>
      <c r="AO325" s="1036"/>
      <c r="AP325" s="1036"/>
      <c r="AQ325" s="1036"/>
      <c r="AR325" s="1036"/>
      <c r="AS325" s="1037"/>
    </row>
    <row r="326" spans="2:51" ht="12.75" customHeight="1">
      <c r="B326" s="1008" t="s">
        <v>359</v>
      </c>
      <c r="C326" s="1121" t="s">
        <v>1091</v>
      </c>
      <c r="D326" s="1129" t="s">
        <v>1092</v>
      </c>
      <c r="E326" s="1128"/>
      <c r="F326" s="1011"/>
      <c r="G326" s="1011"/>
      <c r="H326" s="1011"/>
      <c r="I326" s="1012"/>
      <c r="J326" s="1854"/>
      <c r="K326" s="1855"/>
      <c r="L326" s="1856"/>
      <c r="M326" s="1856"/>
      <c r="N326" s="1856"/>
      <c r="O326" s="1856"/>
      <c r="P326" s="1098"/>
      <c r="Q326" s="1098"/>
      <c r="R326" s="1098"/>
      <c r="S326" s="1098"/>
      <c r="T326" s="1098"/>
      <c r="U326" s="1098"/>
      <c r="V326" s="1098"/>
      <c r="W326" s="1098"/>
      <c r="X326" s="1098"/>
      <c r="Y326" s="1098"/>
      <c r="Z326" s="1098"/>
      <c r="AA326" s="1098"/>
      <c r="AB326" s="1098"/>
      <c r="AC326" s="1098"/>
      <c r="AD326" s="1098"/>
      <c r="AE326" s="1098"/>
      <c r="AF326" s="1098"/>
      <c r="AG326" s="1098"/>
      <c r="AH326" s="1020"/>
      <c r="AI326" s="1020"/>
      <c r="AJ326" s="1021"/>
      <c r="AK326" s="1021"/>
      <c r="AL326" s="1021"/>
      <c r="AM326" s="1021"/>
      <c r="AN326" s="1021"/>
      <c r="AO326" s="1021"/>
      <c r="AP326" s="1021"/>
      <c r="AQ326" s="1021"/>
      <c r="AR326" s="1021"/>
      <c r="AS326" s="1021"/>
      <c r="AT326" s="1021"/>
      <c r="AU326" s="1021"/>
      <c r="AV326" s="1021"/>
      <c r="AW326" s="1021"/>
      <c r="AX326" s="1021"/>
      <c r="AY326" s="1022"/>
    </row>
    <row r="327" spans="2:51" ht="12.75" customHeight="1">
      <c r="B327" s="1023"/>
      <c r="C327" s="1024" t="s">
        <v>1093</v>
      </c>
      <c r="D327" s="1028" t="s">
        <v>366</v>
      </c>
      <c r="E327" s="1030"/>
      <c r="F327" s="1030" t="s">
        <v>367</v>
      </c>
      <c r="G327" s="1030"/>
      <c r="H327" s="1030" t="s">
        <v>368</v>
      </c>
      <c r="I327" s="1032"/>
      <c r="J327" s="1449"/>
      <c r="K327" s="1450"/>
      <c r="L327" s="1134"/>
      <c r="M327" s="1134"/>
      <c r="N327" s="1134"/>
      <c r="O327" s="1134"/>
      <c r="P327" s="1082"/>
      <c r="Q327" s="1082"/>
      <c r="R327" s="1082"/>
      <c r="S327" s="1082"/>
      <c r="T327" s="1082"/>
      <c r="U327" s="1082"/>
      <c r="V327" s="1082"/>
      <c r="W327" s="1082"/>
      <c r="X327" s="1082"/>
      <c r="Y327" s="1082"/>
      <c r="Z327" s="1082"/>
      <c r="AA327" s="1082"/>
      <c r="AB327" s="1082"/>
      <c r="AC327" s="1082"/>
      <c r="AD327" s="1082"/>
      <c r="AE327" s="1082"/>
      <c r="AF327" s="1082"/>
      <c r="AG327" s="1082"/>
      <c r="AH327" s="1035"/>
      <c r="AI327" s="1035"/>
      <c r="AJ327" s="1036"/>
      <c r="AK327" s="1036"/>
      <c r="AL327" s="1036"/>
      <c r="AM327" s="1036"/>
      <c r="AN327" s="1036"/>
      <c r="AO327" s="1036"/>
      <c r="AP327" s="1036"/>
      <c r="AQ327" s="1036"/>
      <c r="AR327" s="1036"/>
      <c r="AS327" s="1036"/>
      <c r="AT327" s="1036"/>
      <c r="AU327" s="1036"/>
      <c r="AV327" s="1036"/>
      <c r="AW327" s="1036"/>
      <c r="AX327" s="1036"/>
      <c r="AY327" s="1037"/>
    </row>
    <row r="328" spans="2:51" ht="12.75" customHeight="1">
      <c r="B328" s="2108" t="str">
        <f>+$B$6</f>
        <v>事務所・店舗・百貨店</v>
      </c>
      <c r="C328" s="2258">
        <v>14260</v>
      </c>
      <c r="D328" s="1041" t="s">
        <v>434</v>
      </c>
      <c r="E328" s="1039">
        <v>1.2</v>
      </c>
      <c r="F328" s="1039" t="s">
        <v>375</v>
      </c>
      <c r="G328" s="1039">
        <v>1</v>
      </c>
      <c r="H328" s="1039" t="s">
        <v>435</v>
      </c>
      <c r="I328" s="1040">
        <v>0.8</v>
      </c>
      <c r="J328" s="1081"/>
      <c r="K328" s="1082"/>
      <c r="L328" s="1082"/>
      <c r="M328" s="1082"/>
      <c r="N328" s="1082"/>
      <c r="O328" s="1082"/>
      <c r="P328" s="1082"/>
      <c r="Q328" s="1082"/>
      <c r="R328" s="1082"/>
      <c r="S328" s="1082"/>
      <c r="T328" s="1082"/>
      <c r="U328" s="1082"/>
      <c r="V328" s="1082"/>
      <c r="W328" s="1082"/>
      <c r="X328" s="1082"/>
      <c r="Y328" s="1082"/>
      <c r="Z328" s="1082"/>
      <c r="AA328" s="1082"/>
      <c r="AB328" s="1082"/>
      <c r="AC328" s="1082"/>
      <c r="AD328" s="1082"/>
      <c r="AE328" s="1082"/>
      <c r="AF328" s="1082"/>
      <c r="AG328" s="1082"/>
      <c r="AH328" s="1035"/>
      <c r="AI328" s="1035"/>
      <c r="AJ328" s="1036"/>
      <c r="AK328" s="1036"/>
      <c r="AL328" s="1036"/>
      <c r="AM328" s="1036"/>
      <c r="AN328" s="1036"/>
      <c r="AO328" s="1036"/>
      <c r="AP328" s="1036"/>
      <c r="AQ328" s="1036"/>
      <c r="AR328" s="1036"/>
      <c r="AS328" s="1036"/>
      <c r="AT328" s="1036"/>
      <c r="AU328" s="1036"/>
      <c r="AV328" s="1036"/>
      <c r="AW328" s="1036"/>
      <c r="AX328" s="1036"/>
      <c r="AY328" s="1037"/>
    </row>
    <row r="329" spans="2:51" ht="12.75" customHeight="1">
      <c r="B329" s="2109" t="str">
        <f>+$B$7</f>
        <v>住宅・アパート</v>
      </c>
      <c r="C329" s="1045">
        <v>14260</v>
      </c>
      <c r="D329" s="1056" t="s">
        <v>434</v>
      </c>
      <c r="E329" s="1047">
        <v>1.2</v>
      </c>
      <c r="F329" s="1047" t="s">
        <v>375</v>
      </c>
      <c r="G329" s="1047">
        <v>1</v>
      </c>
      <c r="H329" s="1047" t="s">
        <v>435</v>
      </c>
      <c r="I329" s="1048">
        <v>0.8</v>
      </c>
      <c r="J329" s="1081"/>
      <c r="K329" s="1082"/>
      <c r="L329" s="1082"/>
      <c r="M329" s="1082"/>
      <c r="N329" s="1082"/>
      <c r="O329" s="1082"/>
      <c r="P329" s="1082"/>
      <c r="Q329" s="1082"/>
      <c r="R329" s="1082"/>
      <c r="S329" s="1082"/>
      <c r="T329" s="1082"/>
      <c r="U329" s="1082"/>
      <c r="V329" s="1082"/>
      <c r="W329" s="1082"/>
      <c r="X329" s="1082"/>
      <c r="Y329" s="1082"/>
      <c r="Z329" s="1082"/>
      <c r="AA329" s="1082"/>
      <c r="AB329" s="1082"/>
      <c r="AC329" s="1082"/>
      <c r="AD329" s="1082"/>
      <c r="AE329" s="1082"/>
      <c r="AF329" s="1082"/>
      <c r="AG329" s="1082"/>
      <c r="AH329" s="1035"/>
      <c r="AI329" s="1035"/>
      <c r="AJ329" s="1036"/>
      <c r="AK329" s="1036"/>
      <c r="AL329" s="1036"/>
      <c r="AM329" s="1036"/>
      <c r="AN329" s="1036"/>
      <c r="AO329" s="1036"/>
      <c r="AP329" s="1036"/>
      <c r="AQ329" s="1036"/>
      <c r="AR329" s="1036"/>
      <c r="AS329" s="1036"/>
      <c r="AT329" s="1036"/>
      <c r="AU329" s="1036"/>
      <c r="AV329" s="1036"/>
      <c r="AW329" s="1036"/>
      <c r="AX329" s="1036"/>
      <c r="AY329" s="1037"/>
    </row>
    <row r="330" spans="2:51" ht="12.75" customHeight="1">
      <c r="B330" s="2109" t="str">
        <f>+$B$8</f>
        <v>病院・ホテル</v>
      </c>
      <c r="C330" s="1045">
        <v>14260</v>
      </c>
      <c r="D330" s="1056" t="s">
        <v>434</v>
      </c>
      <c r="E330" s="1047">
        <v>1.2</v>
      </c>
      <c r="F330" s="1047" t="s">
        <v>375</v>
      </c>
      <c r="G330" s="1047">
        <v>1</v>
      </c>
      <c r="H330" s="1047" t="s">
        <v>435</v>
      </c>
      <c r="I330" s="1048">
        <v>0.8</v>
      </c>
      <c r="J330" s="1081"/>
      <c r="K330" s="1082"/>
      <c r="L330" s="1082"/>
      <c r="M330" s="1082"/>
      <c r="N330" s="1082"/>
      <c r="O330" s="1082"/>
      <c r="P330" s="1082"/>
      <c r="Q330" s="1082"/>
      <c r="R330" s="1082"/>
      <c r="S330" s="1082"/>
      <c r="T330" s="1082"/>
      <c r="U330" s="1082"/>
      <c r="V330" s="1082"/>
      <c r="W330" s="1082"/>
      <c r="X330" s="1082"/>
      <c r="Y330" s="1082"/>
      <c r="Z330" s="1082"/>
      <c r="AA330" s="1082"/>
      <c r="AB330" s="1082"/>
      <c r="AC330" s="1082"/>
      <c r="AD330" s="1082"/>
      <c r="AE330" s="1082"/>
      <c r="AF330" s="1082"/>
      <c r="AG330" s="1082"/>
      <c r="AH330" s="1035"/>
      <c r="AI330" s="1035"/>
      <c r="AJ330" s="1036"/>
      <c r="AK330" s="1036"/>
      <c r="AL330" s="1036"/>
      <c r="AM330" s="1036"/>
      <c r="AN330" s="1036"/>
      <c r="AO330" s="1036"/>
      <c r="AP330" s="1036"/>
      <c r="AQ330" s="1036"/>
      <c r="AR330" s="1036"/>
      <c r="AS330" s="1036"/>
      <c r="AT330" s="1036"/>
      <c r="AU330" s="1036"/>
      <c r="AV330" s="1036"/>
      <c r="AW330" s="1036"/>
      <c r="AX330" s="1036"/>
      <c r="AY330" s="1037"/>
    </row>
    <row r="331" spans="2:51" ht="12.75" customHeight="1">
      <c r="B331" s="2109" t="str">
        <f>+$B$9</f>
        <v>工場・倉庫・市場</v>
      </c>
      <c r="C331" s="1045">
        <v>14260</v>
      </c>
      <c r="D331" s="1056" t="s">
        <v>434</v>
      </c>
      <c r="E331" s="1047">
        <v>1.2</v>
      </c>
      <c r="F331" s="1047" t="s">
        <v>375</v>
      </c>
      <c r="G331" s="1047">
        <v>1</v>
      </c>
      <c r="H331" s="1047" t="s">
        <v>435</v>
      </c>
      <c r="I331" s="1048">
        <v>0.8</v>
      </c>
      <c r="J331" s="1081"/>
      <c r="K331" s="1082"/>
      <c r="L331" s="1082"/>
      <c r="M331" s="1082"/>
      <c r="N331" s="1082"/>
      <c r="O331" s="1082"/>
      <c r="P331" s="1082"/>
      <c r="Q331" s="1082"/>
      <c r="R331" s="1082"/>
      <c r="S331" s="1082"/>
      <c r="T331" s="1082"/>
      <c r="U331" s="1082"/>
      <c r="V331" s="1082"/>
      <c r="W331" s="1082"/>
      <c r="X331" s="1082"/>
      <c r="Y331" s="1082"/>
      <c r="Z331" s="1082"/>
      <c r="AA331" s="1082"/>
      <c r="AB331" s="1082"/>
      <c r="AC331" s="1082"/>
      <c r="AD331" s="1082"/>
      <c r="AE331" s="1082"/>
      <c r="AF331" s="1082"/>
      <c r="AG331" s="1082"/>
      <c r="AH331" s="1035"/>
      <c r="AI331" s="1035"/>
      <c r="AJ331" s="1036"/>
      <c r="AK331" s="1036"/>
      <c r="AL331" s="1036"/>
      <c r="AM331" s="1036"/>
      <c r="AN331" s="1036"/>
      <c r="AO331" s="1036"/>
      <c r="AP331" s="1036"/>
      <c r="AQ331" s="1036"/>
      <c r="AR331" s="1036"/>
      <c r="AS331" s="1036"/>
      <c r="AT331" s="1036"/>
      <c r="AU331" s="1036"/>
      <c r="AV331" s="1036"/>
      <c r="AW331" s="1036"/>
      <c r="AX331" s="1036"/>
      <c r="AY331" s="1037"/>
    </row>
    <row r="332" spans="2:51" ht="12.75" customHeight="1">
      <c r="B332" s="2110" t="str">
        <f>+$B$10</f>
        <v>劇場型建物</v>
      </c>
      <c r="C332" s="1045">
        <v>14260</v>
      </c>
      <c r="D332" s="1063" t="s">
        <v>434</v>
      </c>
      <c r="E332" s="1061">
        <v>1.2</v>
      </c>
      <c r="F332" s="1061" t="s">
        <v>375</v>
      </c>
      <c r="G332" s="1061">
        <v>1</v>
      </c>
      <c r="H332" s="1061" t="s">
        <v>435</v>
      </c>
      <c r="I332" s="1062">
        <v>0.8</v>
      </c>
      <c r="J332" s="1857"/>
      <c r="K332" s="1858"/>
      <c r="L332" s="1858"/>
      <c r="M332" s="1858"/>
      <c r="N332" s="1858"/>
      <c r="O332" s="1858"/>
      <c r="P332" s="1082"/>
      <c r="Q332" s="1082"/>
      <c r="R332" s="1082"/>
      <c r="S332" s="1082"/>
      <c r="T332" s="1082"/>
      <c r="U332" s="1082"/>
      <c r="V332" s="1082"/>
      <c r="W332" s="1082"/>
      <c r="X332" s="1082"/>
      <c r="Y332" s="1082"/>
      <c r="Z332" s="1082"/>
      <c r="AA332" s="1082"/>
      <c r="AB332" s="1082"/>
      <c r="AC332" s="1082"/>
      <c r="AD332" s="1082"/>
      <c r="AE332" s="1082"/>
      <c r="AF332" s="1082"/>
      <c r="AG332" s="1082"/>
      <c r="AH332" s="1035"/>
      <c r="AI332" s="1035"/>
      <c r="AJ332" s="1036"/>
      <c r="AK332" s="1036"/>
      <c r="AL332" s="1036"/>
      <c r="AM332" s="1036"/>
      <c r="AN332" s="1036"/>
      <c r="AO332" s="1036"/>
      <c r="AP332" s="1036"/>
      <c r="AQ332" s="1036"/>
      <c r="AR332" s="1036"/>
      <c r="AS332" s="1036"/>
      <c r="AT332" s="1036"/>
      <c r="AU332" s="1036"/>
      <c r="AV332" s="1036"/>
      <c r="AW332" s="1036"/>
      <c r="AX332" s="1036"/>
      <c r="AY332" s="1037"/>
    </row>
    <row r="333" spans="2:51" ht="12.75" customHeight="1">
      <c r="B333" s="1008" t="s">
        <v>359</v>
      </c>
      <c r="C333" s="1121" t="s">
        <v>231</v>
      </c>
      <c r="D333" s="1014" t="s">
        <v>1094</v>
      </c>
      <c r="E333" s="1015"/>
      <c r="F333" s="1015"/>
      <c r="G333" s="1015"/>
      <c r="H333" s="1015"/>
      <c r="I333" s="1017"/>
      <c r="J333" s="1013" t="s">
        <v>1095</v>
      </c>
      <c r="K333" s="1015"/>
      <c r="L333" s="1015"/>
      <c r="M333" s="1015"/>
      <c r="N333" s="1015"/>
      <c r="O333" s="1016"/>
      <c r="P333" s="1013" t="s">
        <v>1096</v>
      </c>
      <c r="Q333" s="1015"/>
      <c r="R333" s="1015"/>
      <c r="S333" s="1015"/>
      <c r="T333" s="1015"/>
      <c r="U333" s="1017"/>
      <c r="V333" s="1103"/>
      <c r="W333" s="1098"/>
      <c r="X333" s="1098"/>
      <c r="Y333" s="1098"/>
      <c r="Z333" s="1098"/>
      <c r="AA333" s="1098"/>
      <c r="AB333" s="1098"/>
      <c r="AC333" s="1098"/>
      <c r="AD333" s="1098"/>
      <c r="AE333" s="1098"/>
      <c r="AF333" s="1098"/>
      <c r="AG333" s="1098"/>
      <c r="AH333" s="1020"/>
      <c r="AI333" s="1020"/>
      <c r="AJ333" s="1021"/>
      <c r="AK333" s="1021"/>
      <c r="AL333" s="1021"/>
      <c r="AM333" s="1021"/>
      <c r="AN333" s="1021"/>
      <c r="AO333" s="1021"/>
      <c r="AP333" s="1021"/>
      <c r="AQ333" s="1021"/>
      <c r="AR333" s="1021"/>
      <c r="AS333" s="1021"/>
      <c r="AT333" s="1021"/>
      <c r="AU333" s="1021"/>
      <c r="AV333" s="1021"/>
      <c r="AW333" s="1021"/>
      <c r="AX333" s="1021"/>
      <c r="AY333" s="1022"/>
    </row>
    <row r="334" spans="2:51" ht="12.75" customHeight="1">
      <c r="B334" s="1023"/>
      <c r="C334" s="1024" t="s">
        <v>1097</v>
      </c>
      <c r="D334" s="1029" t="s">
        <v>366</v>
      </c>
      <c r="E334" s="1030"/>
      <c r="F334" s="1030" t="s">
        <v>367</v>
      </c>
      <c r="G334" s="1030"/>
      <c r="H334" s="1030" t="s">
        <v>368</v>
      </c>
      <c r="I334" s="1032"/>
      <c r="J334" s="1028" t="s">
        <v>366</v>
      </c>
      <c r="K334" s="1030"/>
      <c r="L334" s="1030" t="s">
        <v>367</v>
      </c>
      <c r="M334" s="1030"/>
      <c r="N334" s="1030" t="s">
        <v>368</v>
      </c>
      <c r="O334" s="1031"/>
      <c r="P334" s="1028" t="s">
        <v>366</v>
      </c>
      <c r="Q334" s="1030"/>
      <c r="R334" s="1030" t="s">
        <v>367</v>
      </c>
      <c r="S334" s="1030"/>
      <c r="T334" s="1030" t="s">
        <v>368</v>
      </c>
      <c r="U334" s="1032"/>
      <c r="V334" s="1081"/>
      <c r="W334" s="1082"/>
      <c r="X334" s="1082"/>
      <c r="Y334" s="1082"/>
      <c r="Z334" s="1082"/>
      <c r="AA334" s="1082"/>
      <c r="AB334" s="1082"/>
      <c r="AC334" s="1082"/>
      <c r="AD334" s="1082"/>
      <c r="AE334" s="1082"/>
      <c r="AF334" s="1082"/>
      <c r="AG334" s="1082"/>
      <c r="AH334" s="1035"/>
      <c r="AI334" s="1035"/>
      <c r="AJ334" s="1036"/>
      <c r="AK334" s="1036"/>
      <c r="AL334" s="1036"/>
      <c r="AM334" s="1036"/>
      <c r="AN334" s="1036"/>
      <c r="AO334" s="1036"/>
      <c r="AP334" s="1036"/>
      <c r="AQ334" s="1036"/>
      <c r="AR334" s="1036"/>
      <c r="AS334" s="1036"/>
      <c r="AT334" s="1036"/>
      <c r="AU334" s="1036"/>
      <c r="AV334" s="1036"/>
      <c r="AW334" s="1036"/>
      <c r="AX334" s="1036"/>
      <c r="AY334" s="1037"/>
    </row>
    <row r="335" spans="2:51" ht="12.75" customHeight="1">
      <c r="B335" s="2108" t="str">
        <f>+$B$6</f>
        <v>事務所・店舗・百貨店</v>
      </c>
      <c r="C335" s="2258">
        <v>4200</v>
      </c>
      <c r="D335" s="1038" t="s">
        <v>1003</v>
      </c>
      <c r="E335" s="1039">
        <v>1.6</v>
      </c>
      <c r="F335" s="1039" t="s">
        <v>1004</v>
      </c>
      <c r="G335" s="1039">
        <v>1</v>
      </c>
      <c r="H335" s="1042" t="s">
        <v>1195</v>
      </c>
      <c r="I335" s="1040" t="s">
        <v>1195</v>
      </c>
      <c r="J335" s="1072" t="s">
        <v>1195</v>
      </c>
      <c r="K335" s="1073" t="s">
        <v>1195</v>
      </c>
      <c r="L335" s="1073" t="s">
        <v>1005</v>
      </c>
      <c r="M335" s="1073">
        <v>1</v>
      </c>
      <c r="N335" s="1073" t="s">
        <v>1006</v>
      </c>
      <c r="O335" s="1074">
        <v>0.5</v>
      </c>
      <c r="P335" s="1041" t="s">
        <v>1007</v>
      </c>
      <c r="Q335" s="1039">
        <v>1.1000000000000001</v>
      </c>
      <c r="R335" s="1039" t="s">
        <v>375</v>
      </c>
      <c r="S335" s="1039">
        <v>1</v>
      </c>
      <c r="T335" s="1039" t="s">
        <v>1008</v>
      </c>
      <c r="U335" s="1040">
        <v>0.8</v>
      </c>
      <c r="V335" s="1081"/>
      <c r="W335" s="1082"/>
      <c r="X335" s="1082"/>
      <c r="Y335" s="1082"/>
      <c r="Z335" s="1082"/>
      <c r="AA335" s="1082"/>
      <c r="AB335" s="1082"/>
      <c r="AC335" s="1082"/>
      <c r="AD335" s="1082"/>
      <c r="AE335" s="1082"/>
      <c r="AF335" s="1082"/>
      <c r="AG335" s="1082"/>
      <c r="AH335" s="1035"/>
      <c r="AI335" s="1035"/>
      <c r="AJ335" s="1036"/>
      <c r="AK335" s="1036"/>
      <c r="AL335" s="1036"/>
      <c r="AM335" s="1036"/>
      <c r="AN335" s="1036"/>
      <c r="AO335" s="1036"/>
      <c r="AP335" s="1036"/>
      <c r="AQ335" s="1036"/>
      <c r="AR335" s="1036"/>
      <c r="AS335" s="1036"/>
      <c r="AT335" s="1036"/>
      <c r="AU335" s="1036"/>
      <c r="AV335" s="1036"/>
      <c r="AW335" s="1036"/>
      <c r="AX335" s="1036"/>
      <c r="AY335" s="1037"/>
    </row>
    <row r="336" spans="2:51" ht="12.75" customHeight="1">
      <c r="B336" s="2109" t="str">
        <f>+$B$7</f>
        <v>住宅・アパート</v>
      </c>
      <c r="C336" s="1045" t="s">
        <v>2371</v>
      </c>
      <c r="D336" s="1046" t="s">
        <v>1009</v>
      </c>
      <c r="E336" s="1047" t="s">
        <v>1009</v>
      </c>
      <c r="F336" s="1047" t="s">
        <v>1009</v>
      </c>
      <c r="G336" s="1047" t="s">
        <v>1009</v>
      </c>
      <c r="H336" s="1053" t="s">
        <v>1195</v>
      </c>
      <c r="I336" s="1048" t="s">
        <v>1195</v>
      </c>
      <c r="J336" s="1056" t="s">
        <v>1195</v>
      </c>
      <c r="K336" s="1047" t="s">
        <v>1195</v>
      </c>
      <c r="L336" s="1047" t="s">
        <v>1009</v>
      </c>
      <c r="M336" s="1047" t="s">
        <v>1009</v>
      </c>
      <c r="N336" s="1047" t="s">
        <v>1009</v>
      </c>
      <c r="O336" s="1048" t="s">
        <v>1009</v>
      </c>
      <c r="P336" s="1056" t="s">
        <v>1009</v>
      </c>
      <c r="Q336" s="1047" t="s">
        <v>1009</v>
      </c>
      <c r="R336" s="1047" t="s">
        <v>1009</v>
      </c>
      <c r="S336" s="1047" t="s">
        <v>1009</v>
      </c>
      <c r="T336" s="1047" t="s">
        <v>1009</v>
      </c>
      <c r="U336" s="1048" t="s">
        <v>1009</v>
      </c>
      <c r="V336" s="1081"/>
      <c r="W336" s="1082"/>
      <c r="X336" s="1082"/>
      <c r="Y336" s="1082"/>
      <c r="Z336" s="1082"/>
      <c r="AA336" s="1082"/>
      <c r="AB336" s="1082"/>
      <c r="AC336" s="1082"/>
      <c r="AD336" s="1082"/>
      <c r="AE336" s="1082"/>
      <c r="AF336" s="1082"/>
      <c r="AG336" s="1082"/>
      <c r="AH336" s="1035"/>
      <c r="AI336" s="1035"/>
      <c r="AJ336" s="1036"/>
      <c r="AK336" s="1036"/>
      <c r="AL336" s="1036"/>
      <c r="AM336" s="1036"/>
      <c r="AN336" s="1036"/>
      <c r="AO336" s="1036"/>
      <c r="AP336" s="1036"/>
      <c r="AQ336" s="1036"/>
      <c r="AR336" s="1036"/>
      <c r="AS336" s="1036"/>
      <c r="AT336" s="1036"/>
      <c r="AU336" s="1036"/>
      <c r="AV336" s="1036"/>
      <c r="AW336" s="1036"/>
      <c r="AX336" s="1036"/>
      <c r="AY336" s="1037"/>
    </row>
    <row r="337" spans="2:51" ht="12.75" customHeight="1">
      <c r="B337" s="2109" t="str">
        <f>+$B$8</f>
        <v>病院・ホテル</v>
      </c>
      <c r="C337" s="1045">
        <v>4200</v>
      </c>
      <c r="D337" s="1046" t="s">
        <v>1003</v>
      </c>
      <c r="E337" s="1047">
        <v>1.6</v>
      </c>
      <c r="F337" s="1047" t="s">
        <v>1004</v>
      </c>
      <c r="G337" s="1047">
        <v>1</v>
      </c>
      <c r="H337" s="1053" t="s">
        <v>1195</v>
      </c>
      <c r="I337" s="1048" t="s">
        <v>1195</v>
      </c>
      <c r="J337" s="1056" t="s">
        <v>1195</v>
      </c>
      <c r="K337" s="1047" t="s">
        <v>1195</v>
      </c>
      <c r="L337" s="1047" t="s">
        <v>1005</v>
      </c>
      <c r="M337" s="1047">
        <v>1</v>
      </c>
      <c r="N337" s="1047" t="s">
        <v>1006</v>
      </c>
      <c r="O337" s="1048">
        <v>0.5</v>
      </c>
      <c r="P337" s="1056" t="s">
        <v>777</v>
      </c>
      <c r="Q337" s="1047">
        <v>1.1000000000000001</v>
      </c>
      <c r="R337" s="1047" t="s">
        <v>822</v>
      </c>
      <c r="S337" s="1047">
        <v>1</v>
      </c>
      <c r="T337" s="1047" t="s">
        <v>1010</v>
      </c>
      <c r="U337" s="1048">
        <v>0.8</v>
      </c>
      <c r="V337" s="1081"/>
      <c r="W337" s="1082"/>
      <c r="X337" s="1082"/>
      <c r="Y337" s="1082"/>
      <c r="Z337" s="1082"/>
      <c r="AA337" s="1082"/>
      <c r="AB337" s="1082"/>
      <c r="AC337" s="1082"/>
      <c r="AD337" s="1082"/>
      <c r="AE337" s="1082"/>
      <c r="AF337" s="1082"/>
      <c r="AG337" s="1082"/>
      <c r="AH337" s="1035"/>
      <c r="AI337" s="1035"/>
      <c r="AJ337" s="1036"/>
      <c r="AK337" s="1036"/>
      <c r="AL337" s="1036"/>
      <c r="AM337" s="1036"/>
      <c r="AN337" s="1036"/>
      <c r="AO337" s="1036"/>
      <c r="AP337" s="1036"/>
      <c r="AQ337" s="1036"/>
      <c r="AR337" s="1036"/>
      <c r="AS337" s="1036"/>
      <c r="AT337" s="1036"/>
      <c r="AU337" s="1036"/>
      <c r="AV337" s="1036"/>
      <c r="AW337" s="1036"/>
      <c r="AX337" s="1036"/>
      <c r="AY337" s="1037"/>
    </row>
    <row r="338" spans="2:51" ht="12.75" customHeight="1">
      <c r="B338" s="2109" t="str">
        <f>+$B$9</f>
        <v>工場・倉庫・市場</v>
      </c>
      <c r="C338" s="1045">
        <v>1690</v>
      </c>
      <c r="D338" s="1046" t="s">
        <v>1003</v>
      </c>
      <c r="E338" s="1047">
        <v>1.6</v>
      </c>
      <c r="F338" s="1047" t="s">
        <v>1004</v>
      </c>
      <c r="G338" s="1047">
        <v>1</v>
      </c>
      <c r="H338" s="1053" t="s">
        <v>1195</v>
      </c>
      <c r="I338" s="1048" t="s">
        <v>1195</v>
      </c>
      <c r="J338" s="1056" t="s">
        <v>1195</v>
      </c>
      <c r="K338" s="1047" t="s">
        <v>1195</v>
      </c>
      <c r="L338" s="1047" t="s">
        <v>1005</v>
      </c>
      <c r="M338" s="1047">
        <v>1</v>
      </c>
      <c r="N338" s="1047" t="s">
        <v>1006</v>
      </c>
      <c r="O338" s="1048">
        <v>0.5</v>
      </c>
      <c r="P338" s="1056" t="s">
        <v>777</v>
      </c>
      <c r="Q338" s="1047">
        <v>1.1000000000000001</v>
      </c>
      <c r="R338" s="1047" t="s">
        <v>822</v>
      </c>
      <c r="S338" s="1047">
        <v>1</v>
      </c>
      <c r="T338" s="1047" t="s">
        <v>1010</v>
      </c>
      <c r="U338" s="1048">
        <v>0.8</v>
      </c>
      <c r="V338" s="1081"/>
      <c r="W338" s="1082"/>
      <c r="X338" s="1082"/>
      <c r="Y338" s="1082"/>
      <c r="Z338" s="1082"/>
      <c r="AA338" s="1082"/>
      <c r="AB338" s="1082"/>
      <c r="AC338" s="1082"/>
      <c r="AD338" s="1082"/>
      <c r="AE338" s="1082"/>
      <c r="AF338" s="1082"/>
      <c r="AG338" s="1082"/>
      <c r="AH338" s="1035"/>
      <c r="AI338" s="1035"/>
      <c r="AJ338" s="1036"/>
      <c r="AK338" s="1036"/>
      <c r="AL338" s="1036"/>
      <c r="AM338" s="1036"/>
      <c r="AN338" s="1036"/>
      <c r="AO338" s="1036"/>
      <c r="AP338" s="1036"/>
      <c r="AQ338" s="1036"/>
      <c r="AR338" s="1036"/>
      <c r="AS338" s="1036"/>
      <c r="AT338" s="1036"/>
      <c r="AU338" s="1036"/>
      <c r="AV338" s="1036"/>
      <c r="AW338" s="1036"/>
      <c r="AX338" s="1036"/>
      <c r="AY338" s="1037"/>
    </row>
    <row r="339" spans="2:51" ht="12.75" customHeight="1">
      <c r="B339" s="2110" t="str">
        <f>+$B$10</f>
        <v>劇場型建物</v>
      </c>
      <c r="C339" s="1102">
        <v>4200</v>
      </c>
      <c r="D339" s="1060" t="s">
        <v>1003</v>
      </c>
      <c r="E339" s="1061">
        <v>1.6</v>
      </c>
      <c r="F339" s="1061" t="s">
        <v>1004</v>
      </c>
      <c r="G339" s="1061">
        <v>1</v>
      </c>
      <c r="H339" s="1064" t="s">
        <v>1195</v>
      </c>
      <c r="I339" s="1062" t="s">
        <v>1195</v>
      </c>
      <c r="J339" s="1075" t="s">
        <v>1195</v>
      </c>
      <c r="K339" s="1076" t="s">
        <v>1195</v>
      </c>
      <c r="L339" s="1076" t="s">
        <v>1005</v>
      </c>
      <c r="M339" s="1076">
        <v>1</v>
      </c>
      <c r="N339" s="1076" t="s">
        <v>1006</v>
      </c>
      <c r="O339" s="1077">
        <v>0.5</v>
      </c>
      <c r="P339" s="1063" t="s">
        <v>777</v>
      </c>
      <c r="Q339" s="1061">
        <v>1.1000000000000001</v>
      </c>
      <c r="R339" s="1061" t="s">
        <v>822</v>
      </c>
      <c r="S339" s="1061">
        <v>1</v>
      </c>
      <c r="T339" s="1061" t="s">
        <v>1010</v>
      </c>
      <c r="U339" s="1062">
        <v>0.8</v>
      </c>
      <c r="V339" s="1081"/>
      <c r="W339" s="1082"/>
      <c r="X339" s="1082"/>
      <c r="Y339" s="1082"/>
      <c r="Z339" s="1082"/>
      <c r="AA339" s="1082"/>
      <c r="AB339" s="1082"/>
      <c r="AC339" s="1082"/>
      <c r="AD339" s="1082"/>
      <c r="AE339" s="1082"/>
      <c r="AF339" s="1082"/>
      <c r="AG339" s="1082"/>
      <c r="AH339" s="1035"/>
      <c r="AI339" s="1035"/>
      <c r="AJ339" s="1036"/>
      <c r="AK339" s="1036"/>
      <c r="AL339" s="1036"/>
      <c r="AM339" s="1036"/>
      <c r="AN339" s="1036"/>
      <c r="AO339" s="1036"/>
      <c r="AP339" s="1036"/>
      <c r="AQ339" s="1036"/>
      <c r="AR339" s="1036"/>
      <c r="AS339" s="1036"/>
      <c r="AT339" s="1036"/>
      <c r="AU339" s="1036"/>
      <c r="AV339" s="1036"/>
      <c r="AW339" s="1036"/>
      <c r="AX339" s="1036"/>
      <c r="AY339" s="1037"/>
    </row>
    <row r="340" spans="2:51" ht="12.75" customHeight="1">
      <c r="B340" s="1008" t="s">
        <v>359</v>
      </c>
      <c r="C340" s="1503" t="s">
        <v>2153</v>
      </c>
      <c r="D340" s="1014" t="s">
        <v>1094</v>
      </c>
      <c r="E340" s="1015"/>
      <c r="F340" s="1015"/>
      <c r="G340" s="1015"/>
      <c r="H340" s="1015"/>
      <c r="I340" s="1017"/>
      <c r="J340" s="1129" t="s">
        <v>1011</v>
      </c>
      <c r="K340" s="1128"/>
      <c r="L340" s="1011"/>
      <c r="M340" s="1011"/>
      <c r="N340" s="1011"/>
      <c r="O340" s="1012"/>
      <c r="P340" s="1098"/>
      <c r="Q340" s="1098"/>
      <c r="R340" s="1098"/>
      <c r="S340" s="1098"/>
      <c r="T340" s="1098"/>
      <c r="U340" s="1098"/>
      <c r="V340" s="1098"/>
      <c r="W340" s="1098"/>
      <c r="X340" s="1098"/>
      <c r="Y340" s="1098"/>
      <c r="Z340" s="1098"/>
      <c r="AA340" s="1098"/>
      <c r="AB340" s="1098"/>
      <c r="AC340" s="1098"/>
      <c r="AD340" s="1098"/>
      <c r="AE340" s="1098"/>
      <c r="AF340" s="1098"/>
      <c r="AG340" s="1098"/>
      <c r="AH340" s="1020"/>
      <c r="AI340" s="1020"/>
      <c r="AJ340" s="1021"/>
      <c r="AK340" s="1021"/>
      <c r="AL340" s="1021"/>
      <c r="AM340" s="1021"/>
      <c r="AN340" s="1021"/>
      <c r="AO340" s="1021"/>
      <c r="AP340" s="1021"/>
      <c r="AQ340" s="1021"/>
      <c r="AR340" s="1021"/>
      <c r="AS340" s="1021"/>
      <c r="AT340" s="1021"/>
      <c r="AU340" s="1021"/>
      <c r="AV340" s="1021"/>
      <c r="AW340" s="1021"/>
      <c r="AX340" s="1021"/>
      <c r="AY340" s="1022"/>
    </row>
    <row r="341" spans="2:51" ht="12.75" customHeight="1">
      <c r="B341" s="1023"/>
      <c r="C341" s="1024" t="s">
        <v>2155</v>
      </c>
      <c r="D341" s="1029" t="s">
        <v>366</v>
      </c>
      <c r="E341" s="1030"/>
      <c r="F341" s="1030" t="s">
        <v>367</v>
      </c>
      <c r="G341" s="1030"/>
      <c r="H341" s="1030" t="s">
        <v>368</v>
      </c>
      <c r="I341" s="1032"/>
      <c r="J341" s="1028" t="s">
        <v>366</v>
      </c>
      <c r="K341" s="1030"/>
      <c r="L341" s="1030" t="s">
        <v>367</v>
      </c>
      <c r="M341" s="1030"/>
      <c r="N341" s="1030" t="s">
        <v>368</v>
      </c>
      <c r="O341" s="1032"/>
      <c r="P341" s="1082"/>
      <c r="Q341" s="1082"/>
      <c r="R341" s="1082"/>
      <c r="S341" s="1082"/>
      <c r="T341" s="1082"/>
      <c r="U341" s="1082"/>
      <c r="V341" s="1082"/>
      <c r="W341" s="1082"/>
      <c r="X341" s="1082"/>
      <c r="Y341" s="1082"/>
      <c r="Z341" s="1082"/>
      <c r="AA341" s="1082"/>
      <c r="AB341" s="1082"/>
      <c r="AC341" s="1082"/>
      <c r="AD341" s="1082"/>
      <c r="AE341" s="1082"/>
      <c r="AF341" s="1082"/>
      <c r="AG341" s="1082"/>
      <c r="AH341" s="1035"/>
      <c r="AI341" s="1035"/>
      <c r="AJ341" s="1036"/>
      <c r="AK341" s="1036"/>
      <c r="AL341" s="1036"/>
      <c r="AM341" s="1036"/>
      <c r="AN341" s="1036"/>
      <c r="AO341" s="1036"/>
      <c r="AP341" s="1036"/>
      <c r="AQ341" s="1036"/>
      <c r="AR341" s="1036"/>
      <c r="AS341" s="1036"/>
      <c r="AT341" s="1036"/>
      <c r="AU341" s="1036"/>
      <c r="AV341" s="1036"/>
      <c r="AW341" s="1036"/>
      <c r="AX341" s="1036"/>
      <c r="AY341" s="1037"/>
    </row>
    <row r="342" spans="2:51" ht="12.75" customHeight="1">
      <c r="B342" s="2108" t="str">
        <f>+$B$6</f>
        <v>事務所・店舗・百貨店</v>
      </c>
      <c r="C342" s="1521" t="s">
        <v>1341</v>
      </c>
      <c r="D342" s="1038" t="s">
        <v>1012</v>
      </c>
      <c r="E342" s="1039" t="s">
        <v>1012</v>
      </c>
      <c r="F342" s="1039" t="s">
        <v>1012</v>
      </c>
      <c r="G342" s="1039" t="s">
        <v>1012</v>
      </c>
      <c r="H342" s="1039" t="s">
        <v>1012</v>
      </c>
      <c r="I342" s="1040" t="s">
        <v>1012</v>
      </c>
      <c r="J342" s="1038" t="s">
        <v>1012</v>
      </c>
      <c r="K342" s="1039" t="s">
        <v>1012</v>
      </c>
      <c r="L342" s="1039" t="s">
        <v>1012</v>
      </c>
      <c r="M342" s="1039" t="s">
        <v>1012</v>
      </c>
      <c r="N342" s="1039" t="s">
        <v>1012</v>
      </c>
      <c r="O342" s="1040" t="s">
        <v>1012</v>
      </c>
      <c r="P342" s="1082"/>
      <c r="Q342" s="1082"/>
      <c r="R342" s="1082"/>
      <c r="S342" s="1082"/>
      <c r="T342" s="1082"/>
      <c r="U342" s="1082"/>
      <c r="V342" s="1082"/>
      <c r="W342" s="1082"/>
      <c r="X342" s="1082"/>
      <c r="Y342" s="1082"/>
      <c r="Z342" s="1082"/>
      <c r="AA342" s="1082"/>
      <c r="AB342" s="1082"/>
      <c r="AC342" s="1082"/>
      <c r="AD342" s="1082"/>
      <c r="AE342" s="1082"/>
      <c r="AF342" s="1082"/>
      <c r="AG342" s="1082"/>
      <c r="AH342" s="1035"/>
      <c r="AI342" s="1035"/>
      <c r="AJ342" s="1036"/>
      <c r="AK342" s="1036"/>
      <c r="AL342" s="1036"/>
      <c r="AM342" s="1036"/>
      <c r="AN342" s="1036"/>
      <c r="AO342" s="1036"/>
      <c r="AP342" s="1036"/>
      <c r="AQ342" s="1036"/>
      <c r="AR342" s="1036"/>
      <c r="AS342" s="1036"/>
      <c r="AT342" s="1036"/>
      <c r="AU342" s="1036"/>
      <c r="AV342" s="1036"/>
      <c r="AW342" s="1036"/>
      <c r="AX342" s="1036"/>
      <c r="AY342" s="1037"/>
    </row>
    <row r="343" spans="2:51" ht="12.75" customHeight="1">
      <c r="B343" s="2109" t="str">
        <f>+$B$7</f>
        <v>住宅・アパート</v>
      </c>
      <c r="C343" s="1045">
        <v>630</v>
      </c>
      <c r="D343" s="1046" t="s">
        <v>2157</v>
      </c>
      <c r="E343" s="1047">
        <v>3</v>
      </c>
      <c r="F343" s="1047" t="s">
        <v>2158</v>
      </c>
      <c r="G343" s="1047">
        <v>1.7</v>
      </c>
      <c r="H343" s="1047" t="s">
        <v>2159</v>
      </c>
      <c r="I343" s="1048">
        <v>1</v>
      </c>
      <c r="J343" s="1056" t="s">
        <v>434</v>
      </c>
      <c r="K343" s="1047">
        <v>1.2</v>
      </c>
      <c r="L343" s="1047" t="s">
        <v>375</v>
      </c>
      <c r="M343" s="1047">
        <v>1</v>
      </c>
      <c r="N343" s="1047" t="s">
        <v>435</v>
      </c>
      <c r="O343" s="1048">
        <v>0.8</v>
      </c>
      <c r="P343" s="1082"/>
      <c r="Q343" s="1082"/>
      <c r="R343" s="1082"/>
      <c r="S343" s="1082"/>
      <c r="T343" s="1082"/>
      <c r="U343" s="1082"/>
      <c r="V343" s="1082"/>
      <c r="W343" s="1082"/>
      <c r="X343" s="1082"/>
      <c r="Y343" s="1082"/>
      <c r="Z343" s="1082"/>
      <c r="AA343" s="1082"/>
      <c r="AB343" s="1082"/>
      <c r="AC343" s="1082"/>
      <c r="AD343" s="1082"/>
      <c r="AE343" s="1082"/>
      <c r="AF343" s="1082"/>
      <c r="AG343" s="1082"/>
      <c r="AH343" s="1035"/>
      <c r="AI343" s="1035"/>
      <c r="AJ343" s="1036"/>
      <c r="AK343" s="1036"/>
      <c r="AL343" s="1036"/>
      <c r="AM343" s="1036"/>
      <c r="AN343" s="1036"/>
      <c r="AO343" s="1036"/>
      <c r="AP343" s="1036"/>
      <c r="AQ343" s="1036"/>
      <c r="AR343" s="1036"/>
      <c r="AS343" s="1036"/>
      <c r="AT343" s="1036"/>
      <c r="AU343" s="1036"/>
      <c r="AV343" s="1036"/>
      <c r="AW343" s="1036"/>
      <c r="AX343" s="1036"/>
      <c r="AY343" s="1037"/>
    </row>
    <row r="344" spans="2:51" ht="12.75" customHeight="1">
      <c r="B344" s="2109" t="str">
        <f>+$B$8</f>
        <v>病院・ホテル</v>
      </c>
      <c r="C344" s="1045" t="s">
        <v>1340</v>
      </c>
      <c r="D344" s="1046" t="s">
        <v>76</v>
      </c>
      <c r="E344" s="1047" t="s">
        <v>76</v>
      </c>
      <c r="F344" s="1047" t="s">
        <v>76</v>
      </c>
      <c r="G344" s="1047" t="s">
        <v>76</v>
      </c>
      <c r="H344" s="1047" t="s">
        <v>76</v>
      </c>
      <c r="I344" s="1048" t="s">
        <v>76</v>
      </c>
      <c r="J344" s="1046" t="s">
        <v>76</v>
      </c>
      <c r="K344" s="1047" t="s">
        <v>76</v>
      </c>
      <c r="L344" s="1047" t="s">
        <v>76</v>
      </c>
      <c r="M344" s="1047" t="s">
        <v>76</v>
      </c>
      <c r="N344" s="1047" t="s">
        <v>76</v>
      </c>
      <c r="O344" s="1048" t="s">
        <v>76</v>
      </c>
      <c r="P344" s="1082"/>
      <c r="Q344" s="1082"/>
      <c r="R344" s="1082"/>
      <c r="S344" s="1082"/>
      <c r="T344" s="1082"/>
      <c r="U344" s="1082"/>
      <c r="V344" s="1082"/>
      <c r="W344" s="1082"/>
      <c r="X344" s="1082"/>
      <c r="Y344" s="1082"/>
      <c r="Z344" s="1082"/>
      <c r="AA344" s="1082"/>
      <c r="AB344" s="1082"/>
      <c r="AC344" s="1082"/>
      <c r="AD344" s="1082"/>
      <c r="AE344" s="1082"/>
      <c r="AF344" s="1082"/>
      <c r="AG344" s="1082"/>
      <c r="AH344" s="1035"/>
      <c r="AI344" s="1035"/>
      <c r="AJ344" s="1036"/>
      <c r="AK344" s="1036"/>
      <c r="AL344" s="1036"/>
      <c r="AM344" s="1036"/>
      <c r="AN344" s="1036"/>
      <c r="AO344" s="1036"/>
      <c r="AP344" s="1036"/>
      <c r="AQ344" s="1036"/>
      <c r="AR344" s="1036"/>
      <c r="AS344" s="1036"/>
      <c r="AT344" s="1036"/>
      <c r="AU344" s="1036"/>
      <c r="AV344" s="1036"/>
      <c r="AW344" s="1036"/>
      <c r="AX344" s="1036"/>
      <c r="AY344" s="1037"/>
    </row>
    <row r="345" spans="2:51" ht="12.75" customHeight="1">
      <c r="B345" s="2109" t="str">
        <f>+$B$9</f>
        <v>工場・倉庫・市場</v>
      </c>
      <c r="C345" s="1045" t="s">
        <v>1340</v>
      </c>
      <c r="D345" s="1046" t="s">
        <v>76</v>
      </c>
      <c r="E345" s="1047" t="s">
        <v>76</v>
      </c>
      <c r="F345" s="1047" t="s">
        <v>76</v>
      </c>
      <c r="G345" s="1047" t="s">
        <v>76</v>
      </c>
      <c r="H345" s="1047" t="s">
        <v>76</v>
      </c>
      <c r="I345" s="1048" t="s">
        <v>76</v>
      </c>
      <c r="J345" s="1046" t="s">
        <v>76</v>
      </c>
      <c r="K345" s="1047" t="s">
        <v>76</v>
      </c>
      <c r="L345" s="1047" t="s">
        <v>76</v>
      </c>
      <c r="M345" s="1047" t="s">
        <v>76</v>
      </c>
      <c r="N345" s="1047" t="s">
        <v>76</v>
      </c>
      <c r="O345" s="1048" t="s">
        <v>76</v>
      </c>
      <c r="P345" s="1082"/>
      <c r="Q345" s="1082"/>
      <c r="R345" s="1082"/>
      <c r="S345" s="1082"/>
      <c r="T345" s="1082"/>
      <c r="U345" s="1082"/>
      <c r="V345" s="1082"/>
      <c r="W345" s="1082"/>
      <c r="X345" s="1082"/>
      <c r="Y345" s="1082"/>
      <c r="Z345" s="1082"/>
      <c r="AA345" s="1082"/>
      <c r="AB345" s="1082"/>
      <c r="AC345" s="1082"/>
      <c r="AD345" s="1082"/>
      <c r="AE345" s="1082"/>
      <c r="AF345" s="1082"/>
      <c r="AG345" s="1082"/>
      <c r="AH345" s="1035"/>
      <c r="AI345" s="1035"/>
      <c r="AJ345" s="1036"/>
      <c r="AK345" s="1036"/>
      <c r="AL345" s="1036"/>
      <c r="AM345" s="1036"/>
      <c r="AN345" s="1036"/>
      <c r="AO345" s="1036"/>
      <c r="AP345" s="1036"/>
      <c r="AQ345" s="1036"/>
      <c r="AR345" s="1036"/>
      <c r="AS345" s="1036"/>
      <c r="AT345" s="1036"/>
      <c r="AU345" s="1036"/>
      <c r="AV345" s="1036"/>
      <c r="AW345" s="1036"/>
      <c r="AX345" s="1036"/>
      <c r="AY345" s="1037"/>
    </row>
    <row r="346" spans="2:51" ht="12.75" customHeight="1">
      <c r="B346" s="2110" t="str">
        <f>+$B$10</f>
        <v>劇場型建物</v>
      </c>
      <c r="C346" s="1045" t="s">
        <v>1340</v>
      </c>
      <c r="D346" s="1060" t="s">
        <v>1013</v>
      </c>
      <c r="E346" s="1061" t="s">
        <v>1013</v>
      </c>
      <c r="F346" s="1061" t="s">
        <v>1013</v>
      </c>
      <c r="G346" s="1061" t="s">
        <v>1013</v>
      </c>
      <c r="H346" s="1061" t="s">
        <v>1013</v>
      </c>
      <c r="I346" s="1062" t="s">
        <v>1013</v>
      </c>
      <c r="J346" s="1060" t="s">
        <v>1013</v>
      </c>
      <c r="K346" s="1061" t="s">
        <v>1013</v>
      </c>
      <c r="L346" s="1061" t="s">
        <v>1013</v>
      </c>
      <c r="M346" s="1061" t="s">
        <v>1013</v>
      </c>
      <c r="N346" s="1061" t="s">
        <v>1013</v>
      </c>
      <c r="O346" s="1062" t="s">
        <v>1013</v>
      </c>
      <c r="P346" s="1082"/>
      <c r="Q346" s="1082"/>
      <c r="R346" s="1082"/>
      <c r="S346" s="1082"/>
      <c r="T346" s="1082"/>
      <c r="U346" s="1082"/>
      <c r="V346" s="1082"/>
      <c r="W346" s="1082"/>
      <c r="X346" s="1082"/>
      <c r="Y346" s="1082"/>
      <c r="Z346" s="1082"/>
      <c r="AA346" s="1082"/>
      <c r="AB346" s="1082"/>
      <c r="AC346" s="1082"/>
      <c r="AD346" s="1082"/>
      <c r="AE346" s="1082"/>
      <c r="AF346" s="1082"/>
      <c r="AG346" s="1082"/>
      <c r="AH346" s="1035"/>
      <c r="AI346" s="1035"/>
      <c r="AJ346" s="1036"/>
      <c r="AK346" s="1036"/>
      <c r="AL346" s="1036"/>
      <c r="AM346" s="1036"/>
      <c r="AN346" s="1036"/>
      <c r="AO346" s="1036"/>
      <c r="AP346" s="1036"/>
      <c r="AQ346" s="1036"/>
      <c r="AR346" s="1036"/>
      <c r="AS346" s="1036"/>
      <c r="AT346" s="1036"/>
      <c r="AU346" s="1036"/>
      <c r="AV346" s="1036"/>
      <c r="AW346" s="1036"/>
      <c r="AX346" s="1036"/>
      <c r="AY346" s="1037"/>
    </row>
    <row r="347" spans="2:51" ht="12.75" customHeight="1">
      <c r="B347" s="1008" t="s">
        <v>359</v>
      </c>
      <c r="C347" s="1503" t="s">
        <v>2154</v>
      </c>
      <c r="D347" s="1014" t="s">
        <v>1094</v>
      </c>
      <c r="E347" s="1015"/>
      <c r="F347" s="1015"/>
      <c r="G347" s="1015"/>
      <c r="H347" s="1015"/>
      <c r="I347" s="1017"/>
      <c r="J347" s="1129" t="s">
        <v>1011</v>
      </c>
      <c r="K347" s="1128"/>
      <c r="L347" s="1011"/>
      <c r="M347" s="1011"/>
      <c r="N347" s="1011"/>
      <c r="O347" s="1012"/>
      <c r="P347" s="1021"/>
      <c r="Q347" s="1021"/>
      <c r="R347" s="1021"/>
      <c r="S347" s="1021"/>
      <c r="T347" s="1021"/>
      <c r="U347" s="1021"/>
      <c r="V347" s="1021"/>
      <c r="W347" s="1021"/>
      <c r="X347" s="1020"/>
      <c r="Y347" s="1020"/>
      <c r="Z347" s="1021"/>
      <c r="AA347" s="1021"/>
      <c r="AB347" s="1021"/>
      <c r="AC347" s="1021"/>
      <c r="AD347" s="1021"/>
      <c r="AE347" s="1021"/>
      <c r="AF347" s="1021"/>
      <c r="AG347" s="1021"/>
      <c r="AH347" s="1021"/>
      <c r="AI347" s="1021"/>
      <c r="AJ347" s="1021"/>
      <c r="AK347" s="1021"/>
      <c r="AL347" s="1021"/>
      <c r="AM347" s="1021"/>
      <c r="AN347" s="1021"/>
      <c r="AO347" s="1021"/>
      <c r="AP347" s="1021"/>
      <c r="AQ347" s="1021"/>
      <c r="AR347" s="1021"/>
      <c r="AS347" s="1021"/>
      <c r="AT347" s="1021"/>
      <c r="AU347" s="1021"/>
      <c r="AV347" s="1021"/>
      <c r="AW347" s="1021"/>
      <c r="AX347" s="1021"/>
      <c r="AY347" s="1022"/>
    </row>
    <row r="348" spans="2:51" ht="12.75" customHeight="1">
      <c r="B348" s="1023"/>
      <c r="C348" s="1024" t="s">
        <v>2156</v>
      </c>
      <c r="D348" s="1029" t="s">
        <v>366</v>
      </c>
      <c r="E348" s="1030"/>
      <c r="F348" s="1030" t="s">
        <v>367</v>
      </c>
      <c r="G348" s="1030"/>
      <c r="H348" s="1030" t="s">
        <v>368</v>
      </c>
      <c r="I348" s="1032"/>
      <c r="J348" s="1028" t="s">
        <v>366</v>
      </c>
      <c r="K348" s="1030"/>
      <c r="L348" s="1030" t="s">
        <v>367</v>
      </c>
      <c r="M348" s="1030"/>
      <c r="N348" s="1030" t="s">
        <v>368</v>
      </c>
      <c r="O348" s="1032"/>
      <c r="P348" s="1036"/>
      <c r="Q348" s="1036"/>
      <c r="R348" s="1036"/>
      <c r="S348" s="1036"/>
      <c r="T348" s="1036"/>
      <c r="U348" s="1036"/>
      <c r="V348" s="1036"/>
      <c r="W348" s="1036"/>
      <c r="X348" s="1035"/>
      <c r="Y348" s="1035"/>
      <c r="Z348" s="1036"/>
      <c r="AA348" s="1036"/>
      <c r="AB348" s="1036"/>
      <c r="AC348" s="1036"/>
      <c r="AD348" s="1036"/>
      <c r="AE348" s="1036"/>
      <c r="AF348" s="1036"/>
      <c r="AG348" s="1036"/>
      <c r="AH348" s="1036"/>
      <c r="AI348" s="1036"/>
      <c r="AJ348" s="1036"/>
      <c r="AK348" s="1036"/>
      <c r="AL348" s="1036"/>
      <c r="AM348" s="1036"/>
      <c r="AN348" s="1036"/>
      <c r="AO348" s="1036"/>
      <c r="AP348" s="1036"/>
      <c r="AQ348" s="1036"/>
      <c r="AR348" s="1036"/>
      <c r="AS348" s="1036"/>
      <c r="AT348" s="1036"/>
      <c r="AU348" s="1036"/>
      <c r="AV348" s="1036"/>
      <c r="AW348" s="1036"/>
      <c r="AX348" s="1036"/>
      <c r="AY348" s="1037"/>
    </row>
    <row r="349" spans="2:51" ht="12.75" customHeight="1">
      <c r="B349" s="2108" t="str">
        <f>+$B$6</f>
        <v>事務所・店舗・百貨店</v>
      </c>
      <c r="C349" s="1521" t="s">
        <v>1341</v>
      </c>
      <c r="D349" s="1038" t="s">
        <v>32</v>
      </c>
      <c r="E349" s="1039" t="s">
        <v>32</v>
      </c>
      <c r="F349" s="1039" t="s">
        <v>32</v>
      </c>
      <c r="G349" s="1039" t="s">
        <v>32</v>
      </c>
      <c r="H349" s="1039" t="s">
        <v>32</v>
      </c>
      <c r="I349" s="1040" t="s">
        <v>32</v>
      </c>
      <c r="J349" s="1038" t="s">
        <v>32</v>
      </c>
      <c r="K349" s="1039" t="s">
        <v>32</v>
      </c>
      <c r="L349" s="1039" t="s">
        <v>32</v>
      </c>
      <c r="M349" s="1039" t="s">
        <v>32</v>
      </c>
      <c r="N349" s="1039" t="s">
        <v>32</v>
      </c>
      <c r="O349" s="1040" t="s">
        <v>32</v>
      </c>
      <c r="P349" s="1036"/>
      <c r="Q349" s="1036"/>
      <c r="R349" s="1036"/>
      <c r="S349" s="1036"/>
      <c r="T349" s="1036"/>
      <c r="U349" s="1036"/>
      <c r="V349" s="1036"/>
      <c r="W349" s="1036"/>
      <c r="X349" s="1035"/>
      <c r="Y349" s="1035"/>
      <c r="Z349" s="1036"/>
      <c r="AA349" s="1036"/>
      <c r="AB349" s="1036"/>
      <c r="AC349" s="1036"/>
      <c r="AD349" s="1036"/>
      <c r="AE349" s="1036"/>
      <c r="AF349" s="1036"/>
      <c r="AG349" s="1036"/>
      <c r="AH349" s="1036"/>
      <c r="AI349" s="1036"/>
      <c r="AJ349" s="1036"/>
      <c r="AK349" s="1036"/>
      <c r="AL349" s="1036"/>
      <c r="AM349" s="1036"/>
      <c r="AN349" s="1036"/>
      <c r="AO349" s="1036"/>
      <c r="AP349" s="1036"/>
      <c r="AQ349" s="1036"/>
      <c r="AR349" s="1036"/>
      <c r="AS349" s="1036"/>
      <c r="AT349" s="1036"/>
      <c r="AU349" s="1036"/>
      <c r="AV349" s="1036"/>
      <c r="AW349" s="1036"/>
      <c r="AX349" s="1036"/>
      <c r="AY349" s="1037"/>
    </row>
    <row r="350" spans="2:51" ht="12.75" customHeight="1">
      <c r="B350" s="2109" t="str">
        <f>+$B$7</f>
        <v>住宅・アパート</v>
      </c>
      <c r="C350" s="1045">
        <v>1330</v>
      </c>
      <c r="D350" s="1046" t="s">
        <v>2157</v>
      </c>
      <c r="E350" s="1047">
        <v>2</v>
      </c>
      <c r="F350" s="1047" t="s">
        <v>2158</v>
      </c>
      <c r="G350" s="1047">
        <v>1</v>
      </c>
      <c r="H350" s="1047" t="s">
        <v>2159</v>
      </c>
      <c r="I350" s="1048">
        <v>0.5</v>
      </c>
      <c r="J350" s="1056" t="s">
        <v>434</v>
      </c>
      <c r="K350" s="1047">
        <v>1.2</v>
      </c>
      <c r="L350" s="1047" t="s">
        <v>375</v>
      </c>
      <c r="M350" s="1047">
        <v>1</v>
      </c>
      <c r="N350" s="1047" t="s">
        <v>435</v>
      </c>
      <c r="O350" s="1048">
        <v>0.8</v>
      </c>
      <c r="P350" s="1036"/>
      <c r="Q350" s="1036"/>
      <c r="R350" s="1036"/>
      <c r="S350" s="1036"/>
      <c r="T350" s="1036"/>
      <c r="U350" s="1036"/>
      <c r="V350" s="1036"/>
      <c r="W350" s="1036"/>
      <c r="X350" s="1035"/>
      <c r="Y350" s="1035"/>
      <c r="Z350" s="1036"/>
      <c r="AA350" s="1036"/>
      <c r="AB350" s="1036"/>
      <c r="AC350" s="1036"/>
      <c r="AD350" s="1036"/>
      <c r="AE350" s="1036"/>
      <c r="AF350" s="1036"/>
      <c r="AG350" s="1036"/>
      <c r="AH350" s="1036"/>
      <c r="AI350" s="1036"/>
      <c r="AJ350" s="1036"/>
      <c r="AK350" s="1036"/>
      <c r="AL350" s="1036"/>
      <c r="AM350" s="1036"/>
      <c r="AN350" s="1036"/>
      <c r="AO350" s="1036"/>
      <c r="AP350" s="1036"/>
      <c r="AQ350" s="1036"/>
      <c r="AR350" s="1036"/>
      <c r="AS350" s="1036"/>
      <c r="AT350" s="1036"/>
      <c r="AU350" s="1036"/>
      <c r="AV350" s="1036"/>
      <c r="AW350" s="1036"/>
      <c r="AX350" s="1036"/>
      <c r="AY350" s="1037"/>
    </row>
    <row r="351" spans="2:51" ht="12.75" customHeight="1">
      <c r="B351" s="2109" t="str">
        <f>+$B$8</f>
        <v>病院・ホテル</v>
      </c>
      <c r="C351" s="1045" t="s">
        <v>1340</v>
      </c>
      <c r="D351" s="1046" t="s">
        <v>32</v>
      </c>
      <c r="E351" s="1047" t="s">
        <v>32</v>
      </c>
      <c r="F351" s="1047" t="s">
        <v>32</v>
      </c>
      <c r="G351" s="1047" t="s">
        <v>32</v>
      </c>
      <c r="H351" s="1047" t="s">
        <v>32</v>
      </c>
      <c r="I351" s="1048" t="s">
        <v>32</v>
      </c>
      <c r="J351" s="1046" t="s">
        <v>32</v>
      </c>
      <c r="K351" s="1047" t="s">
        <v>32</v>
      </c>
      <c r="L351" s="1047" t="s">
        <v>32</v>
      </c>
      <c r="M351" s="1047" t="s">
        <v>32</v>
      </c>
      <c r="N351" s="1047" t="s">
        <v>32</v>
      </c>
      <c r="O351" s="1048" t="s">
        <v>32</v>
      </c>
      <c r="P351" s="1036"/>
      <c r="Q351" s="1036"/>
      <c r="R351" s="1036"/>
      <c r="S351" s="1036"/>
      <c r="T351" s="1036"/>
      <c r="U351" s="1036"/>
      <c r="V351" s="1036"/>
      <c r="W351" s="1036"/>
      <c r="X351" s="1035"/>
      <c r="Y351" s="1035"/>
      <c r="Z351" s="1036"/>
      <c r="AA351" s="1036"/>
      <c r="AB351" s="1036"/>
      <c r="AC351" s="1036"/>
      <c r="AD351" s="1036"/>
      <c r="AE351" s="1036"/>
      <c r="AF351" s="1036"/>
      <c r="AG351" s="1036"/>
      <c r="AH351" s="1036"/>
      <c r="AI351" s="1036"/>
      <c r="AJ351" s="1036"/>
      <c r="AK351" s="1036"/>
      <c r="AL351" s="1036"/>
      <c r="AM351" s="1036"/>
      <c r="AN351" s="1036"/>
      <c r="AO351" s="1036"/>
      <c r="AP351" s="1036"/>
      <c r="AQ351" s="1036"/>
      <c r="AR351" s="1036"/>
      <c r="AS351" s="1036"/>
      <c r="AT351" s="1036"/>
      <c r="AU351" s="1036"/>
      <c r="AV351" s="1036"/>
      <c r="AW351" s="1036"/>
      <c r="AX351" s="1036"/>
      <c r="AY351" s="1037"/>
    </row>
    <row r="352" spans="2:51" ht="12.75" customHeight="1">
      <c r="B352" s="2109" t="str">
        <f>+$B$9</f>
        <v>工場・倉庫・市場</v>
      </c>
      <c r="C352" s="1045" t="s">
        <v>1340</v>
      </c>
      <c r="D352" s="1046" t="s">
        <v>32</v>
      </c>
      <c r="E352" s="1047" t="s">
        <v>32</v>
      </c>
      <c r="F352" s="1047" t="s">
        <v>32</v>
      </c>
      <c r="G352" s="1047" t="s">
        <v>32</v>
      </c>
      <c r="H352" s="1047" t="s">
        <v>32</v>
      </c>
      <c r="I352" s="1048" t="s">
        <v>32</v>
      </c>
      <c r="J352" s="1046" t="s">
        <v>32</v>
      </c>
      <c r="K352" s="1047" t="s">
        <v>32</v>
      </c>
      <c r="L352" s="1047" t="s">
        <v>32</v>
      </c>
      <c r="M352" s="1047" t="s">
        <v>32</v>
      </c>
      <c r="N352" s="1047" t="s">
        <v>32</v>
      </c>
      <c r="O352" s="1048" t="s">
        <v>32</v>
      </c>
      <c r="P352" s="1036"/>
      <c r="Q352" s="1036"/>
      <c r="R352" s="1036"/>
      <c r="S352" s="1036"/>
      <c r="T352" s="1036"/>
      <c r="U352" s="1036"/>
      <c r="V352" s="1036"/>
      <c r="W352" s="1036"/>
      <c r="X352" s="1035"/>
      <c r="Y352" s="1035"/>
      <c r="Z352" s="1036"/>
      <c r="AA352" s="1036"/>
      <c r="AB352" s="1036"/>
      <c r="AC352" s="1036"/>
      <c r="AD352" s="1036"/>
      <c r="AE352" s="1036"/>
      <c r="AF352" s="1036"/>
      <c r="AG352" s="1036"/>
      <c r="AH352" s="1036"/>
      <c r="AI352" s="1036"/>
      <c r="AJ352" s="1036"/>
      <c r="AK352" s="1036"/>
      <c r="AL352" s="1036"/>
      <c r="AM352" s="1036"/>
      <c r="AN352" s="1036"/>
      <c r="AO352" s="1036"/>
      <c r="AP352" s="1036"/>
      <c r="AQ352" s="1036"/>
      <c r="AR352" s="1036"/>
      <c r="AS352" s="1036"/>
      <c r="AT352" s="1036"/>
      <c r="AU352" s="1036"/>
      <c r="AV352" s="1036"/>
      <c r="AW352" s="1036"/>
      <c r="AX352" s="1036"/>
      <c r="AY352" s="1037"/>
    </row>
    <row r="353" spans="2:51" ht="12.75" customHeight="1">
      <c r="B353" s="2110" t="str">
        <f>+$B$10</f>
        <v>劇場型建物</v>
      </c>
      <c r="C353" s="1045" t="s">
        <v>1340</v>
      </c>
      <c r="D353" s="1060" t="s">
        <v>32</v>
      </c>
      <c r="E353" s="1061" t="s">
        <v>32</v>
      </c>
      <c r="F353" s="1061" t="s">
        <v>32</v>
      </c>
      <c r="G353" s="1061" t="s">
        <v>32</v>
      </c>
      <c r="H353" s="1061" t="s">
        <v>32</v>
      </c>
      <c r="I353" s="1062" t="s">
        <v>32</v>
      </c>
      <c r="J353" s="1060" t="s">
        <v>32</v>
      </c>
      <c r="K353" s="1061" t="s">
        <v>32</v>
      </c>
      <c r="L353" s="1061" t="s">
        <v>32</v>
      </c>
      <c r="M353" s="1061" t="s">
        <v>32</v>
      </c>
      <c r="N353" s="1061" t="s">
        <v>32</v>
      </c>
      <c r="O353" s="1062" t="s">
        <v>32</v>
      </c>
      <c r="P353" s="1089"/>
      <c r="Q353" s="1089"/>
      <c r="R353" s="1089"/>
      <c r="S353" s="1089"/>
      <c r="T353" s="1089"/>
      <c r="U353" s="1089"/>
      <c r="V353" s="1089"/>
      <c r="W353" s="1089"/>
      <c r="X353" s="1088"/>
      <c r="Y353" s="1088"/>
      <c r="Z353" s="1089"/>
      <c r="AA353" s="1089"/>
      <c r="AB353" s="1089"/>
      <c r="AC353" s="1089"/>
      <c r="AD353" s="1089"/>
      <c r="AE353" s="1089"/>
      <c r="AF353" s="1089"/>
      <c r="AG353" s="1089"/>
      <c r="AH353" s="1089"/>
      <c r="AI353" s="1089"/>
      <c r="AJ353" s="1089"/>
      <c r="AK353" s="1089"/>
      <c r="AL353" s="1089"/>
      <c r="AM353" s="1089"/>
      <c r="AN353" s="1089"/>
      <c r="AO353" s="1089"/>
      <c r="AP353" s="1089"/>
      <c r="AQ353" s="1089"/>
      <c r="AR353" s="1089"/>
      <c r="AS353" s="1089"/>
      <c r="AT353" s="1089"/>
      <c r="AU353" s="1089"/>
      <c r="AV353" s="1089"/>
      <c r="AW353" s="1089"/>
      <c r="AX353" s="1089"/>
      <c r="AY353" s="1090"/>
    </row>
    <row r="354" spans="2:51" ht="12.75" customHeight="1">
      <c r="B354" s="1008" t="s">
        <v>359</v>
      </c>
      <c r="C354" s="1121" t="s">
        <v>236</v>
      </c>
      <c r="D354" s="1013" t="s">
        <v>1014</v>
      </c>
      <c r="E354" s="1015"/>
      <c r="F354" s="1015"/>
      <c r="G354" s="1015"/>
      <c r="H354" s="1015"/>
      <c r="I354" s="1017"/>
      <c r="J354" s="1448"/>
      <c r="K354" s="1448"/>
      <c r="L354" s="1021"/>
      <c r="M354" s="1021"/>
      <c r="N354" s="1021"/>
      <c r="O354" s="1021"/>
      <c r="P354" s="1021"/>
      <c r="Q354" s="1021"/>
      <c r="R354" s="1021"/>
      <c r="S354" s="1021"/>
      <c r="T354" s="1021"/>
      <c r="U354" s="1021"/>
      <c r="V354" s="1021"/>
      <c r="W354" s="1021"/>
      <c r="X354" s="1020"/>
      <c r="Y354" s="1020"/>
      <c r="Z354" s="1021"/>
      <c r="AA354" s="1021"/>
      <c r="AB354" s="1021"/>
      <c r="AC354" s="1021"/>
      <c r="AD354" s="1021"/>
      <c r="AE354" s="1021"/>
      <c r="AF354" s="1021"/>
      <c r="AG354" s="1021"/>
      <c r="AH354" s="1021"/>
      <c r="AI354" s="1021"/>
      <c r="AJ354" s="1021"/>
      <c r="AK354" s="1021"/>
      <c r="AL354" s="1021"/>
      <c r="AM354" s="1021"/>
      <c r="AN354" s="1021"/>
      <c r="AO354" s="1021"/>
      <c r="AP354" s="1021"/>
      <c r="AQ354" s="1021"/>
      <c r="AR354" s="1021"/>
      <c r="AS354" s="1021"/>
      <c r="AT354" s="1021"/>
      <c r="AU354" s="1021"/>
      <c r="AV354" s="1021"/>
      <c r="AW354" s="1021"/>
      <c r="AX354" s="1021"/>
      <c r="AY354" s="1022"/>
    </row>
    <row r="355" spans="2:51" ht="12.75" customHeight="1">
      <c r="B355" s="1023"/>
      <c r="C355" s="1024" t="s">
        <v>1015</v>
      </c>
      <c r="D355" s="1028" t="s">
        <v>366</v>
      </c>
      <c r="E355" s="1030"/>
      <c r="F355" s="1030" t="s">
        <v>367</v>
      </c>
      <c r="G355" s="1030"/>
      <c r="H355" s="1030" t="s">
        <v>368</v>
      </c>
      <c r="I355" s="1032"/>
      <c r="J355" s="1450"/>
      <c r="K355" s="1450"/>
      <c r="L355" s="1036"/>
      <c r="M355" s="1036"/>
      <c r="N355" s="1036"/>
      <c r="O355" s="1036"/>
      <c r="P355" s="1036"/>
      <c r="Q355" s="1036"/>
      <c r="R355" s="1036"/>
      <c r="S355" s="1036"/>
      <c r="T355" s="1036"/>
      <c r="U355" s="1036"/>
      <c r="V355" s="1036"/>
      <c r="W355" s="1036"/>
      <c r="X355" s="1035"/>
      <c r="Y355" s="1035"/>
      <c r="Z355" s="1036"/>
      <c r="AA355" s="1036"/>
      <c r="AB355" s="1036"/>
      <c r="AC355" s="1036"/>
      <c r="AD355" s="1036"/>
      <c r="AE355" s="1036"/>
      <c r="AF355" s="1036"/>
      <c r="AG355" s="1036"/>
      <c r="AH355" s="1036"/>
      <c r="AI355" s="1036"/>
      <c r="AJ355" s="1036"/>
      <c r="AK355" s="1036"/>
      <c r="AL355" s="1036"/>
      <c r="AM355" s="1036"/>
      <c r="AN355" s="1036"/>
      <c r="AO355" s="1036"/>
      <c r="AP355" s="1036"/>
      <c r="AQ355" s="1036"/>
      <c r="AR355" s="1036"/>
      <c r="AS355" s="1036"/>
      <c r="AT355" s="1036"/>
      <c r="AU355" s="1036"/>
      <c r="AV355" s="1036"/>
      <c r="AW355" s="1036"/>
      <c r="AX355" s="1036"/>
      <c r="AY355" s="1037"/>
    </row>
    <row r="356" spans="2:51" ht="12.75" customHeight="1">
      <c r="B356" s="2108" t="str">
        <f>+$B$6</f>
        <v>事務所・店舗・百貨店</v>
      </c>
      <c r="C356" s="2258">
        <v>20360</v>
      </c>
      <c r="D356" s="1165">
        <v>50</v>
      </c>
      <c r="E356" s="1039">
        <v>1.6</v>
      </c>
      <c r="F356" s="1092">
        <v>40</v>
      </c>
      <c r="G356" s="1039">
        <v>1</v>
      </c>
      <c r="H356" s="1092">
        <v>30</v>
      </c>
      <c r="I356" s="1040">
        <v>0.8</v>
      </c>
      <c r="J356" s="1522"/>
      <c r="K356" s="1450"/>
      <c r="L356" s="1036"/>
      <c r="M356" s="1036"/>
      <c r="N356" s="1036"/>
      <c r="O356" s="1036"/>
      <c r="P356" s="1036"/>
      <c r="Q356" s="1036"/>
      <c r="R356" s="1036"/>
      <c r="S356" s="1036"/>
      <c r="T356" s="1036"/>
      <c r="U356" s="1036"/>
      <c r="V356" s="1036"/>
      <c r="W356" s="1036"/>
      <c r="X356" s="1035"/>
      <c r="Y356" s="1035"/>
      <c r="Z356" s="1036"/>
      <c r="AA356" s="1036"/>
      <c r="AB356" s="1036"/>
      <c r="AC356" s="1036"/>
      <c r="AD356" s="1036"/>
      <c r="AE356" s="1036"/>
      <c r="AF356" s="1036"/>
      <c r="AG356" s="1036"/>
      <c r="AH356" s="1036"/>
      <c r="AI356" s="1036"/>
      <c r="AJ356" s="1036"/>
      <c r="AK356" s="1036"/>
      <c r="AL356" s="1036"/>
      <c r="AM356" s="1036"/>
      <c r="AN356" s="1036"/>
      <c r="AO356" s="1036"/>
      <c r="AP356" s="1036"/>
      <c r="AQ356" s="1036"/>
      <c r="AR356" s="1036"/>
      <c r="AS356" s="1036"/>
      <c r="AT356" s="1036"/>
      <c r="AU356" s="1036"/>
      <c r="AV356" s="1036"/>
      <c r="AW356" s="1036"/>
      <c r="AX356" s="1036"/>
      <c r="AY356" s="1037"/>
    </row>
    <row r="357" spans="2:51" ht="12.75" customHeight="1">
      <c r="B357" s="2109" t="str">
        <f>+$B$7</f>
        <v>住宅・アパート</v>
      </c>
      <c r="C357" s="1045" t="s">
        <v>1342</v>
      </c>
      <c r="D357" s="1049" t="s">
        <v>1012</v>
      </c>
      <c r="E357" s="1047" t="s">
        <v>1012</v>
      </c>
      <c r="F357" s="1051" t="s">
        <v>1012</v>
      </c>
      <c r="G357" s="1047" t="s">
        <v>1012</v>
      </c>
      <c r="H357" s="1051" t="s">
        <v>1012</v>
      </c>
      <c r="I357" s="1048" t="s">
        <v>1012</v>
      </c>
      <c r="J357" s="1522"/>
      <c r="K357" s="1450"/>
      <c r="L357" s="1036"/>
      <c r="M357" s="1036"/>
      <c r="N357" s="1036"/>
      <c r="O357" s="1036"/>
      <c r="P357" s="1036"/>
      <c r="Q357" s="1036"/>
      <c r="R357" s="1036"/>
      <c r="S357" s="1036"/>
      <c r="T357" s="1036"/>
      <c r="U357" s="1036"/>
      <c r="V357" s="1036"/>
      <c r="W357" s="1036"/>
      <c r="X357" s="1035"/>
      <c r="Y357" s="1035"/>
      <c r="Z357" s="1036"/>
      <c r="AA357" s="1036"/>
      <c r="AB357" s="1036"/>
      <c r="AC357" s="1036"/>
      <c r="AD357" s="1036"/>
      <c r="AE357" s="1036"/>
      <c r="AF357" s="1036"/>
      <c r="AG357" s="1036"/>
      <c r="AH357" s="1036"/>
      <c r="AI357" s="1036"/>
      <c r="AJ357" s="1036"/>
      <c r="AK357" s="1036"/>
      <c r="AL357" s="1036"/>
      <c r="AM357" s="1036"/>
      <c r="AN357" s="1036"/>
      <c r="AO357" s="1036"/>
      <c r="AP357" s="1036"/>
      <c r="AQ357" s="1036"/>
      <c r="AR357" s="1036"/>
      <c r="AS357" s="1036"/>
      <c r="AT357" s="1036"/>
      <c r="AU357" s="1036"/>
      <c r="AV357" s="1036"/>
      <c r="AW357" s="1036"/>
      <c r="AX357" s="1036"/>
      <c r="AY357" s="1037"/>
    </row>
    <row r="358" spans="2:51" ht="12.75" customHeight="1">
      <c r="B358" s="2109" t="str">
        <f>+$B$8</f>
        <v>病院・ホテル</v>
      </c>
      <c r="C358" s="1045">
        <v>20360</v>
      </c>
      <c r="D358" s="1049">
        <v>50</v>
      </c>
      <c r="E358" s="1047">
        <v>1.6</v>
      </c>
      <c r="F358" s="1051">
        <v>40</v>
      </c>
      <c r="G358" s="1047">
        <v>1</v>
      </c>
      <c r="H358" s="1051">
        <v>30</v>
      </c>
      <c r="I358" s="1048">
        <v>0.8</v>
      </c>
      <c r="J358" s="1522"/>
      <c r="K358" s="1450"/>
      <c r="L358" s="1036"/>
      <c r="M358" s="1036"/>
      <c r="N358" s="1036"/>
      <c r="O358" s="1036"/>
      <c r="P358" s="1036"/>
      <c r="Q358" s="1036"/>
      <c r="R358" s="1036"/>
      <c r="S358" s="1036"/>
      <c r="T358" s="1036"/>
      <c r="U358" s="1036"/>
      <c r="V358" s="1036"/>
      <c r="W358" s="1036"/>
      <c r="X358" s="1035"/>
      <c r="Y358" s="1035"/>
      <c r="Z358" s="1036"/>
      <c r="AA358" s="1036"/>
      <c r="AB358" s="1036"/>
      <c r="AC358" s="1036"/>
      <c r="AD358" s="1036"/>
      <c r="AE358" s="1036"/>
      <c r="AF358" s="1036"/>
      <c r="AG358" s="1036"/>
      <c r="AH358" s="1036"/>
      <c r="AI358" s="1036"/>
      <c r="AJ358" s="1036"/>
      <c r="AK358" s="1036"/>
      <c r="AL358" s="1036"/>
      <c r="AM358" s="1036"/>
      <c r="AN358" s="1036"/>
      <c r="AO358" s="1036"/>
      <c r="AP358" s="1036"/>
      <c r="AQ358" s="1036"/>
      <c r="AR358" s="1036"/>
      <c r="AS358" s="1036"/>
      <c r="AT358" s="1036"/>
      <c r="AU358" s="1036"/>
      <c r="AV358" s="1036"/>
      <c r="AW358" s="1036"/>
      <c r="AX358" s="1036"/>
      <c r="AY358" s="1037"/>
    </row>
    <row r="359" spans="2:51" ht="12.75" customHeight="1">
      <c r="B359" s="2109" t="str">
        <f>+$B$9</f>
        <v>工場・倉庫・市場</v>
      </c>
      <c r="C359" s="1045">
        <v>20360</v>
      </c>
      <c r="D359" s="1049">
        <v>50</v>
      </c>
      <c r="E359" s="1047">
        <v>1.6</v>
      </c>
      <c r="F359" s="1051">
        <v>40</v>
      </c>
      <c r="G359" s="1047">
        <v>1</v>
      </c>
      <c r="H359" s="1051">
        <v>30</v>
      </c>
      <c r="I359" s="1048">
        <v>0.8</v>
      </c>
      <c r="J359" s="1522"/>
      <c r="K359" s="1450"/>
      <c r="L359" s="1036"/>
      <c r="M359" s="1036"/>
      <c r="N359" s="1036"/>
      <c r="O359" s="1036"/>
      <c r="P359" s="1036"/>
      <c r="Q359" s="1036"/>
      <c r="R359" s="1036"/>
      <c r="S359" s="1036"/>
      <c r="T359" s="1036"/>
      <c r="U359" s="1036"/>
      <c r="V359" s="1036"/>
      <c r="W359" s="1036"/>
      <c r="X359" s="1035"/>
      <c r="Y359" s="1035"/>
      <c r="Z359" s="1036"/>
      <c r="AA359" s="1036"/>
      <c r="AB359" s="1036"/>
      <c r="AC359" s="1036"/>
      <c r="AD359" s="1036"/>
      <c r="AE359" s="1036"/>
      <c r="AF359" s="1036"/>
      <c r="AG359" s="1036"/>
      <c r="AH359" s="1036"/>
      <c r="AI359" s="1036"/>
      <c r="AJ359" s="1036"/>
      <c r="AK359" s="1036"/>
      <c r="AL359" s="1036"/>
      <c r="AM359" s="1036"/>
      <c r="AN359" s="1036"/>
      <c r="AO359" s="1036"/>
      <c r="AP359" s="1036"/>
      <c r="AQ359" s="1036"/>
      <c r="AR359" s="1036"/>
      <c r="AS359" s="1036"/>
      <c r="AT359" s="1036"/>
      <c r="AU359" s="1036"/>
      <c r="AV359" s="1036"/>
      <c r="AW359" s="1036"/>
      <c r="AX359" s="1036"/>
      <c r="AY359" s="1037"/>
    </row>
    <row r="360" spans="2:51" ht="12.75" customHeight="1">
      <c r="B360" s="2110" t="str">
        <f>+$B$10</f>
        <v>劇場型建物</v>
      </c>
      <c r="C360" s="1102">
        <v>20360</v>
      </c>
      <c r="D360" s="1167">
        <v>50</v>
      </c>
      <c r="E360" s="1076">
        <v>1.6</v>
      </c>
      <c r="F360" s="1168">
        <v>40</v>
      </c>
      <c r="G360" s="1076">
        <v>1</v>
      </c>
      <c r="H360" s="1168">
        <v>30</v>
      </c>
      <c r="I360" s="1077">
        <v>0.8</v>
      </c>
      <c r="J360" s="1523"/>
      <c r="K360" s="1496"/>
      <c r="L360" s="1036"/>
      <c r="M360" s="1036"/>
      <c r="N360" s="1036"/>
      <c r="O360" s="1036"/>
      <c r="P360" s="1036"/>
      <c r="Q360" s="1036"/>
      <c r="R360" s="1036"/>
      <c r="S360" s="1036"/>
      <c r="T360" s="1036"/>
      <c r="U360" s="1036"/>
      <c r="V360" s="1036"/>
      <c r="W360" s="1036"/>
      <c r="X360" s="1035"/>
      <c r="Y360" s="1035"/>
      <c r="Z360" s="1036"/>
      <c r="AA360" s="1036"/>
      <c r="AB360" s="1036"/>
      <c r="AC360" s="1036"/>
      <c r="AD360" s="1036"/>
      <c r="AE360" s="1036"/>
      <c r="AF360" s="1036"/>
      <c r="AG360" s="1036"/>
      <c r="AH360" s="1036"/>
      <c r="AI360" s="1036"/>
      <c r="AJ360" s="1036"/>
      <c r="AK360" s="1036"/>
      <c r="AL360" s="1036"/>
      <c r="AM360" s="1036"/>
      <c r="AN360" s="1036"/>
      <c r="AO360" s="1036"/>
      <c r="AP360" s="1036"/>
      <c r="AQ360" s="1036"/>
      <c r="AR360" s="1036"/>
      <c r="AS360" s="1036"/>
      <c r="AT360" s="1036"/>
      <c r="AU360" s="1036"/>
      <c r="AV360" s="1036"/>
      <c r="AW360" s="1036"/>
      <c r="AX360" s="1036"/>
      <c r="AY360" s="1037"/>
    </row>
    <row r="361" spans="2:51" ht="12.75" customHeight="1">
      <c r="B361" s="1008" t="s">
        <v>359</v>
      </c>
      <c r="C361" s="1121" t="s">
        <v>1016</v>
      </c>
      <c r="D361" s="1013" t="s">
        <v>1017</v>
      </c>
      <c r="E361" s="1015"/>
      <c r="F361" s="1015"/>
      <c r="G361" s="1015"/>
      <c r="H361" s="1015"/>
      <c r="I361" s="1017"/>
      <c r="J361" s="1103"/>
      <c r="K361" s="1098"/>
      <c r="L361" s="1098"/>
      <c r="M361" s="1098"/>
      <c r="N361" s="1098"/>
      <c r="O361" s="1098"/>
      <c r="P361" s="1098"/>
      <c r="Q361" s="1098"/>
      <c r="R361" s="1098"/>
      <c r="S361" s="1098"/>
      <c r="T361" s="1098"/>
      <c r="U361" s="1098"/>
      <c r="V361" s="1020"/>
      <c r="W361" s="1020"/>
      <c r="X361" s="1021"/>
      <c r="Y361" s="1021"/>
      <c r="Z361" s="1021"/>
      <c r="AA361" s="1021"/>
      <c r="AB361" s="1021"/>
      <c r="AC361" s="1021"/>
      <c r="AD361" s="1021"/>
      <c r="AE361" s="1021"/>
      <c r="AF361" s="1021"/>
      <c r="AG361" s="1021"/>
      <c r="AH361" s="1021"/>
      <c r="AI361" s="1021"/>
      <c r="AJ361" s="1021"/>
      <c r="AK361" s="1021"/>
      <c r="AL361" s="1021"/>
      <c r="AM361" s="1021"/>
      <c r="AN361" s="1021"/>
      <c r="AO361" s="1021"/>
      <c r="AP361" s="1021"/>
      <c r="AQ361" s="1021"/>
      <c r="AR361" s="1021"/>
      <c r="AS361" s="1021"/>
      <c r="AT361" s="1021"/>
      <c r="AU361" s="1021"/>
      <c r="AV361" s="1021"/>
      <c r="AW361" s="1021"/>
      <c r="AX361" s="1021"/>
      <c r="AY361" s="1022"/>
    </row>
    <row r="362" spans="2:51" ht="12.75" customHeight="1">
      <c r="B362" s="1023"/>
      <c r="C362" s="1024" t="s">
        <v>1018</v>
      </c>
      <c r="D362" s="1028" t="s">
        <v>366</v>
      </c>
      <c r="E362" s="1030"/>
      <c r="F362" s="1030" t="s">
        <v>367</v>
      </c>
      <c r="G362" s="1030"/>
      <c r="H362" s="1030" t="s">
        <v>368</v>
      </c>
      <c r="I362" s="1032"/>
      <c r="J362" s="1478" t="s">
        <v>1343</v>
      </c>
      <c r="K362" s="1082"/>
      <c r="L362" s="1082"/>
      <c r="M362" s="1082"/>
      <c r="N362" s="1082"/>
      <c r="O362" s="1082"/>
      <c r="P362" s="1082"/>
      <c r="Q362" s="1082"/>
      <c r="R362" s="1082"/>
      <c r="S362" s="1082"/>
      <c r="T362" s="1082"/>
      <c r="U362" s="1082"/>
      <c r="V362" s="1035"/>
      <c r="W362" s="1035"/>
      <c r="X362" s="1036"/>
      <c r="Y362" s="1036"/>
      <c r="Z362" s="1036"/>
      <c r="AA362" s="1036"/>
      <c r="AB362" s="1036"/>
      <c r="AC362" s="1036"/>
      <c r="AD362" s="1036"/>
      <c r="AE362" s="1036"/>
      <c r="AF362" s="1036"/>
      <c r="AG362" s="1036"/>
      <c r="AH362" s="1036"/>
      <c r="AI362" s="1036"/>
      <c r="AJ362" s="1036"/>
      <c r="AK362" s="1036"/>
      <c r="AL362" s="1036"/>
      <c r="AM362" s="1036"/>
      <c r="AN362" s="1036"/>
      <c r="AO362" s="1036"/>
      <c r="AP362" s="1036"/>
      <c r="AQ362" s="1036"/>
      <c r="AR362" s="1036"/>
      <c r="AS362" s="1036"/>
      <c r="AT362" s="1036"/>
      <c r="AU362" s="1036"/>
      <c r="AV362" s="1036"/>
      <c r="AW362" s="1036"/>
      <c r="AX362" s="1036"/>
      <c r="AY362" s="1037"/>
    </row>
    <row r="363" spans="2:51" ht="12.75" customHeight="1">
      <c r="B363" s="2108" t="str">
        <f>+$B$6</f>
        <v>事務所・店舗・百貨店</v>
      </c>
      <c r="C363" s="2468">
        <v>31090</v>
      </c>
      <c r="D363" s="2154" t="s">
        <v>434</v>
      </c>
      <c r="E363" s="2136">
        <v>1.1000000000000001</v>
      </c>
      <c r="F363" s="2136" t="s">
        <v>375</v>
      </c>
      <c r="G363" s="2136">
        <v>1</v>
      </c>
      <c r="H363" s="2136" t="s">
        <v>435</v>
      </c>
      <c r="I363" s="2137">
        <v>0.9</v>
      </c>
      <c r="J363" s="1081"/>
      <c r="K363" s="1082"/>
      <c r="L363" s="1082"/>
      <c r="M363" s="1082"/>
      <c r="N363" s="1082"/>
      <c r="O363" s="1082"/>
      <c r="P363" s="1082"/>
      <c r="Q363" s="1082"/>
      <c r="R363" s="1082"/>
      <c r="S363" s="1082"/>
      <c r="T363" s="1082"/>
      <c r="U363" s="1082"/>
      <c r="V363" s="1035"/>
      <c r="W363" s="1035"/>
      <c r="X363" s="1036"/>
      <c r="Y363" s="1036"/>
      <c r="Z363" s="1036"/>
      <c r="AA363" s="1036"/>
      <c r="AB363" s="1036"/>
      <c r="AC363" s="1036"/>
      <c r="AD363" s="1036"/>
      <c r="AE363" s="1036"/>
      <c r="AF363" s="1036"/>
      <c r="AG363" s="1036"/>
      <c r="AH363" s="1036"/>
      <c r="AI363" s="1036"/>
      <c r="AJ363" s="1036"/>
      <c r="AK363" s="1036"/>
      <c r="AL363" s="1036"/>
      <c r="AM363" s="1036"/>
      <c r="AN363" s="1036"/>
      <c r="AO363" s="1036"/>
      <c r="AP363" s="1036"/>
      <c r="AQ363" s="1036"/>
      <c r="AR363" s="1036"/>
      <c r="AS363" s="1036"/>
      <c r="AT363" s="1036"/>
      <c r="AU363" s="1036"/>
      <c r="AV363" s="1036"/>
      <c r="AW363" s="1036"/>
      <c r="AX363" s="1036"/>
      <c r="AY363" s="1037"/>
    </row>
    <row r="364" spans="2:51" ht="12.75" customHeight="1">
      <c r="B364" s="2109" t="str">
        <f>+$B$7</f>
        <v>住宅・アパート</v>
      </c>
      <c r="C364" s="2279">
        <v>31090</v>
      </c>
      <c r="D364" s="2124" t="s">
        <v>434</v>
      </c>
      <c r="E364" s="2121">
        <v>1.1000000000000001</v>
      </c>
      <c r="F364" s="2121" t="s">
        <v>375</v>
      </c>
      <c r="G364" s="2121">
        <v>1</v>
      </c>
      <c r="H364" s="2121" t="s">
        <v>435</v>
      </c>
      <c r="I364" s="2123">
        <v>0.9</v>
      </c>
      <c r="J364" s="1081"/>
      <c r="K364" s="1082"/>
      <c r="L364" s="1082"/>
      <c r="M364" s="1082"/>
      <c r="N364" s="1082"/>
      <c r="O364" s="1082"/>
      <c r="P364" s="1082"/>
      <c r="Q364" s="1082"/>
      <c r="R364" s="1082"/>
      <c r="S364" s="1082"/>
      <c r="T364" s="1082"/>
      <c r="U364" s="1082"/>
      <c r="V364" s="1035"/>
      <c r="W364" s="1035"/>
      <c r="X364" s="1036"/>
      <c r="Y364" s="1036"/>
      <c r="Z364" s="1036"/>
      <c r="AA364" s="1036"/>
      <c r="AB364" s="1036"/>
      <c r="AC364" s="1036"/>
      <c r="AD364" s="1036"/>
      <c r="AE364" s="1036"/>
      <c r="AF364" s="1036"/>
      <c r="AG364" s="1036"/>
      <c r="AH364" s="1036"/>
      <c r="AI364" s="1036"/>
      <c r="AJ364" s="1036"/>
      <c r="AK364" s="1036"/>
      <c r="AL364" s="1036"/>
      <c r="AM364" s="1036"/>
      <c r="AN364" s="1036"/>
      <c r="AO364" s="1036"/>
      <c r="AP364" s="1036"/>
      <c r="AQ364" s="1036"/>
      <c r="AR364" s="1036"/>
      <c r="AS364" s="1036"/>
      <c r="AT364" s="1036"/>
      <c r="AU364" s="1036"/>
      <c r="AV364" s="1036"/>
      <c r="AW364" s="1036"/>
      <c r="AX364" s="1036"/>
      <c r="AY364" s="1037"/>
    </row>
    <row r="365" spans="2:51" ht="12.75" customHeight="1">
      <c r="B365" s="2109" t="str">
        <f>+$B$8</f>
        <v>病院・ホテル</v>
      </c>
      <c r="C365" s="2279">
        <v>31090</v>
      </c>
      <c r="D365" s="2124" t="s">
        <v>434</v>
      </c>
      <c r="E365" s="2121">
        <v>1.1000000000000001</v>
      </c>
      <c r="F365" s="2121" t="s">
        <v>375</v>
      </c>
      <c r="G365" s="2121">
        <v>1</v>
      </c>
      <c r="H365" s="2121" t="s">
        <v>435</v>
      </c>
      <c r="I365" s="2123">
        <v>0.9</v>
      </c>
      <c r="J365" s="1081"/>
      <c r="K365" s="1082"/>
      <c r="L365" s="1082"/>
      <c r="M365" s="1082"/>
      <c r="N365" s="1082"/>
      <c r="O365" s="1082"/>
      <c r="P365" s="1082"/>
      <c r="Q365" s="1082"/>
      <c r="R365" s="1082"/>
      <c r="S365" s="1082"/>
      <c r="T365" s="1082"/>
      <c r="U365" s="1082"/>
      <c r="V365" s="1035"/>
      <c r="W365" s="1035"/>
      <c r="X365" s="1036"/>
      <c r="Y365" s="1036"/>
      <c r="Z365" s="1036"/>
      <c r="AA365" s="1036"/>
      <c r="AB365" s="1036"/>
      <c r="AC365" s="1036"/>
      <c r="AD365" s="1036"/>
      <c r="AE365" s="1036"/>
      <c r="AF365" s="1036"/>
      <c r="AG365" s="1036"/>
      <c r="AH365" s="1036"/>
      <c r="AI365" s="1036"/>
      <c r="AJ365" s="1036"/>
      <c r="AK365" s="1036"/>
      <c r="AL365" s="1036"/>
      <c r="AM365" s="1036"/>
      <c r="AN365" s="1036"/>
      <c r="AO365" s="1036"/>
      <c r="AP365" s="1036"/>
      <c r="AQ365" s="1036"/>
      <c r="AR365" s="1036"/>
      <c r="AS365" s="1036"/>
      <c r="AT365" s="1036"/>
      <c r="AU365" s="1036"/>
      <c r="AV365" s="1036"/>
      <c r="AW365" s="1036"/>
      <c r="AX365" s="1036"/>
      <c r="AY365" s="1037"/>
    </row>
    <row r="366" spans="2:51" ht="12.75" customHeight="1">
      <c r="B366" s="2109" t="str">
        <f>+$B$9</f>
        <v>工場・倉庫・市場</v>
      </c>
      <c r="C366" s="2279">
        <v>31090</v>
      </c>
      <c r="D366" s="2124" t="s">
        <v>434</v>
      </c>
      <c r="E366" s="2121">
        <v>1.1000000000000001</v>
      </c>
      <c r="F366" s="2121" t="s">
        <v>375</v>
      </c>
      <c r="G366" s="2121">
        <v>1</v>
      </c>
      <c r="H366" s="2121" t="s">
        <v>435</v>
      </c>
      <c r="I366" s="2123">
        <v>0.9</v>
      </c>
      <c r="J366" s="1081"/>
      <c r="K366" s="1082"/>
      <c r="L366" s="1082"/>
      <c r="M366" s="1082"/>
      <c r="N366" s="1082"/>
      <c r="O366" s="1082"/>
      <c r="P366" s="1082"/>
      <c r="Q366" s="1082"/>
      <c r="R366" s="1082"/>
      <c r="S366" s="1082"/>
      <c r="T366" s="1082"/>
      <c r="U366" s="1082"/>
      <c r="V366" s="1035"/>
      <c r="W366" s="1035"/>
      <c r="X366" s="1036"/>
      <c r="Y366" s="1036"/>
      <c r="Z366" s="1036"/>
      <c r="AA366" s="1036"/>
      <c r="AB366" s="1036"/>
      <c r="AC366" s="1036"/>
      <c r="AD366" s="1036"/>
      <c r="AE366" s="1036"/>
      <c r="AF366" s="1036"/>
      <c r="AG366" s="1036"/>
      <c r="AH366" s="1036"/>
      <c r="AI366" s="1036"/>
      <c r="AJ366" s="1036"/>
      <c r="AK366" s="1036"/>
      <c r="AL366" s="1036"/>
      <c r="AM366" s="1036"/>
      <c r="AN366" s="1036"/>
      <c r="AO366" s="1036"/>
      <c r="AP366" s="1036"/>
      <c r="AQ366" s="1036"/>
      <c r="AR366" s="1036"/>
      <c r="AS366" s="1036"/>
      <c r="AT366" s="1036"/>
      <c r="AU366" s="1036"/>
      <c r="AV366" s="1036"/>
      <c r="AW366" s="1036"/>
      <c r="AX366" s="1036"/>
      <c r="AY366" s="1037"/>
    </row>
    <row r="367" spans="2:51" ht="12.75" customHeight="1">
      <c r="B367" s="2110" t="str">
        <f>+$B$10</f>
        <v>劇場型建物</v>
      </c>
      <c r="C367" s="2474">
        <v>31090</v>
      </c>
      <c r="D367" s="2130" t="s">
        <v>434</v>
      </c>
      <c r="E367" s="2127">
        <v>1.1000000000000001</v>
      </c>
      <c r="F367" s="2127" t="s">
        <v>375</v>
      </c>
      <c r="G367" s="2127">
        <v>1</v>
      </c>
      <c r="H367" s="2127" t="s">
        <v>435</v>
      </c>
      <c r="I367" s="2129">
        <v>0.9</v>
      </c>
      <c r="J367" s="1081"/>
      <c r="K367" s="1082"/>
      <c r="L367" s="1082"/>
      <c r="M367" s="1082"/>
      <c r="N367" s="1082"/>
      <c r="O367" s="1082"/>
      <c r="P367" s="1082"/>
      <c r="Q367" s="1082"/>
      <c r="R367" s="1082"/>
      <c r="S367" s="1082"/>
      <c r="T367" s="1082"/>
      <c r="U367" s="1082"/>
      <c r="V367" s="1035"/>
      <c r="W367" s="1035"/>
      <c r="X367" s="1036"/>
      <c r="Y367" s="1036"/>
      <c r="Z367" s="1036"/>
      <c r="AA367" s="1036"/>
      <c r="AB367" s="1036"/>
      <c r="AC367" s="1036"/>
      <c r="AD367" s="1036"/>
      <c r="AE367" s="1036"/>
      <c r="AF367" s="1036"/>
      <c r="AG367" s="1036"/>
      <c r="AH367" s="1036"/>
      <c r="AI367" s="1036"/>
      <c r="AJ367" s="1036"/>
      <c r="AK367" s="1036"/>
      <c r="AL367" s="1036"/>
      <c r="AM367" s="1036"/>
      <c r="AN367" s="1036"/>
      <c r="AO367" s="1036"/>
      <c r="AP367" s="1036"/>
      <c r="AQ367" s="1036"/>
      <c r="AR367" s="1036"/>
      <c r="AS367" s="1036"/>
      <c r="AT367" s="1036"/>
      <c r="AU367" s="1036"/>
      <c r="AV367" s="1036"/>
      <c r="AW367" s="1036"/>
      <c r="AX367" s="1036"/>
      <c r="AY367" s="1037"/>
    </row>
    <row r="368" spans="2:51" ht="12.75" customHeight="1">
      <c r="B368" s="1008" t="s">
        <v>359</v>
      </c>
      <c r="C368" s="1121" t="s">
        <v>1019</v>
      </c>
      <c r="D368" s="1014" t="s">
        <v>1020</v>
      </c>
      <c r="E368" s="1015"/>
      <c r="F368" s="1015"/>
      <c r="G368" s="1015"/>
      <c r="H368" s="1015"/>
      <c r="I368" s="1016"/>
      <c r="J368" s="1103"/>
      <c r="K368" s="1098"/>
      <c r="L368" s="1098"/>
      <c r="M368" s="1098"/>
      <c r="N368" s="1098"/>
      <c r="O368" s="1098"/>
      <c r="P368" s="1098"/>
      <c r="Q368" s="1098"/>
      <c r="R368" s="1098"/>
      <c r="S368" s="1098"/>
      <c r="T368" s="1098"/>
      <c r="U368" s="1098"/>
      <c r="V368" s="1098"/>
      <c r="W368" s="1098"/>
      <c r="X368" s="1098"/>
      <c r="Y368" s="1098"/>
      <c r="Z368" s="1098"/>
      <c r="AA368" s="1098"/>
      <c r="AB368" s="1098"/>
      <c r="AC368" s="1098"/>
      <c r="AD368" s="1098"/>
      <c r="AE368" s="1098"/>
      <c r="AF368" s="1098"/>
      <c r="AG368" s="1098"/>
      <c r="AH368" s="1020"/>
      <c r="AI368" s="1020"/>
      <c r="AJ368" s="1021"/>
      <c r="AK368" s="1021"/>
      <c r="AL368" s="1021"/>
      <c r="AM368" s="1021"/>
      <c r="AN368" s="1021"/>
      <c r="AO368" s="1021"/>
      <c r="AP368" s="1021"/>
      <c r="AQ368" s="1021"/>
      <c r="AR368" s="1021"/>
      <c r="AS368" s="1021"/>
      <c r="AT368" s="1021"/>
      <c r="AU368" s="1021"/>
      <c r="AV368" s="1021"/>
      <c r="AW368" s="1021"/>
      <c r="AX368" s="1021"/>
      <c r="AY368" s="1022"/>
    </row>
    <row r="369" spans="2:51" ht="12.75" customHeight="1">
      <c r="B369" s="1023"/>
      <c r="C369" s="1024" t="s">
        <v>1021</v>
      </c>
      <c r="D369" s="1029" t="s">
        <v>366</v>
      </c>
      <c r="E369" s="1030"/>
      <c r="F369" s="1030" t="s">
        <v>367</v>
      </c>
      <c r="G369" s="1030"/>
      <c r="H369" s="1030" t="s">
        <v>368</v>
      </c>
      <c r="I369" s="1031"/>
      <c r="J369" s="1478" t="s">
        <v>1346</v>
      </c>
      <c r="K369" s="1082"/>
      <c r="L369" s="1082"/>
      <c r="M369" s="1082"/>
      <c r="N369" s="1082"/>
      <c r="O369" s="1082"/>
      <c r="P369" s="1082"/>
      <c r="Q369" s="1082"/>
      <c r="R369" s="1082"/>
      <c r="S369" s="1082"/>
      <c r="T369" s="1082"/>
      <c r="U369" s="1082"/>
      <c r="V369" s="1082"/>
      <c r="W369" s="1082"/>
      <c r="X369" s="1082"/>
      <c r="Y369" s="1082"/>
      <c r="Z369" s="1082"/>
      <c r="AA369" s="1082"/>
      <c r="AB369" s="1082"/>
      <c r="AC369" s="1082"/>
      <c r="AD369" s="1082"/>
      <c r="AE369" s="1082"/>
      <c r="AF369" s="1082"/>
      <c r="AG369" s="1082"/>
      <c r="AH369" s="1035"/>
      <c r="AI369" s="1035"/>
      <c r="AJ369" s="1036"/>
      <c r="AK369" s="1036"/>
      <c r="AL369" s="1036"/>
      <c r="AM369" s="1036"/>
      <c r="AN369" s="1036"/>
      <c r="AO369" s="1036"/>
      <c r="AP369" s="1036"/>
      <c r="AQ369" s="1036"/>
      <c r="AR369" s="1036"/>
      <c r="AS369" s="1036"/>
      <c r="AT369" s="1036"/>
      <c r="AU369" s="1036"/>
      <c r="AV369" s="1036"/>
      <c r="AW369" s="1036"/>
      <c r="AX369" s="1036"/>
      <c r="AY369" s="1037"/>
    </row>
    <row r="370" spans="2:51" ht="12.75" customHeight="1">
      <c r="B370" s="2108" t="str">
        <f>+$B$6</f>
        <v>事務所・店舗・百貨店</v>
      </c>
      <c r="C370" s="2258">
        <v>334690</v>
      </c>
      <c r="D370" s="1038" t="s">
        <v>434</v>
      </c>
      <c r="E370" s="1039"/>
      <c r="F370" s="1039" t="s">
        <v>375</v>
      </c>
      <c r="G370" s="1039">
        <v>1</v>
      </c>
      <c r="H370" s="1039" t="s">
        <v>435</v>
      </c>
      <c r="I370" s="1040"/>
      <c r="J370" s="1081"/>
      <c r="K370" s="1082"/>
      <c r="L370" s="1082"/>
      <c r="M370" s="1082"/>
      <c r="N370" s="1082"/>
      <c r="O370" s="1082"/>
      <c r="P370" s="1082"/>
      <c r="Q370" s="1082"/>
      <c r="R370" s="1082"/>
      <c r="S370" s="1082"/>
      <c r="T370" s="1082"/>
      <c r="U370" s="1082"/>
      <c r="V370" s="1082"/>
      <c r="W370" s="1082"/>
      <c r="X370" s="1082"/>
      <c r="Y370" s="1082"/>
      <c r="Z370" s="1082"/>
      <c r="AA370" s="1082"/>
      <c r="AB370" s="1082"/>
      <c r="AC370" s="1082"/>
      <c r="AD370" s="1082"/>
      <c r="AE370" s="1082"/>
      <c r="AF370" s="1082"/>
      <c r="AG370" s="1082"/>
      <c r="AH370" s="1035"/>
      <c r="AI370" s="1035"/>
      <c r="AJ370" s="1036"/>
      <c r="AK370" s="1036"/>
      <c r="AL370" s="1036"/>
      <c r="AM370" s="1036"/>
      <c r="AN370" s="1036"/>
      <c r="AO370" s="1036"/>
      <c r="AP370" s="1036"/>
      <c r="AQ370" s="1036"/>
      <c r="AR370" s="1036"/>
      <c r="AS370" s="1036"/>
      <c r="AT370" s="1036"/>
      <c r="AU370" s="1036"/>
      <c r="AV370" s="1036"/>
      <c r="AW370" s="1036"/>
      <c r="AX370" s="1036"/>
      <c r="AY370" s="1037"/>
    </row>
    <row r="371" spans="2:51" ht="12.75" customHeight="1">
      <c r="B371" s="2109" t="str">
        <f>+$B$7</f>
        <v>住宅・アパート</v>
      </c>
      <c r="C371" s="1045" t="s">
        <v>1022</v>
      </c>
      <c r="D371" s="1046" t="s">
        <v>1023</v>
      </c>
      <c r="E371" s="1047" t="s">
        <v>1023</v>
      </c>
      <c r="F371" s="1047" t="s">
        <v>1023</v>
      </c>
      <c r="G371" s="1047" t="s">
        <v>1023</v>
      </c>
      <c r="H371" s="1047" t="s">
        <v>1023</v>
      </c>
      <c r="I371" s="1048" t="s">
        <v>1023</v>
      </c>
      <c r="J371" s="1081"/>
      <c r="K371" s="1082"/>
      <c r="L371" s="1082"/>
      <c r="M371" s="1082"/>
      <c r="N371" s="1082"/>
      <c r="O371" s="1082"/>
      <c r="P371" s="1082"/>
      <c r="Q371" s="1082"/>
      <c r="R371" s="1082"/>
      <c r="S371" s="1082"/>
      <c r="T371" s="1082"/>
      <c r="U371" s="1082"/>
      <c r="V371" s="1082"/>
      <c r="W371" s="1082"/>
      <c r="X371" s="1082"/>
      <c r="Y371" s="1082"/>
      <c r="Z371" s="1082"/>
      <c r="AA371" s="1082"/>
      <c r="AB371" s="1082"/>
      <c r="AC371" s="1082"/>
      <c r="AD371" s="1082"/>
      <c r="AE371" s="1082"/>
      <c r="AF371" s="1082"/>
      <c r="AG371" s="1082"/>
      <c r="AH371" s="1035"/>
      <c r="AI371" s="1035"/>
      <c r="AJ371" s="1036"/>
      <c r="AK371" s="1036"/>
      <c r="AL371" s="1036"/>
      <c r="AM371" s="1036"/>
      <c r="AN371" s="1036"/>
      <c r="AO371" s="1036"/>
      <c r="AP371" s="1036"/>
      <c r="AQ371" s="1036"/>
      <c r="AR371" s="1036"/>
      <c r="AS371" s="1036"/>
      <c r="AT371" s="1036"/>
      <c r="AU371" s="1036"/>
      <c r="AV371" s="1036"/>
      <c r="AW371" s="1036"/>
      <c r="AX371" s="1036"/>
      <c r="AY371" s="1037"/>
    </row>
    <row r="372" spans="2:51" ht="12.75" customHeight="1">
      <c r="B372" s="2109" t="str">
        <f>+$B$8</f>
        <v>病院・ホテル</v>
      </c>
      <c r="C372" s="1045">
        <v>334690</v>
      </c>
      <c r="D372" s="1046" t="s">
        <v>434</v>
      </c>
      <c r="E372" s="1047"/>
      <c r="F372" s="1047" t="s">
        <v>375</v>
      </c>
      <c r="G372" s="1047">
        <v>1</v>
      </c>
      <c r="H372" s="1047" t="s">
        <v>435</v>
      </c>
      <c r="I372" s="1048"/>
      <c r="J372" s="1081"/>
      <c r="K372" s="1082"/>
      <c r="L372" s="1082"/>
      <c r="M372" s="1082"/>
      <c r="N372" s="1082"/>
      <c r="O372" s="1082"/>
      <c r="P372" s="1082"/>
      <c r="Q372" s="1082"/>
      <c r="R372" s="1082"/>
      <c r="S372" s="1082"/>
      <c r="T372" s="1082"/>
      <c r="U372" s="1082"/>
      <c r="V372" s="1082"/>
      <c r="W372" s="1082"/>
      <c r="X372" s="1082"/>
      <c r="Y372" s="1082"/>
      <c r="Z372" s="1082"/>
      <c r="AA372" s="1082"/>
      <c r="AB372" s="1082"/>
      <c r="AC372" s="1082"/>
      <c r="AD372" s="1082"/>
      <c r="AE372" s="1082"/>
      <c r="AF372" s="1082"/>
      <c r="AG372" s="1082"/>
      <c r="AH372" s="1035"/>
      <c r="AI372" s="1035"/>
      <c r="AJ372" s="1036"/>
      <c r="AK372" s="1036"/>
      <c r="AL372" s="1036"/>
      <c r="AM372" s="1036"/>
      <c r="AN372" s="1036"/>
      <c r="AO372" s="1036"/>
      <c r="AP372" s="1036"/>
      <c r="AQ372" s="1036"/>
      <c r="AR372" s="1036"/>
      <c r="AS372" s="1036"/>
      <c r="AT372" s="1036"/>
      <c r="AU372" s="1036"/>
      <c r="AV372" s="1036"/>
      <c r="AW372" s="1036"/>
      <c r="AX372" s="1036"/>
      <c r="AY372" s="1037"/>
    </row>
    <row r="373" spans="2:51" ht="12.75" customHeight="1">
      <c r="B373" s="2109" t="str">
        <f>+$B$9</f>
        <v>工場・倉庫・市場</v>
      </c>
      <c r="C373" s="1045" t="s">
        <v>1022</v>
      </c>
      <c r="D373" s="1046" t="s">
        <v>1023</v>
      </c>
      <c r="E373" s="1047" t="s">
        <v>1023</v>
      </c>
      <c r="F373" s="1047" t="s">
        <v>1023</v>
      </c>
      <c r="G373" s="1047" t="s">
        <v>1023</v>
      </c>
      <c r="H373" s="1047" t="s">
        <v>1023</v>
      </c>
      <c r="I373" s="1048" t="s">
        <v>1023</v>
      </c>
      <c r="J373" s="1081"/>
      <c r="K373" s="1082"/>
      <c r="L373" s="1082"/>
      <c r="M373" s="1082"/>
      <c r="N373" s="1082"/>
      <c r="O373" s="1082"/>
      <c r="P373" s="1082"/>
      <c r="Q373" s="1082"/>
      <c r="R373" s="1082"/>
      <c r="S373" s="1082"/>
      <c r="T373" s="1082"/>
      <c r="U373" s="1082"/>
      <c r="V373" s="1082"/>
      <c r="W373" s="1082"/>
      <c r="X373" s="1082"/>
      <c r="Y373" s="1082"/>
      <c r="Z373" s="1082"/>
      <c r="AA373" s="1082"/>
      <c r="AB373" s="1082"/>
      <c r="AC373" s="1082"/>
      <c r="AD373" s="1082"/>
      <c r="AE373" s="1082"/>
      <c r="AF373" s="1082"/>
      <c r="AG373" s="1082"/>
      <c r="AH373" s="1035"/>
      <c r="AI373" s="1035"/>
      <c r="AJ373" s="1036"/>
      <c r="AK373" s="1036"/>
      <c r="AL373" s="1036"/>
      <c r="AM373" s="1036"/>
      <c r="AN373" s="1036"/>
      <c r="AO373" s="1036"/>
      <c r="AP373" s="1036"/>
      <c r="AQ373" s="1036"/>
      <c r="AR373" s="1036"/>
      <c r="AS373" s="1036"/>
      <c r="AT373" s="1036"/>
      <c r="AU373" s="1036"/>
      <c r="AV373" s="1036"/>
      <c r="AW373" s="1036"/>
      <c r="AX373" s="1036"/>
      <c r="AY373" s="1037"/>
    </row>
    <row r="374" spans="2:51" ht="12.75" customHeight="1">
      <c r="B374" s="2110" t="str">
        <f>+$B$10</f>
        <v>劇場型建物</v>
      </c>
      <c r="C374" s="1045">
        <v>334690</v>
      </c>
      <c r="D374" s="1060" t="s">
        <v>434</v>
      </c>
      <c r="E374" s="1061"/>
      <c r="F374" s="1061" t="s">
        <v>375</v>
      </c>
      <c r="G374" s="1061">
        <v>1</v>
      </c>
      <c r="H374" s="1061" t="s">
        <v>435</v>
      </c>
      <c r="I374" s="1062"/>
      <c r="J374" s="1081"/>
      <c r="K374" s="1082"/>
      <c r="L374" s="1082"/>
      <c r="M374" s="1082"/>
      <c r="N374" s="1082"/>
      <c r="O374" s="1082"/>
      <c r="P374" s="1082"/>
      <c r="Q374" s="1082"/>
      <c r="R374" s="1082"/>
      <c r="S374" s="1082"/>
      <c r="T374" s="1082"/>
      <c r="U374" s="1082"/>
      <c r="V374" s="1082"/>
      <c r="W374" s="1082"/>
      <c r="X374" s="1082"/>
      <c r="Y374" s="1082"/>
      <c r="Z374" s="1082"/>
      <c r="AA374" s="1082"/>
      <c r="AB374" s="1082"/>
      <c r="AC374" s="1082"/>
      <c r="AD374" s="1082"/>
      <c r="AE374" s="1082"/>
      <c r="AF374" s="1082"/>
      <c r="AG374" s="1082"/>
      <c r="AH374" s="1035"/>
      <c r="AI374" s="1035"/>
      <c r="AJ374" s="1036"/>
      <c r="AK374" s="1036"/>
      <c r="AL374" s="1036"/>
      <c r="AM374" s="1036"/>
      <c r="AN374" s="1036"/>
      <c r="AO374" s="1036"/>
      <c r="AP374" s="1036"/>
      <c r="AQ374" s="1036"/>
      <c r="AR374" s="1036"/>
      <c r="AS374" s="1036"/>
      <c r="AT374" s="1036"/>
      <c r="AU374" s="1036"/>
      <c r="AV374" s="1036"/>
      <c r="AW374" s="1036"/>
      <c r="AX374" s="1036"/>
      <c r="AY374" s="1037"/>
    </row>
    <row r="375" spans="2:51" ht="12.75" customHeight="1">
      <c r="B375" s="1008" t="s">
        <v>359</v>
      </c>
      <c r="C375" s="1121" t="s">
        <v>1024</v>
      </c>
      <c r="D375" s="1014" t="s">
        <v>1025</v>
      </c>
      <c r="E375" s="1015"/>
      <c r="F375" s="1015"/>
      <c r="G375" s="1015"/>
      <c r="H375" s="1015"/>
      <c r="I375" s="1017"/>
      <c r="J375" s="1103"/>
      <c r="K375" s="1098"/>
      <c r="L375" s="1098"/>
      <c r="M375" s="1098"/>
      <c r="N375" s="1098"/>
      <c r="O375" s="1098"/>
      <c r="P375" s="1098"/>
      <c r="Q375" s="1098"/>
      <c r="R375" s="1098"/>
      <c r="S375" s="1098"/>
      <c r="T375" s="1098"/>
      <c r="U375" s="1098"/>
      <c r="V375" s="1098"/>
      <c r="W375" s="1098"/>
      <c r="X375" s="1098"/>
      <c r="Y375" s="1098"/>
      <c r="Z375" s="1098"/>
      <c r="AA375" s="1098"/>
      <c r="AB375" s="1098"/>
      <c r="AC375" s="1098"/>
      <c r="AD375" s="1098"/>
      <c r="AE375" s="1098"/>
      <c r="AF375" s="1098"/>
      <c r="AG375" s="1098"/>
      <c r="AH375" s="1020"/>
      <c r="AI375" s="1020"/>
      <c r="AJ375" s="1021"/>
      <c r="AK375" s="1021"/>
      <c r="AL375" s="1021"/>
      <c r="AM375" s="1021"/>
      <c r="AN375" s="1021"/>
      <c r="AO375" s="1021"/>
      <c r="AP375" s="1021"/>
      <c r="AQ375" s="1021"/>
      <c r="AR375" s="1021"/>
      <c r="AS375" s="1021"/>
      <c r="AT375" s="1021"/>
      <c r="AU375" s="1021"/>
      <c r="AV375" s="1021"/>
      <c r="AW375" s="1021"/>
      <c r="AX375" s="1021"/>
      <c r="AY375" s="1022"/>
    </row>
    <row r="376" spans="2:51" ht="12.75" customHeight="1">
      <c r="B376" s="1023"/>
      <c r="C376" s="1024" t="s">
        <v>1026</v>
      </c>
      <c r="D376" s="1029" t="s">
        <v>366</v>
      </c>
      <c r="E376" s="1030"/>
      <c r="F376" s="1030" t="s">
        <v>367</v>
      </c>
      <c r="G376" s="1030"/>
      <c r="H376" s="1030" t="s">
        <v>368</v>
      </c>
      <c r="I376" s="1032"/>
      <c r="J376" s="1478" t="s">
        <v>1346</v>
      </c>
      <c r="K376" s="1082"/>
      <c r="L376" s="1082"/>
      <c r="M376" s="1082"/>
      <c r="N376" s="1082"/>
      <c r="O376" s="1082"/>
      <c r="P376" s="1082"/>
      <c r="Q376" s="1082"/>
      <c r="R376" s="1082"/>
      <c r="S376" s="1082"/>
      <c r="T376" s="1082"/>
      <c r="U376" s="1082"/>
      <c r="V376" s="1082"/>
      <c r="W376" s="1082"/>
      <c r="X376" s="1082"/>
      <c r="Y376" s="1082"/>
      <c r="Z376" s="1082"/>
      <c r="AA376" s="1082"/>
      <c r="AB376" s="1082"/>
      <c r="AC376" s="1082"/>
      <c r="AD376" s="1082"/>
      <c r="AE376" s="1082"/>
      <c r="AF376" s="1082"/>
      <c r="AG376" s="1082"/>
      <c r="AH376" s="1035"/>
      <c r="AI376" s="1035"/>
      <c r="AJ376" s="1036"/>
      <c r="AK376" s="1036"/>
      <c r="AL376" s="1036"/>
      <c r="AM376" s="1036"/>
      <c r="AN376" s="1036"/>
      <c r="AO376" s="1036"/>
      <c r="AP376" s="1036"/>
      <c r="AQ376" s="1036"/>
      <c r="AR376" s="1036"/>
      <c r="AS376" s="1036"/>
      <c r="AT376" s="1036"/>
      <c r="AU376" s="1036"/>
      <c r="AV376" s="1036"/>
      <c r="AW376" s="1036"/>
      <c r="AX376" s="1036"/>
      <c r="AY376" s="1037"/>
    </row>
    <row r="377" spans="2:51" ht="12.75" customHeight="1">
      <c r="B377" s="2108" t="str">
        <f>+$B$6</f>
        <v>事務所・店舗・百貨店</v>
      </c>
      <c r="C377" s="2258">
        <v>525940</v>
      </c>
      <c r="D377" s="1038" t="s">
        <v>434</v>
      </c>
      <c r="E377" s="1039"/>
      <c r="F377" s="1039" t="s">
        <v>375</v>
      </c>
      <c r="G377" s="1039">
        <v>1</v>
      </c>
      <c r="H377" s="1039" t="s">
        <v>435</v>
      </c>
      <c r="I377" s="1040"/>
      <c r="J377" s="1081"/>
      <c r="K377" s="1082"/>
      <c r="L377" s="1082"/>
      <c r="M377" s="1082"/>
      <c r="N377" s="1082"/>
      <c r="O377" s="1082"/>
      <c r="P377" s="1082"/>
      <c r="Q377" s="1082"/>
      <c r="R377" s="1082"/>
      <c r="S377" s="1082"/>
      <c r="T377" s="1082"/>
      <c r="U377" s="1082"/>
      <c r="V377" s="1082"/>
      <c r="W377" s="1082"/>
      <c r="X377" s="1082"/>
      <c r="Y377" s="1082"/>
      <c r="Z377" s="1082"/>
      <c r="AA377" s="1082"/>
      <c r="AB377" s="1082"/>
      <c r="AC377" s="1082"/>
      <c r="AD377" s="1082"/>
      <c r="AE377" s="1082"/>
      <c r="AF377" s="1082"/>
      <c r="AG377" s="1082"/>
      <c r="AH377" s="1035"/>
      <c r="AI377" s="1035"/>
      <c r="AJ377" s="1036"/>
      <c r="AK377" s="1036"/>
      <c r="AL377" s="1036"/>
      <c r="AM377" s="1036"/>
      <c r="AN377" s="1036"/>
      <c r="AO377" s="1036"/>
      <c r="AP377" s="1036"/>
      <c r="AQ377" s="1036"/>
      <c r="AR377" s="1036"/>
      <c r="AS377" s="1036"/>
      <c r="AT377" s="1036"/>
      <c r="AU377" s="1036"/>
      <c r="AV377" s="1036"/>
      <c r="AW377" s="1036"/>
      <c r="AX377" s="1036"/>
      <c r="AY377" s="1037"/>
    </row>
    <row r="378" spans="2:51" ht="12.75" customHeight="1">
      <c r="B378" s="2109" t="str">
        <f>+$B$7</f>
        <v>住宅・アパート</v>
      </c>
      <c r="C378" s="1045">
        <v>525940</v>
      </c>
      <c r="D378" s="1046" t="s">
        <v>434</v>
      </c>
      <c r="E378" s="1047"/>
      <c r="F378" s="1047" t="s">
        <v>375</v>
      </c>
      <c r="G378" s="1047">
        <v>1</v>
      </c>
      <c r="H378" s="1047" t="s">
        <v>435</v>
      </c>
      <c r="I378" s="1048"/>
      <c r="J378" s="1081"/>
      <c r="K378" s="1082"/>
      <c r="L378" s="1082"/>
      <c r="M378" s="1082"/>
      <c r="N378" s="1082"/>
      <c r="O378" s="1082"/>
      <c r="P378" s="1082"/>
      <c r="Q378" s="1082"/>
      <c r="R378" s="1082"/>
      <c r="S378" s="1082"/>
      <c r="T378" s="1082"/>
      <c r="U378" s="1082"/>
      <c r="V378" s="1082"/>
      <c r="W378" s="1082"/>
      <c r="X378" s="1082"/>
      <c r="Y378" s="1082"/>
      <c r="Z378" s="1082"/>
      <c r="AA378" s="1082"/>
      <c r="AB378" s="1082"/>
      <c r="AC378" s="1082"/>
      <c r="AD378" s="1082"/>
      <c r="AE378" s="1082"/>
      <c r="AF378" s="1082"/>
      <c r="AG378" s="1082"/>
      <c r="AH378" s="1035"/>
      <c r="AI378" s="1035"/>
      <c r="AJ378" s="1036"/>
      <c r="AK378" s="1036"/>
      <c r="AL378" s="1036"/>
      <c r="AM378" s="1036"/>
      <c r="AN378" s="1036"/>
      <c r="AO378" s="1036"/>
      <c r="AP378" s="1036"/>
      <c r="AQ378" s="1036"/>
      <c r="AR378" s="1036"/>
      <c r="AS378" s="1036"/>
      <c r="AT378" s="1036"/>
      <c r="AU378" s="1036"/>
      <c r="AV378" s="1036"/>
      <c r="AW378" s="1036"/>
      <c r="AX378" s="1036"/>
      <c r="AY378" s="1037"/>
    </row>
    <row r="379" spans="2:51" ht="12.75" customHeight="1">
      <c r="B379" s="2109" t="str">
        <f>+$B$8</f>
        <v>病院・ホテル</v>
      </c>
      <c r="C379" s="1045">
        <v>525940</v>
      </c>
      <c r="D379" s="1046" t="s">
        <v>434</v>
      </c>
      <c r="E379" s="1047"/>
      <c r="F379" s="1047" t="s">
        <v>375</v>
      </c>
      <c r="G379" s="1047">
        <v>1</v>
      </c>
      <c r="H379" s="1047" t="s">
        <v>435</v>
      </c>
      <c r="I379" s="1048"/>
      <c r="J379" s="1081"/>
      <c r="K379" s="1082"/>
      <c r="L379" s="1082"/>
      <c r="M379" s="1082"/>
      <c r="N379" s="1082"/>
      <c r="O379" s="1082"/>
      <c r="P379" s="1082"/>
      <c r="Q379" s="1082"/>
      <c r="R379" s="1082"/>
      <c r="S379" s="1082"/>
      <c r="T379" s="1082"/>
      <c r="U379" s="1082"/>
      <c r="V379" s="1082"/>
      <c r="W379" s="1082"/>
      <c r="X379" s="1082"/>
      <c r="Y379" s="1082"/>
      <c r="Z379" s="1082"/>
      <c r="AA379" s="1082"/>
      <c r="AB379" s="1082"/>
      <c r="AC379" s="1082"/>
      <c r="AD379" s="1082"/>
      <c r="AE379" s="1082"/>
      <c r="AF379" s="1082"/>
      <c r="AG379" s="1082"/>
      <c r="AH379" s="1035"/>
      <c r="AI379" s="1035"/>
      <c r="AJ379" s="1036"/>
      <c r="AK379" s="1036"/>
      <c r="AL379" s="1036"/>
      <c r="AM379" s="1036"/>
      <c r="AN379" s="1036"/>
      <c r="AO379" s="1036"/>
      <c r="AP379" s="1036"/>
      <c r="AQ379" s="1036"/>
      <c r="AR379" s="1036"/>
      <c r="AS379" s="1036"/>
      <c r="AT379" s="1036"/>
      <c r="AU379" s="1036"/>
      <c r="AV379" s="1036"/>
      <c r="AW379" s="1036"/>
      <c r="AX379" s="1036"/>
      <c r="AY379" s="1037"/>
    </row>
    <row r="380" spans="2:51" ht="12.75" customHeight="1">
      <c r="B380" s="2109" t="str">
        <f>+$B$9</f>
        <v>工場・倉庫・市場</v>
      </c>
      <c r="C380" s="1045">
        <v>525940</v>
      </c>
      <c r="D380" s="1046" t="s">
        <v>434</v>
      </c>
      <c r="E380" s="1047"/>
      <c r="F380" s="1047" t="s">
        <v>375</v>
      </c>
      <c r="G380" s="1047">
        <v>1</v>
      </c>
      <c r="H380" s="1047" t="s">
        <v>435</v>
      </c>
      <c r="I380" s="1048"/>
      <c r="J380" s="1081"/>
      <c r="K380" s="1082"/>
      <c r="L380" s="1082"/>
      <c r="M380" s="1082"/>
      <c r="N380" s="1082"/>
      <c r="O380" s="1082"/>
      <c r="P380" s="1082"/>
      <c r="Q380" s="1082"/>
      <c r="R380" s="1082"/>
      <c r="S380" s="1082"/>
      <c r="T380" s="1082"/>
      <c r="U380" s="1082"/>
      <c r="V380" s="1082"/>
      <c r="W380" s="1082"/>
      <c r="X380" s="1082"/>
      <c r="Y380" s="1082"/>
      <c r="Z380" s="1082"/>
      <c r="AA380" s="1082"/>
      <c r="AB380" s="1082"/>
      <c r="AC380" s="1082"/>
      <c r="AD380" s="1082"/>
      <c r="AE380" s="1082"/>
      <c r="AF380" s="1082"/>
      <c r="AG380" s="1082"/>
      <c r="AH380" s="1035"/>
      <c r="AI380" s="1035"/>
      <c r="AJ380" s="1036"/>
      <c r="AK380" s="1036"/>
      <c r="AL380" s="1036"/>
      <c r="AM380" s="1036"/>
      <c r="AN380" s="1036"/>
      <c r="AO380" s="1036"/>
      <c r="AP380" s="1036"/>
      <c r="AQ380" s="1036"/>
      <c r="AR380" s="1036"/>
      <c r="AS380" s="1036"/>
      <c r="AT380" s="1036"/>
      <c r="AU380" s="1036"/>
      <c r="AV380" s="1036"/>
      <c r="AW380" s="1036"/>
      <c r="AX380" s="1036"/>
      <c r="AY380" s="1037"/>
    </row>
    <row r="381" spans="2:51" ht="12.75" customHeight="1">
      <c r="B381" s="2110" t="str">
        <f>+$B$10</f>
        <v>劇場型建物</v>
      </c>
      <c r="C381" s="1102">
        <v>525940</v>
      </c>
      <c r="D381" s="1060" t="s">
        <v>434</v>
      </c>
      <c r="E381" s="1061"/>
      <c r="F381" s="1061" t="s">
        <v>375</v>
      </c>
      <c r="G381" s="1061">
        <v>1</v>
      </c>
      <c r="H381" s="1061" t="s">
        <v>435</v>
      </c>
      <c r="I381" s="1062"/>
      <c r="J381" s="1081"/>
      <c r="K381" s="1082"/>
      <c r="L381" s="1082"/>
      <c r="M381" s="1082"/>
      <c r="N381" s="1082"/>
      <c r="O381" s="1082"/>
      <c r="P381" s="1082"/>
      <c r="Q381" s="1082"/>
      <c r="R381" s="1082"/>
      <c r="S381" s="1082"/>
      <c r="T381" s="1082"/>
      <c r="U381" s="1082"/>
      <c r="V381" s="1082"/>
      <c r="W381" s="1082"/>
      <c r="X381" s="1082"/>
      <c r="Y381" s="1082"/>
      <c r="Z381" s="1082"/>
      <c r="AA381" s="1082"/>
      <c r="AB381" s="1082"/>
      <c r="AC381" s="1082"/>
      <c r="AD381" s="1082"/>
      <c r="AE381" s="1082"/>
      <c r="AF381" s="1082"/>
      <c r="AG381" s="1082"/>
      <c r="AH381" s="1035"/>
      <c r="AI381" s="1035"/>
      <c r="AJ381" s="1036"/>
      <c r="AK381" s="1036"/>
      <c r="AL381" s="1036"/>
      <c r="AM381" s="1036"/>
      <c r="AN381" s="1036"/>
      <c r="AO381" s="1036"/>
      <c r="AP381" s="1036"/>
      <c r="AQ381" s="1036"/>
      <c r="AR381" s="1036"/>
      <c r="AS381" s="1036"/>
      <c r="AT381" s="1036"/>
      <c r="AU381" s="1036"/>
      <c r="AV381" s="1036"/>
      <c r="AW381" s="1036"/>
      <c r="AX381" s="1036"/>
      <c r="AY381" s="1037"/>
    </row>
    <row r="382" spans="2:51" ht="12.75" customHeight="1">
      <c r="B382" s="1008" t="s">
        <v>359</v>
      </c>
      <c r="C382" s="1121" t="s">
        <v>1027</v>
      </c>
      <c r="D382" s="1014" t="s">
        <v>1028</v>
      </c>
      <c r="E382" s="1015"/>
      <c r="F382" s="1015"/>
      <c r="G382" s="1015"/>
      <c r="H382" s="1015"/>
      <c r="I382" s="1016"/>
      <c r="J382" s="1013" t="s">
        <v>1029</v>
      </c>
      <c r="K382" s="1015"/>
      <c r="L382" s="1015"/>
      <c r="M382" s="1015"/>
      <c r="N382" s="1015"/>
      <c r="O382" s="1017"/>
      <c r="P382" s="1021"/>
      <c r="Q382" s="1021"/>
      <c r="R382" s="1021"/>
      <c r="S382" s="1021"/>
      <c r="T382" s="1021"/>
      <c r="U382" s="1021"/>
      <c r="V382" s="1021"/>
      <c r="W382" s="1021"/>
      <c r="X382" s="1021"/>
      <c r="Y382" s="1021"/>
      <c r="Z382" s="1021"/>
      <c r="AA382" s="1021"/>
      <c r="AB382" s="1021"/>
      <c r="AC382" s="1021"/>
      <c r="AD382" s="1021"/>
      <c r="AE382" s="1021"/>
      <c r="AF382" s="1021"/>
      <c r="AG382" s="1021"/>
      <c r="AH382" s="1020"/>
      <c r="AI382" s="1020"/>
      <c r="AJ382" s="1021"/>
      <c r="AK382" s="1021"/>
      <c r="AL382" s="1021"/>
      <c r="AM382" s="1021"/>
      <c r="AN382" s="1021"/>
      <c r="AO382" s="1021"/>
      <c r="AP382" s="1021"/>
      <c r="AQ382" s="1021"/>
      <c r="AR382" s="1021"/>
      <c r="AS382" s="1021"/>
      <c r="AT382" s="1021"/>
      <c r="AU382" s="1021"/>
      <c r="AV382" s="1021"/>
      <c r="AW382" s="1021"/>
      <c r="AX382" s="1021"/>
      <c r="AY382" s="1022"/>
    </row>
    <row r="383" spans="2:51" ht="12.75" customHeight="1">
      <c r="B383" s="1023"/>
      <c r="C383" s="1024" t="s">
        <v>1030</v>
      </c>
      <c r="D383" s="1029" t="s">
        <v>366</v>
      </c>
      <c r="E383" s="1030"/>
      <c r="F383" s="1030" t="s">
        <v>367</v>
      </c>
      <c r="G383" s="1030"/>
      <c r="H383" s="1030" t="s">
        <v>368</v>
      </c>
      <c r="I383" s="1031"/>
      <c r="J383" s="1028" t="s">
        <v>366</v>
      </c>
      <c r="K383" s="1030"/>
      <c r="L383" s="1030" t="s">
        <v>367</v>
      </c>
      <c r="M383" s="1030"/>
      <c r="N383" s="1030" t="s">
        <v>368</v>
      </c>
      <c r="O383" s="1032"/>
      <c r="P383" s="1528" t="s">
        <v>1347</v>
      </c>
      <c r="Q383" s="1036"/>
      <c r="R383" s="1036"/>
      <c r="S383" s="1036"/>
      <c r="T383" s="1036"/>
      <c r="U383" s="1036"/>
      <c r="V383" s="1036"/>
      <c r="W383" s="1036"/>
      <c r="X383" s="1036"/>
      <c r="Y383" s="1036"/>
      <c r="Z383" s="1036"/>
      <c r="AA383" s="1036"/>
      <c r="AB383" s="1036"/>
      <c r="AC383" s="1036"/>
      <c r="AD383" s="1036"/>
      <c r="AE383" s="1036"/>
      <c r="AF383" s="1036"/>
      <c r="AG383" s="1036"/>
      <c r="AH383" s="1035"/>
      <c r="AI383" s="1035"/>
      <c r="AJ383" s="1036"/>
      <c r="AK383" s="1036"/>
      <c r="AL383" s="1036"/>
      <c r="AM383" s="1036"/>
      <c r="AN383" s="1036"/>
      <c r="AO383" s="1036"/>
      <c r="AP383" s="1036"/>
      <c r="AQ383" s="1036"/>
      <c r="AR383" s="1036"/>
      <c r="AS383" s="1036"/>
      <c r="AT383" s="1036"/>
      <c r="AU383" s="1036"/>
      <c r="AV383" s="1036"/>
      <c r="AW383" s="1036"/>
      <c r="AX383" s="1036"/>
      <c r="AY383" s="1037"/>
    </row>
    <row r="384" spans="2:51" ht="12.75" customHeight="1">
      <c r="B384" s="2108" t="str">
        <f>+$B$6</f>
        <v>事務所・店舗・百貨店</v>
      </c>
      <c r="C384" s="2141">
        <f>+C387</f>
        <v>32220</v>
      </c>
      <c r="D384" s="2215">
        <v>120</v>
      </c>
      <c r="E384" s="2216">
        <v>3</v>
      </c>
      <c r="F384" s="2216">
        <v>60</v>
      </c>
      <c r="G384" s="2216">
        <v>1</v>
      </c>
      <c r="H384" s="2216">
        <v>30</v>
      </c>
      <c r="I384" s="2217">
        <v>0.3</v>
      </c>
      <c r="J384" s="2218" t="s">
        <v>1466</v>
      </c>
      <c r="K384" s="2216">
        <v>4.5</v>
      </c>
      <c r="L384" s="2216" t="s">
        <v>1467</v>
      </c>
      <c r="M384" s="2216">
        <v>1</v>
      </c>
      <c r="N384" s="2216" t="s">
        <v>1195</v>
      </c>
      <c r="O384" s="2217" t="s">
        <v>1195</v>
      </c>
      <c r="P384" s="1036"/>
      <c r="Q384" s="1036"/>
      <c r="R384" s="1036"/>
      <c r="S384" s="1036"/>
      <c r="T384" s="1036"/>
      <c r="U384" s="1036"/>
      <c r="V384" s="1036"/>
      <c r="W384" s="1036"/>
      <c r="X384" s="1036"/>
      <c r="Y384" s="1036"/>
      <c r="Z384" s="1036"/>
      <c r="AA384" s="1036"/>
      <c r="AB384" s="1036"/>
      <c r="AC384" s="1036"/>
      <c r="AD384" s="1036"/>
      <c r="AE384" s="1036"/>
      <c r="AF384" s="1036"/>
      <c r="AG384" s="1036"/>
      <c r="AH384" s="1035"/>
      <c r="AI384" s="1035"/>
      <c r="AJ384" s="1036"/>
      <c r="AK384" s="1036"/>
      <c r="AL384" s="1036"/>
      <c r="AM384" s="1036"/>
      <c r="AN384" s="1036"/>
      <c r="AO384" s="1036"/>
      <c r="AP384" s="1036"/>
      <c r="AQ384" s="1036"/>
      <c r="AR384" s="1036"/>
      <c r="AS384" s="1036"/>
      <c r="AT384" s="1036"/>
      <c r="AU384" s="1036"/>
      <c r="AV384" s="1036"/>
      <c r="AW384" s="1036"/>
      <c r="AX384" s="1036"/>
      <c r="AY384" s="1037"/>
    </row>
    <row r="385" spans="2:51" ht="12.75" customHeight="1">
      <c r="B385" s="2109" t="str">
        <f>+$B$7</f>
        <v>住宅・アパート</v>
      </c>
      <c r="C385" s="2119">
        <f>+C387</f>
        <v>32220</v>
      </c>
      <c r="D385" s="2138">
        <v>120</v>
      </c>
      <c r="E385" s="2121">
        <v>3</v>
      </c>
      <c r="F385" s="2121">
        <v>60</v>
      </c>
      <c r="G385" s="2121">
        <v>1</v>
      </c>
      <c r="H385" s="2121">
        <v>30</v>
      </c>
      <c r="I385" s="2123">
        <v>0.3</v>
      </c>
      <c r="J385" s="2124" t="s">
        <v>1466</v>
      </c>
      <c r="K385" s="2121">
        <v>4.5</v>
      </c>
      <c r="L385" s="2121" t="s">
        <v>1467</v>
      </c>
      <c r="M385" s="2121">
        <v>1</v>
      </c>
      <c r="N385" s="2121" t="s">
        <v>1195</v>
      </c>
      <c r="O385" s="2123" t="s">
        <v>1195</v>
      </c>
      <c r="P385" s="1036"/>
      <c r="Q385" s="1036"/>
      <c r="R385" s="1036"/>
      <c r="S385" s="1036"/>
      <c r="T385" s="1036"/>
      <c r="U385" s="1036"/>
      <c r="V385" s="1036"/>
      <c r="W385" s="1036"/>
      <c r="X385" s="1036"/>
      <c r="Y385" s="1036"/>
      <c r="Z385" s="1036"/>
      <c r="AA385" s="1036"/>
      <c r="AB385" s="1036"/>
      <c r="AC385" s="1036"/>
      <c r="AD385" s="1036"/>
      <c r="AE385" s="1036"/>
      <c r="AF385" s="1036"/>
      <c r="AG385" s="1036"/>
      <c r="AH385" s="1035"/>
      <c r="AI385" s="1035"/>
      <c r="AJ385" s="1036"/>
      <c r="AK385" s="1036"/>
      <c r="AL385" s="1036"/>
      <c r="AM385" s="1036"/>
      <c r="AN385" s="1036"/>
      <c r="AO385" s="1036"/>
      <c r="AP385" s="1036"/>
      <c r="AQ385" s="1036"/>
      <c r="AR385" s="1036"/>
      <c r="AS385" s="1036"/>
      <c r="AT385" s="1036"/>
      <c r="AU385" s="1036"/>
      <c r="AV385" s="1036"/>
      <c r="AW385" s="1036"/>
      <c r="AX385" s="1036"/>
      <c r="AY385" s="1037"/>
    </row>
    <row r="386" spans="2:51" ht="12.75" customHeight="1">
      <c r="B386" s="2109" t="str">
        <f>+$B$8</f>
        <v>病院・ホテル</v>
      </c>
      <c r="C386" s="2119">
        <f>+C387</f>
        <v>32220</v>
      </c>
      <c r="D386" s="2138">
        <v>120</v>
      </c>
      <c r="E386" s="2121">
        <v>3</v>
      </c>
      <c r="F386" s="2121">
        <v>60</v>
      </c>
      <c r="G386" s="2121">
        <v>1</v>
      </c>
      <c r="H386" s="2121">
        <v>30</v>
      </c>
      <c r="I386" s="2123">
        <v>0.3</v>
      </c>
      <c r="J386" s="2124" t="s">
        <v>1466</v>
      </c>
      <c r="K386" s="2121">
        <v>4.5</v>
      </c>
      <c r="L386" s="2121" t="s">
        <v>1467</v>
      </c>
      <c r="M386" s="2121">
        <v>1</v>
      </c>
      <c r="N386" s="2121" t="s">
        <v>1195</v>
      </c>
      <c r="O386" s="2123" t="s">
        <v>1195</v>
      </c>
      <c r="P386" s="1036"/>
      <c r="Q386" s="1036"/>
      <c r="R386" s="1036"/>
      <c r="S386" s="1036"/>
      <c r="T386" s="1036"/>
      <c r="U386" s="1036"/>
      <c r="V386" s="1036"/>
      <c r="W386" s="1036"/>
      <c r="X386" s="1036"/>
      <c r="Y386" s="1036"/>
      <c r="Z386" s="1036"/>
      <c r="AA386" s="1036"/>
      <c r="AB386" s="1036"/>
      <c r="AC386" s="1036"/>
      <c r="AD386" s="1036"/>
      <c r="AE386" s="1036"/>
      <c r="AF386" s="1036"/>
      <c r="AG386" s="1036"/>
      <c r="AH386" s="1035"/>
      <c r="AI386" s="1035"/>
      <c r="AJ386" s="1036"/>
      <c r="AK386" s="1036"/>
      <c r="AL386" s="1036"/>
      <c r="AM386" s="1036"/>
      <c r="AN386" s="1036"/>
      <c r="AO386" s="1036"/>
      <c r="AP386" s="1036"/>
      <c r="AQ386" s="1036"/>
      <c r="AR386" s="1036"/>
      <c r="AS386" s="1036"/>
      <c r="AT386" s="1036"/>
      <c r="AU386" s="1036"/>
      <c r="AV386" s="1036"/>
      <c r="AW386" s="1036"/>
      <c r="AX386" s="1036"/>
      <c r="AY386" s="1037"/>
    </row>
    <row r="387" spans="2:51" ht="12.75" customHeight="1">
      <c r="B387" s="2109" t="str">
        <f>+$B$9</f>
        <v>工場・倉庫・市場</v>
      </c>
      <c r="C387" s="1045">
        <v>32220</v>
      </c>
      <c r="D387" s="1050">
        <v>120</v>
      </c>
      <c r="E387" s="1047">
        <v>3</v>
      </c>
      <c r="F387" s="1051">
        <v>60</v>
      </c>
      <c r="G387" s="1047">
        <v>1</v>
      </c>
      <c r="H387" s="1051">
        <v>30</v>
      </c>
      <c r="I387" s="1053">
        <v>0.3</v>
      </c>
      <c r="J387" s="1056" t="s">
        <v>1031</v>
      </c>
      <c r="K387" s="1047">
        <v>4.5</v>
      </c>
      <c r="L387" s="1047" t="s">
        <v>1032</v>
      </c>
      <c r="M387" s="1047">
        <v>1</v>
      </c>
      <c r="N387" s="1047" t="s">
        <v>1195</v>
      </c>
      <c r="O387" s="1048" t="s">
        <v>1195</v>
      </c>
      <c r="P387" s="1035"/>
      <c r="Q387" s="1036"/>
      <c r="R387" s="1036"/>
      <c r="S387" s="1036"/>
      <c r="T387" s="1036"/>
      <c r="U387" s="1036"/>
      <c r="V387" s="1036"/>
      <c r="W387" s="1036"/>
      <c r="X387" s="1036"/>
      <c r="Y387" s="1036"/>
      <c r="Z387" s="1036"/>
      <c r="AA387" s="1036"/>
      <c r="AB387" s="1036"/>
      <c r="AC387" s="1036"/>
      <c r="AD387" s="1036"/>
      <c r="AE387" s="1036"/>
      <c r="AF387" s="1036"/>
      <c r="AG387" s="1036"/>
      <c r="AH387" s="1035"/>
      <c r="AI387" s="1035"/>
      <c r="AJ387" s="1036"/>
      <c r="AK387" s="1036"/>
      <c r="AL387" s="1036"/>
      <c r="AM387" s="1036"/>
      <c r="AN387" s="1036"/>
      <c r="AO387" s="1036"/>
      <c r="AP387" s="1036"/>
      <c r="AQ387" s="1036"/>
      <c r="AR387" s="1036"/>
      <c r="AS387" s="1036"/>
      <c r="AT387" s="1036"/>
      <c r="AU387" s="1036"/>
      <c r="AV387" s="1036"/>
      <c r="AW387" s="1036"/>
      <c r="AX387" s="1036"/>
      <c r="AY387" s="1037"/>
    </row>
    <row r="388" spans="2:51" ht="12.75" customHeight="1">
      <c r="B388" s="2110" t="str">
        <f>+$B$10</f>
        <v>劇場型建物</v>
      </c>
      <c r="C388" s="2125">
        <f>+C387</f>
        <v>32220</v>
      </c>
      <c r="D388" s="2219">
        <v>120</v>
      </c>
      <c r="E388" s="2162">
        <v>3</v>
      </c>
      <c r="F388" s="2162">
        <v>60</v>
      </c>
      <c r="G388" s="2162">
        <v>1</v>
      </c>
      <c r="H388" s="2162">
        <v>30</v>
      </c>
      <c r="I388" s="2165">
        <v>0.3</v>
      </c>
      <c r="J388" s="2160" t="s">
        <v>1466</v>
      </c>
      <c r="K388" s="2162">
        <v>4.5</v>
      </c>
      <c r="L388" s="2162" t="s">
        <v>1467</v>
      </c>
      <c r="M388" s="2162">
        <v>1</v>
      </c>
      <c r="N388" s="2162" t="s">
        <v>1195</v>
      </c>
      <c r="O388" s="2165" t="s">
        <v>1195</v>
      </c>
      <c r="P388" s="1036"/>
      <c r="Q388" s="1036"/>
      <c r="R388" s="1036"/>
      <c r="S388" s="1036"/>
      <c r="T388" s="1036"/>
      <c r="U388" s="1036"/>
      <c r="V388" s="1036"/>
      <c r="W388" s="1036"/>
      <c r="X388" s="1036"/>
      <c r="Y388" s="1036"/>
      <c r="Z388" s="1036"/>
      <c r="AA388" s="1036"/>
      <c r="AB388" s="1036"/>
      <c r="AC388" s="1036"/>
      <c r="AD388" s="1036"/>
      <c r="AE388" s="1036"/>
      <c r="AF388" s="1036"/>
      <c r="AG388" s="1036"/>
      <c r="AH388" s="1035"/>
      <c r="AI388" s="1035"/>
      <c r="AJ388" s="1036"/>
      <c r="AK388" s="1036"/>
      <c r="AL388" s="1036"/>
      <c r="AM388" s="1036"/>
      <c r="AN388" s="1036"/>
      <c r="AO388" s="1036"/>
      <c r="AP388" s="1036"/>
      <c r="AQ388" s="1036"/>
      <c r="AR388" s="1036"/>
      <c r="AS388" s="1036"/>
      <c r="AT388" s="1036"/>
      <c r="AU388" s="1036"/>
      <c r="AV388" s="1036"/>
      <c r="AW388" s="1036"/>
      <c r="AX388" s="1036"/>
      <c r="AY388" s="1037"/>
    </row>
    <row r="389" spans="2:51" ht="12.75" customHeight="1">
      <c r="B389" s="1008" t="s">
        <v>359</v>
      </c>
      <c r="C389" s="1121" t="s">
        <v>243</v>
      </c>
      <c r="D389" s="1068" t="s">
        <v>1034</v>
      </c>
      <c r="E389" s="1068"/>
      <c r="F389" s="1068"/>
      <c r="G389" s="1068"/>
      <c r="H389" s="1068"/>
      <c r="I389" s="1069"/>
      <c r="J389" s="2246"/>
      <c r="K389" s="2244"/>
      <c r="L389" s="2244"/>
      <c r="M389" s="2244"/>
      <c r="N389" s="2244"/>
      <c r="O389" s="2245"/>
      <c r="P389" s="1067" t="s">
        <v>1035</v>
      </c>
      <c r="Q389" s="1068"/>
      <c r="R389" s="1068"/>
      <c r="S389" s="1068"/>
      <c r="T389" s="1068"/>
      <c r="U389" s="1069"/>
      <c r="V389" s="1067" t="s">
        <v>1036</v>
      </c>
      <c r="W389" s="1068"/>
      <c r="X389" s="1068"/>
      <c r="Y389" s="1068"/>
      <c r="Z389" s="1068"/>
      <c r="AA389" s="1069"/>
      <c r="AB389" s="1067" t="s">
        <v>580</v>
      </c>
      <c r="AC389" s="1068"/>
      <c r="AD389" s="1068"/>
      <c r="AE389" s="1068"/>
      <c r="AF389" s="1068"/>
      <c r="AG389" s="1069"/>
      <c r="AH389" s="1113"/>
      <c r="AI389" s="1021"/>
      <c r="AJ389" s="1021"/>
      <c r="AK389" s="1021"/>
      <c r="AL389" s="1021"/>
      <c r="AM389" s="1021"/>
      <c r="AN389" s="1020"/>
      <c r="AO389" s="1020"/>
      <c r="AP389" s="1021"/>
      <c r="AQ389" s="1021"/>
      <c r="AR389" s="1021"/>
      <c r="AS389" s="1021"/>
      <c r="AT389" s="1020"/>
      <c r="AU389" s="1020"/>
      <c r="AV389" s="1021"/>
      <c r="AW389" s="1021"/>
      <c r="AX389" s="1021"/>
      <c r="AY389" s="1022"/>
    </row>
    <row r="390" spans="2:51" ht="12.75" customHeight="1">
      <c r="B390" s="1023"/>
      <c r="C390" s="1024" t="s">
        <v>581</v>
      </c>
      <c r="D390" s="1078" t="s">
        <v>367</v>
      </c>
      <c r="E390" s="1029"/>
      <c r="F390" s="1031" t="s">
        <v>368</v>
      </c>
      <c r="G390" s="1029"/>
      <c r="H390" s="1031" t="s">
        <v>368</v>
      </c>
      <c r="I390" s="1071"/>
      <c r="J390" s="2250"/>
      <c r="K390" s="2247"/>
      <c r="L390" s="2248"/>
      <c r="M390" s="2247"/>
      <c r="N390" s="2248"/>
      <c r="O390" s="2249"/>
      <c r="P390" s="1070" t="s">
        <v>366</v>
      </c>
      <c r="Q390" s="1029"/>
      <c r="R390" s="1031" t="s">
        <v>367</v>
      </c>
      <c r="S390" s="1029"/>
      <c r="T390" s="1031" t="s">
        <v>368</v>
      </c>
      <c r="U390" s="1071"/>
      <c r="V390" s="1070" t="s">
        <v>366</v>
      </c>
      <c r="W390" s="1029"/>
      <c r="X390" s="1031" t="s">
        <v>367</v>
      </c>
      <c r="Y390" s="1029"/>
      <c r="Z390" s="1031" t="s">
        <v>368</v>
      </c>
      <c r="AA390" s="1071"/>
      <c r="AB390" s="1531" t="s">
        <v>1349</v>
      </c>
      <c r="AC390" s="1029"/>
      <c r="AD390" s="1031" t="s">
        <v>367</v>
      </c>
      <c r="AE390" s="1029"/>
      <c r="AF390" s="1532" t="s">
        <v>1298</v>
      </c>
      <c r="AG390" s="1071"/>
      <c r="AH390" s="1114"/>
      <c r="AI390" s="1036"/>
      <c r="AJ390" s="1036"/>
      <c r="AK390" s="1036"/>
      <c r="AL390" s="1036"/>
      <c r="AM390" s="1036"/>
      <c r="AN390" s="1035"/>
      <c r="AO390" s="1035"/>
      <c r="AP390" s="1036"/>
      <c r="AQ390" s="1036"/>
      <c r="AR390" s="1036"/>
      <c r="AS390" s="1036"/>
      <c r="AT390" s="1035"/>
      <c r="AU390" s="1035"/>
      <c r="AV390" s="1036"/>
      <c r="AW390" s="1036"/>
      <c r="AX390" s="1036"/>
      <c r="AY390" s="1037"/>
    </row>
    <row r="391" spans="2:51" ht="12.75" customHeight="1">
      <c r="B391" s="2108" t="str">
        <f>+$B$6</f>
        <v>事務所・店舗・百貨店</v>
      </c>
      <c r="C391" s="2258">
        <v>870</v>
      </c>
      <c r="D391" s="1038" t="s">
        <v>582</v>
      </c>
      <c r="E391" s="1039">
        <v>1</v>
      </c>
      <c r="F391" s="1039" t="s">
        <v>583</v>
      </c>
      <c r="G391" s="1039">
        <v>0.9</v>
      </c>
      <c r="H391" s="1039" t="s">
        <v>584</v>
      </c>
      <c r="I391" s="1042">
        <v>0.86</v>
      </c>
      <c r="J391" s="1041"/>
      <c r="K391" s="1039"/>
      <c r="L391" s="1039"/>
      <c r="M391" s="1039"/>
      <c r="N391" s="1039"/>
      <c r="O391" s="1040"/>
      <c r="P391" s="1041" t="s">
        <v>374</v>
      </c>
      <c r="Q391" s="1039">
        <v>1.25</v>
      </c>
      <c r="R391" s="1039" t="s">
        <v>375</v>
      </c>
      <c r="S391" s="1039">
        <v>1</v>
      </c>
      <c r="T391" s="1039" t="s">
        <v>376</v>
      </c>
      <c r="U391" s="1040">
        <v>0.8</v>
      </c>
      <c r="V391" s="1038" t="s">
        <v>585</v>
      </c>
      <c r="W391" s="1039">
        <v>1.2</v>
      </c>
      <c r="X391" s="1039" t="s">
        <v>586</v>
      </c>
      <c r="Y391" s="1039">
        <v>1</v>
      </c>
      <c r="Z391" s="1039" t="s">
        <v>587</v>
      </c>
      <c r="AA391" s="1042">
        <v>0.8</v>
      </c>
      <c r="AB391" s="1083">
        <v>1000</v>
      </c>
      <c r="AC391" s="1039">
        <v>1.1499999999999999</v>
      </c>
      <c r="AD391" s="1044">
        <v>3000</v>
      </c>
      <c r="AE391" s="1039">
        <v>1</v>
      </c>
      <c r="AF391" s="1044">
        <v>10000</v>
      </c>
      <c r="AG391" s="1040">
        <v>0.93</v>
      </c>
      <c r="AH391" s="1114"/>
      <c r="AI391" s="1036"/>
      <c r="AJ391" s="1036"/>
      <c r="AK391" s="1036"/>
      <c r="AL391" s="1036"/>
      <c r="AM391" s="1036"/>
      <c r="AN391" s="1035"/>
      <c r="AO391" s="1035"/>
      <c r="AP391" s="1036"/>
      <c r="AQ391" s="1036"/>
      <c r="AR391" s="1036"/>
      <c r="AS391" s="1036"/>
      <c r="AT391" s="1035"/>
      <c r="AU391" s="1035"/>
      <c r="AV391" s="1036"/>
      <c r="AW391" s="1036"/>
      <c r="AX391" s="1036"/>
      <c r="AY391" s="1037"/>
    </row>
    <row r="392" spans="2:51" ht="12.75" customHeight="1">
      <c r="B392" s="2109" t="str">
        <f>+$B$7</f>
        <v>住宅・アパート</v>
      </c>
      <c r="C392" s="1045">
        <v>870</v>
      </c>
      <c r="D392" s="1046" t="s">
        <v>582</v>
      </c>
      <c r="E392" s="1047">
        <v>1</v>
      </c>
      <c r="F392" s="1047" t="s">
        <v>583</v>
      </c>
      <c r="G392" s="1047">
        <v>0.9</v>
      </c>
      <c r="H392" s="1047" t="s">
        <v>584</v>
      </c>
      <c r="I392" s="1053">
        <v>0.86</v>
      </c>
      <c r="J392" s="1056"/>
      <c r="K392" s="1047"/>
      <c r="L392" s="1047"/>
      <c r="M392" s="1047"/>
      <c r="N392" s="1047"/>
      <c r="O392" s="1048"/>
      <c r="P392" s="1056" t="s">
        <v>374</v>
      </c>
      <c r="Q392" s="1047">
        <v>1.25</v>
      </c>
      <c r="R392" s="1047" t="s">
        <v>375</v>
      </c>
      <c r="S392" s="1047">
        <v>1</v>
      </c>
      <c r="T392" s="1047" t="s">
        <v>376</v>
      </c>
      <c r="U392" s="1048">
        <v>0.8</v>
      </c>
      <c r="V392" s="1046" t="s">
        <v>588</v>
      </c>
      <c r="W392" s="1047">
        <v>1.2</v>
      </c>
      <c r="X392" s="1047" t="s">
        <v>589</v>
      </c>
      <c r="Y392" s="1047">
        <v>1</v>
      </c>
      <c r="Z392" s="1047" t="s">
        <v>590</v>
      </c>
      <c r="AA392" s="1053">
        <v>0.8</v>
      </c>
      <c r="AB392" s="1084">
        <v>360</v>
      </c>
      <c r="AC392" s="1122">
        <v>1.1499999999999999</v>
      </c>
      <c r="AD392" s="1055">
        <v>1800</v>
      </c>
      <c r="AE392" s="1122">
        <v>1</v>
      </c>
      <c r="AF392" s="1055">
        <v>3600</v>
      </c>
      <c r="AG392" s="1123">
        <v>0.93</v>
      </c>
      <c r="AH392" s="1114"/>
      <c r="AI392" s="1036"/>
      <c r="AJ392" s="1036"/>
      <c r="AK392" s="1036"/>
      <c r="AL392" s="1036"/>
      <c r="AM392" s="1036"/>
      <c r="AN392" s="1035"/>
      <c r="AO392" s="1035"/>
      <c r="AP392" s="1036"/>
      <c r="AQ392" s="1036"/>
      <c r="AR392" s="1036"/>
      <c r="AS392" s="1036"/>
      <c r="AT392" s="1035"/>
      <c r="AU392" s="1035"/>
      <c r="AV392" s="1036"/>
      <c r="AW392" s="1036"/>
      <c r="AX392" s="1036"/>
      <c r="AY392" s="1037"/>
    </row>
    <row r="393" spans="2:51" ht="12.75" customHeight="1">
      <c r="B393" s="2109" t="str">
        <f>+$B$8</f>
        <v>病院・ホテル</v>
      </c>
      <c r="C393" s="1045">
        <v>870</v>
      </c>
      <c r="D393" s="1046" t="s">
        <v>582</v>
      </c>
      <c r="E393" s="1047">
        <v>1</v>
      </c>
      <c r="F393" s="1047" t="s">
        <v>583</v>
      </c>
      <c r="G393" s="1047">
        <v>0.9</v>
      </c>
      <c r="H393" s="1047" t="s">
        <v>584</v>
      </c>
      <c r="I393" s="1053">
        <v>0.86</v>
      </c>
      <c r="J393" s="1056"/>
      <c r="K393" s="1047"/>
      <c r="L393" s="1047"/>
      <c r="M393" s="1047"/>
      <c r="N393" s="1047"/>
      <c r="O393" s="1048"/>
      <c r="P393" s="1056" t="s">
        <v>374</v>
      </c>
      <c r="Q393" s="1047">
        <v>1.25</v>
      </c>
      <c r="R393" s="1047" t="s">
        <v>375</v>
      </c>
      <c r="S393" s="1047">
        <v>1</v>
      </c>
      <c r="T393" s="1047" t="s">
        <v>376</v>
      </c>
      <c r="U393" s="1048">
        <v>0.8</v>
      </c>
      <c r="V393" s="1046" t="s">
        <v>588</v>
      </c>
      <c r="W393" s="1047">
        <v>1.2</v>
      </c>
      <c r="X393" s="1047" t="s">
        <v>589</v>
      </c>
      <c r="Y393" s="1047">
        <v>1</v>
      </c>
      <c r="Z393" s="1047" t="s">
        <v>590</v>
      </c>
      <c r="AA393" s="1053">
        <v>0.8</v>
      </c>
      <c r="AB393" s="1084">
        <v>1000</v>
      </c>
      <c r="AC393" s="1047">
        <v>1.1499999999999999</v>
      </c>
      <c r="AD393" s="1055">
        <v>3000</v>
      </c>
      <c r="AE393" s="1047">
        <v>1</v>
      </c>
      <c r="AF393" s="1055">
        <v>10000</v>
      </c>
      <c r="AG393" s="1048">
        <v>0.93</v>
      </c>
      <c r="AH393" s="1114"/>
      <c r="AI393" s="1036"/>
      <c r="AJ393" s="1036"/>
      <c r="AK393" s="1036"/>
      <c r="AL393" s="1036"/>
      <c r="AM393" s="1036"/>
      <c r="AN393" s="1035"/>
      <c r="AO393" s="1035"/>
      <c r="AP393" s="1036"/>
      <c r="AQ393" s="1036"/>
      <c r="AR393" s="1036"/>
      <c r="AS393" s="1036"/>
      <c r="AT393" s="1035"/>
      <c r="AU393" s="1035"/>
      <c r="AV393" s="1036"/>
      <c r="AW393" s="1036"/>
      <c r="AX393" s="1036"/>
      <c r="AY393" s="1037"/>
    </row>
    <row r="394" spans="2:51" ht="12.75" customHeight="1">
      <c r="B394" s="2109" t="str">
        <f>+$B$9</f>
        <v>工場・倉庫・市場</v>
      </c>
      <c r="C394" s="1045">
        <v>870</v>
      </c>
      <c r="D394" s="1046" t="s">
        <v>582</v>
      </c>
      <c r="E394" s="1047">
        <v>1</v>
      </c>
      <c r="F394" s="1047" t="s">
        <v>583</v>
      </c>
      <c r="G394" s="1047">
        <v>0.9</v>
      </c>
      <c r="H394" s="1047" t="s">
        <v>584</v>
      </c>
      <c r="I394" s="1053">
        <v>0.86</v>
      </c>
      <c r="J394" s="1056"/>
      <c r="K394" s="1047"/>
      <c r="L394" s="1047"/>
      <c r="M394" s="1047"/>
      <c r="N394" s="1047"/>
      <c r="O394" s="1048"/>
      <c r="P394" s="1056" t="s">
        <v>374</v>
      </c>
      <c r="Q394" s="1047">
        <v>1.25</v>
      </c>
      <c r="R394" s="1047" t="s">
        <v>375</v>
      </c>
      <c r="S394" s="1047">
        <v>1</v>
      </c>
      <c r="T394" s="1047" t="s">
        <v>376</v>
      </c>
      <c r="U394" s="1048">
        <v>0.8</v>
      </c>
      <c r="V394" s="1046" t="s">
        <v>588</v>
      </c>
      <c r="W394" s="1047">
        <v>1.2</v>
      </c>
      <c r="X394" s="1047" t="s">
        <v>589</v>
      </c>
      <c r="Y394" s="1047">
        <v>1</v>
      </c>
      <c r="Z394" s="1047" t="s">
        <v>590</v>
      </c>
      <c r="AA394" s="1053">
        <v>0.8</v>
      </c>
      <c r="AB394" s="1084">
        <v>1000</v>
      </c>
      <c r="AC394" s="1047">
        <v>1.1499999999999999</v>
      </c>
      <c r="AD394" s="1055">
        <v>3000</v>
      </c>
      <c r="AE394" s="1047">
        <v>1</v>
      </c>
      <c r="AF394" s="1055">
        <v>10000</v>
      </c>
      <c r="AG394" s="1048">
        <v>0.93</v>
      </c>
      <c r="AH394" s="1114"/>
      <c r="AI394" s="1036"/>
      <c r="AJ394" s="1036"/>
      <c r="AK394" s="1036"/>
      <c r="AL394" s="1036"/>
      <c r="AM394" s="1036"/>
      <c r="AN394" s="1035"/>
      <c r="AO394" s="1035"/>
      <c r="AP394" s="1036"/>
      <c r="AQ394" s="1036"/>
      <c r="AR394" s="1036"/>
      <c r="AS394" s="1036"/>
      <c r="AT394" s="1035"/>
      <c r="AU394" s="1035"/>
      <c r="AV394" s="1036"/>
      <c r="AW394" s="1036"/>
      <c r="AX394" s="1036"/>
      <c r="AY394" s="1037"/>
    </row>
    <row r="395" spans="2:51" ht="12.75" customHeight="1">
      <c r="B395" s="2110" t="str">
        <f>+$B$10</f>
        <v>劇場型建物</v>
      </c>
      <c r="C395" s="1102">
        <v>870</v>
      </c>
      <c r="D395" s="1060" t="s">
        <v>582</v>
      </c>
      <c r="E395" s="1061">
        <v>1</v>
      </c>
      <c r="F395" s="1061" t="s">
        <v>583</v>
      </c>
      <c r="G395" s="1061">
        <v>0.9</v>
      </c>
      <c r="H395" s="1061" t="s">
        <v>584</v>
      </c>
      <c r="I395" s="1064">
        <v>0.86</v>
      </c>
      <c r="J395" s="1063"/>
      <c r="K395" s="1061"/>
      <c r="L395" s="1061"/>
      <c r="M395" s="1061"/>
      <c r="N395" s="1061"/>
      <c r="O395" s="1062"/>
      <c r="P395" s="1063" t="s">
        <v>374</v>
      </c>
      <c r="Q395" s="1061">
        <v>1.25</v>
      </c>
      <c r="R395" s="1061" t="s">
        <v>375</v>
      </c>
      <c r="S395" s="1061">
        <v>1</v>
      </c>
      <c r="T395" s="1061" t="s">
        <v>376</v>
      </c>
      <c r="U395" s="1062">
        <v>0.8</v>
      </c>
      <c r="V395" s="1060" t="s">
        <v>588</v>
      </c>
      <c r="W395" s="1061">
        <v>1.2</v>
      </c>
      <c r="X395" s="1061" t="s">
        <v>589</v>
      </c>
      <c r="Y395" s="1061">
        <v>1</v>
      </c>
      <c r="Z395" s="1061" t="s">
        <v>590</v>
      </c>
      <c r="AA395" s="1064">
        <v>0.8</v>
      </c>
      <c r="AB395" s="1085">
        <v>900</v>
      </c>
      <c r="AC395" s="1061">
        <v>1.1499999999999999</v>
      </c>
      <c r="AD395" s="1066">
        <v>1800</v>
      </c>
      <c r="AE395" s="1061">
        <v>1</v>
      </c>
      <c r="AF395" s="1066">
        <v>3600</v>
      </c>
      <c r="AG395" s="1062">
        <v>0.93</v>
      </c>
      <c r="AH395" s="1114"/>
      <c r="AI395" s="1036"/>
      <c r="AJ395" s="1036"/>
      <c r="AK395" s="1036"/>
      <c r="AL395" s="1036"/>
      <c r="AM395" s="1036"/>
      <c r="AN395" s="1035"/>
      <c r="AO395" s="1035"/>
      <c r="AP395" s="1036"/>
      <c r="AQ395" s="1036"/>
      <c r="AR395" s="1036"/>
      <c r="AS395" s="1036"/>
      <c r="AT395" s="1035"/>
      <c r="AU395" s="1035"/>
      <c r="AV395" s="1036"/>
      <c r="AW395" s="1036"/>
      <c r="AX395" s="1036"/>
      <c r="AY395" s="1037"/>
    </row>
    <row r="396" spans="2:51" ht="12.75" customHeight="1">
      <c r="B396" s="1008" t="s">
        <v>359</v>
      </c>
      <c r="C396" s="1121" t="s">
        <v>591</v>
      </c>
      <c r="D396" s="1067" t="s">
        <v>592</v>
      </c>
      <c r="E396" s="1068"/>
      <c r="F396" s="1068"/>
      <c r="G396" s="1068"/>
      <c r="H396" s="1068"/>
      <c r="I396" s="1069"/>
      <c r="J396" s="1068" t="s">
        <v>593</v>
      </c>
      <c r="K396" s="1068"/>
      <c r="L396" s="1068"/>
      <c r="M396" s="1068"/>
      <c r="N396" s="1068"/>
      <c r="O396" s="1069"/>
      <c r="P396" s="1103"/>
      <c r="Q396" s="1098"/>
      <c r="R396" s="1098"/>
      <c r="S396" s="1098"/>
      <c r="T396" s="1098"/>
      <c r="U396" s="1098"/>
      <c r="V396" s="1098"/>
      <c r="W396" s="1098"/>
      <c r="X396" s="1098"/>
      <c r="Y396" s="1098"/>
      <c r="Z396" s="1098"/>
      <c r="AA396" s="1098"/>
      <c r="AB396" s="1126"/>
      <c r="AC396" s="1118"/>
      <c r="AD396" s="1126"/>
      <c r="AE396" s="1118"/>
      <c r="AF396" s="1126"/>
      <c r="AG396" s="1118"/>
      <c r="AH396" s="1098"/>
      <c r="AI396" s="1098"/>
      <c r="AJ396" s="1098"/>
      <c r="AK396" s="1098"/>
      <c r="AL396" s="1098"/>
      <c r="AM396" s="1098"/>
      <c r="AN396" s="1020"/>
      <c r="AO396" s="1020"/>
      <c r="AP396" s="1021"/>
      <c r="AQ396" s="1021"/>
      <c r="AR396" s="1021"/>
      <c r="AS396" s="1021"/>
      <c r="AT396" s="1020"/>
      <c r="AU396" s="1020"/>
      <c r="AV396" s="1021"/>
      <c r="AW396" s="1021"/>
      <c r="AX396" s="1021"/>
      <c r="AY396" s="1022"/>
    </row>
    <row r="397" spans="2:51" ht="12.75" customHeight="1">
      <c r="B397" s="1023"/>
      <c r="C397" s="1024" t="s">
        <v>594</v>
      </c>
      <c r="D397" s="1070" t="s">
        <v>366</v>
      </c>
      <c r="E397" s="1029"/>
      <c r="F397" s="1031" t="s">
        <v>367</v>
      </c>
      <c r="G397" s="1029"/>
      <c r="H397" s="1031" t="s">
        <v>368</v>
      </c>
      <c r="I397" s="1071"/>
      <c r="J397" s="1078" t="s">
        <v>366</v>
      </c>
      <c r="K397" s="1029"/>
      <c r="L397" s="1031" t="s">
        <v>367</v>
      </c>
      <c r="M397" s="1029"/>
      <c r="N397" s="1031" t="s">
        <v>368</v>
      </c>
      <c r="O397" s="1071"/>
      <c r="P397" s="1081"/>
      <c r="Q397" s="1082"/>
      <c r="R397" s="1082"/>
      <c r="S397" s="1082"/>
      <c r="T397" s="1082"/>
      <c r="U397" s="1082"/>
      <c r="V397" s="1082"/>
      <c r="W397" s="1082"/>
      <c r="X397" s="1082"/>
      <c r="Y397" s="1082"/>
      <c r="Z397" s="1082"/>
      <c r="AA397" s="1082"/>
      <c r="AB397" s="1127"/>
      <c r="AC397" s="1120"/>
      <c r="AD397" s="1127"/>
      <c r="AE397" s="1120"/>
      <c r="AF397" s="1127"/>
      <c r="AG397" s="1120"/>
      <c r="AH397" s="1082"/>
      <c r="AI397" s="1082"/>
      <c r="AJ397" s="1082"/>
      <c r="AK397" s="1082"/>
      <c r="AL397" s="1082"/>
      <c r="AM397" s="1082"/>
      <c r="AN397" s="1035"/>
      <c r="AO397" s="1035"/>
      <c r="AP397" s="1036"/>
      <c r="AQ397" s="1036"/>
      <c r="AR397" s="1036"/>
      <c r="AS397" s="1036"/>
      <c r="AT397" s="1035"/>
      <c r="AU397" s="1035"/>
      <c r="AV397" s="1036"/>
      <c r="AW397" s="1036"/>
      <c r="AX397" s="1036"/>
      <c r="AY397" s="1037"/>
    </row>
    <row r="398" spans="2:51" ht="12.75" customHeight="1">
      <c r="B398" s="2108" t="str">
        <f>+$B$6</f>
        <v>事務所・店舗・百貨店</v>
      </c>
      <c r="C398" s="2258">
        <v>293090</v>
      </c>
      <c r="D398" s="1041" t="s">
        <v>1195</v>
      </c>
      <c r="E398" s="1039" t="s">
        <v>1195</v>
      </c>
      <c r="F398" s="1039" t="s">
        <v>595</v>
      </c>
      <c r="G398" s="1039">
        <v>1</v>
      </c>
      <c r="H398" s="1039" t="s">
        <v>596</v>
      </c>
      <c r="I398" s="1040">
        <v>0.8</v>
      </c>
      <c r="J398" s="1091">
        <v>60</v>
      </c>
      <c r="K398" s="1039">
        <v>1.3</v>
      </c>
      <c r="L398" s="1092">
        <v>30</v>
      </c>
      <c r="M398" s="1039">
        <v>1</v>
      </c>
      <c r="N398" s="1092">
        <v>20</v>
      </c>
      <c r="O398" s="1040">
        <v>0.95</v>
      </c>
      <c r="P398" s="1081"/>
      <c r="Q398" s="1082"/>
      <c r="R398" s="1082"/>
      <c r="S398" s="1082"/>
      <c r="T398" s="1082"/>
      <c r="U398" s="1082"/>
      <c r="V398" s="1082"/>
      <c r="W398" s="1082"/>
      <c r="X398" s="1082"/>
      <c r="Y398" s="1082"/>
      <c r="Z398" s="1082"/>
      <c r="AA398" s="1082"/>
      <c r="AB398" s="1127"/>
      <c r="AC398" s="1120"/>
      <c r="AD398" s="1127"/>
      <c r="AE398" s="1120"/>
      <c r="AF398" s="1127"/>
      <c r="AG398" s="1120"/>
      <c r="AH398" s="1082"/>
      <c r="AI398" s="1082"/>
      <c r="AJ398" s="1082"/>
      <c r="AK398" s="1082"/>
      <c r="AL398" s="1082"/>
      <c r="AM398" s="1082"/>
      <c r="AN398" s="1035"/>
      <c r="AO398" s="1035"/>
      <c r="AP398" s="1036"/>
      <c r="AQ398" s="1036"/>
      <c r="AR398" s="1036"/>
      <c r="AS398" s="1036"/>
      <c r="AT398" s="1035"/>
      <c r="AU398" s="1035"/>
      <c r="AV398" s="1036"/>
      <c r="AW398" s="1036"/>
      <c r="AX398" s="1036"/>
      <c r="AY398" s="1037"/>
    </row>
    <row r="399" spans="2:51" ht="12.75" customHeight="1">
      <c r="B399" s="2109" t="str">
        <f>+$B$7</f>
        <v>住宅・アパート</v>
      </c>
      <c r="C399" s="1045">
        <v>293090</v>
      </c>
      <c r="D399" s="1056" t="s">
        <v>1195</v>
      </c>
      <c r="E399" s="1047" t="s">
        <v>1195</v>
      </c>
      <c r="F399" s="1047" t="s">
        <v>597</v>
      </c>
      <c r="G399" s="1047">
        <v>1</v>
      </c>
      <c r="H399" s="1047" t="s">
        <v>598</v>
      </c>
      <c r="I399" s="1048">
        <v>0.8</v>
      </c>
      <c r="J399" s="1050">
        <v>60</v>
      </c>
      <c r="K399" s="1047">
        <v>1.3</v>
      </c>
      <c r="L399" s="1051">
        <v>30</v>
      </c>
      <c r="M399" s="1047">
        <v>1</v>
      </c>
      <c r="N399" s="1051">
        <v>20</v>
      </c>
      <c r="O399" s="1048">
        <v>0.95</v>
      </c>
      <c r="P399" s="1081"/>
      <c r="Q399" s="1082"/>
      <c r="R399" s="1082"/>
      <c r="S399" s="1082"/>
      <c r="T399" s="1082"/>
      <c r="U399" s="1082"/>
      <c r="V399" s="1082"/>
      <c r="W399" s="1082"/>
      <c r="X399" s="1082"/>
      <c r="Y399" s="1082"/>
      <c r="Z399" s="1082"/>
      <c r="AA399" s="1082"/>
      <c r="AB399" s="1127"/>
      <c r="AC399" s="1120"/>
      <c r="AD399" s="1127"/>
      <c r="AE399" s="1120"/>
      <c r="AF399" s="1127"/>
      <c r="AG399" s="1120"/>
      <c r="AH399" s="1082"/>
      <c r="AI399" s="1082"/>
      <c r="AJ399" s="1082"/>
      <c r="AK399" s="1082"/>
      <c r="AL399" s="1082"/>
      <c r="AM399" s="1082"/>
      <c r="AN399" s="1035"/>
      <c r="AO399" s="1035"/>
      <c r="AP399" s="1036"/>
      <c r="AQ399" s="1036"/>
      <c r="AR399" s="1036"/>
      <c r="AS399" s="1036"/>
      <c r="AT399" s="1035"/>
      <c r="AU399" s="1035"/>
      <c r="AV399" s="1036"/>
      <c r="AW399" s="1036"/>
      <c r="AX399" s="1036"/>
      <c r="AY399" s="1037"/>
    </row>
    <row r="400" spans="2:51" ht="12.75" customHeight="1">
      <c r="B400" s="2109" t="str">
        <f>+$B$8</f>
        <v>病院・ホテル</v>
      </c>
      <c r="C400" s="1045">
        <v>293090</v>
      </c>
      <c r="D400" s="1056" t="s">
        <v>1195</v>
      </c>
      <c r="E400" s="1047" t="s">
        <v>1195</v>
      </c>
      <c r="F400" s="1047" t="s">
        <v>597</v>
      </c>
      <c r="G400" s="1047">
        <v>1</v>
      </c>
      <c r="H400" s="1047" t="s">
        <v>598</v>
      </c>
      <c r="I400" s="1048">
        <v>0.8</v>
      </c>
      <c r="J400" s="1050">
        <v>60</v>
      </c>
      <c r="K400" s="1047">
        <v>1.3</v>
      </c>
      <c r="L400" s="1051">
        <v>30</v>
      </c>
      <c r="M400" s="1047">
        <v>1</v>
      </c>
      <c r="N400" s="1051">
        <v>20</v>
      </c>
      <c r="O400" s="1048">
        <v>0.95</v>
      </c>
      <c r="P400" s="1081"/>
      <c r="Q400" s="1082"/>
      <c r="R400" s="1082"/>
      <c r="S400" s="1082"/>
      <c r="T400" s="1082"/>
      <c r="U400" s="1082"/>
      <c r="V400" s="1082"/>
      <c r="W400" s="1082"/>
      <c r="X400" s="1082"/>
      <c r="Y400" s="1082"/>
      <c r="Z400" s="1082"/>
      <c r="AA400" s="1082"/>
      <c r="AB400" s="1127"/>
      <c r="AC400" s="1120"/>
      <c r="AD400" s="1127"/>
      <c r="AE400" s="1120"/>
      <c r="AF400" s="1127"/>
      <c r="AG400" s="1120"/>
      <c r="AH400" s="1082"/>
      <c r="AI400" s="1082"/>
      <c r="AJ400" s="1082"/>
      <c r="AK400" s="1082"/>
      <c r="AL400" s="1082"/>
      <c r="AM400" s="1082"/>
      <c r="AN400" s="1035"/>
      <c r="AO400" s="1035"/>
      <c r="AP400" s="1036"/>
      <c r="AQ400" s="1036"/>
      <c r="AR400" s="1036"/>
      <c r="AS400" s="1036"/>
      <c r="AT400" s="1035"/>
      <c r="AU400" s="1035"/>
      <c r="AV400" s="1036"/>
      <c r="AW400" s="1036"/>
      <c r="AX400" s="1036"/>
      <c r="AY400" s="1037"/>
    </row>
    <row r="401" spans="2:51" ht="12.75" customHeight="1">
      <c r="B401" s="2109" t="str">
        <f>+$B$9</f>
        <v>工場・倉庫・市場</v>
      </c>
      <c r="C401" s="1045">
        <v>293090</v>
      </c>
      <c r="D401" s="1056" t="s">
        <v>1195</v>
      </c>
      <c r="E401" s="1047" t="s">
        <v>1195</v>
      </c>
      <c r="F401" s="1047" t="s">
        <v>597</v>
      </c>
      <c r="G401" s="1047">
        <v>1</v>
      </c>
      <c r="H401" s="1047" t="s">
        <v>598</v>
      </c>
      <c r="I401" s="1048">
        <v>0.8</v>
      </c>
      <c r="J401" s="1050">
        <v>60</v>
      </c>
      <c r="K401" s="1047">
        <v>1.3</v>
      </c>
      <c r="L401" s="1051">
        <v>30</v>
      </c>
      <c r="M401" s="1047">
        <v>1</v>
      </c>
      <c r="N401" s="1051">
        <v>20</v>
      </c>
      <c r="O401" s="1048">
        <v>0.95</v>
      </c>
      <c r="P401" s="1081"/>
      <c r="Q401" s="1082"/>
      <c r="R401" s="1082"/>
      <c r="S401" s="1082"/>
      <c r="T401" s="1082"/>
      <c r="U401" s="1082"/>
      <c r="V401" s="1082"/>
      <c r="W401" s="1082"/>
      <c r="X401" s="1082"/>
      <c r="Y401" s="1082"/>
      <c r="Z401" s="1082"/>
      <c r="AA401" s="1082"/>
      <c r="AB401" s="1127"/>
      <c r="AC401" s="1120"/>
      <c r="AD401" s="1127"/>
      <c r="AE401" s="1120"/>
      <c r="AF401" s="1127"/>
      <c r="AG401" s="1120"/>
      <c r="AH401" s="1082"/>
      <c r="AI401" s="1082"/>
      <c r="AJ401" s="1082"/>
      <c r="AK401" s="1082"/>
      <c r="AL401" s="1082"/>
      <c r="AM401" s="1082"/>
      <c r="AN401" s="1035"/>
      <c r="AO401" s="1035"/>
      <c r="AP401" s="1036"/>
      <c r="AQ401" s="1036"/>
      <c r="AR401" s="1036"/>
      <c r="AS401" s="1036"/>
      <c r="AT401" s="1035"/>
      <c r="AU401" s="1035"/>
      <c r="AV401" s="1036"/>
      <c r="AW401" s="1036"/>
      <c r="AX401" s="1036"/>
      <c r="AY401" s="1037"/>
    </row>
    <row r="402" spans="2:51" ht="12.75" customHeight="1">
      <c r="B402" s="2110" t="str">
        <f>+$B$10</f>
        <v>劇場型建物</v>
      </c>
      <c r="C402" s="1102">
        <v>293090</v>
      </c>
      <c r="D402" s="1063" t="s">
        <v>1195</v>
      </c>
      <c r="E402" s="1061" t="s">
        <v>1195</v>
      </c>
      <c r="F402" s="1061" t="s">
        <v>597</v>
      </c>
      <c r="G402" s="1061">
        <v>1</v>
      </c>
      <c r="H402" s="1061" t="s">
        <v>598</v>
      </c>
      <c r="I402" s="1062">
        <v>0.8</v>
      </c>
      <c r="J402" s="1094">
        <v>60</v>
      </c>
      <c r="K402" s="1061">
        <v>1.3</v>
      </c>
      <c r="L402" s="1095">
        <v>30</v>
      </c>
      <c r="M402" s="1061">
        <v>1</v>
      </c>
      <c r="N402" s="1095">
        <v>20</v>
      </c>
      <c r="O402" s="1062">
        <v>0.95</v>
      </c>
      <c r="P402" s="1081"/>
      <c r="Q402" s="1082"/>
      <c r="R402" s="1082"/>
      <c r="S402" s="1082"/>
      <c r="T402" s="1082"/>
      <c r="U402" s="1082"/>
      <c r="V402" s="1082"/>
      <c r="W402" s="1082"/>
      <c r="X402" s="1082"/>
      <c r="Y402" s="1082"/>
      <c r="Z402" s="1082"/>
      <c r="AA402" s="1082"/>
      <c r="AB402" s="1127"/>
      <c r="AC402" s="1120"/>
      <c r="AD402" s="1127"/>
      <c r="AE402" s="1120"/>
      <c r="AF402" s="1127"/>
      <c r="AG402" s="1120"/>
      <c r="AH402" s="1082"/>
      <c r="AI402" s="1082"/>
      <c r="AJ402" s="1082"/>
      <c r="AK402" s="1082"/>
      <c r="AL402" s="1082"/>
      <c r="AM402" s="1082"/>
      <c r="AN402" s="1035"/>
      <c r="AO402" s="1035"/>
      <c r="AP402" s="1036"/>
      <c r="AQ402" s="1036"/>
      <c r="AR402" s="1036"/>
      <c r="AS402" s="1036"/>
      <c r="AT402" s="1035"/>
      <c r="AU402" s="1035"/>
      <c r="AV402" s="1036"/>
      <c r="AW402" s="1036"/>
      <c r="AX402" s="1036"/>
      <c r="AY402" s="1037"/>
    </row>
    <row r="403" spans="2:51" ht="12.75" customHeight="1">
      <c r="B403" s="1008" t="s">
        <v>359</v>
      </c>
      <c r="C403" s="1121" t="s">
        <v>599</v>
      </c>
      <c r="D403" s="1103"/>
      <c r="E403" s="1098"/>
      <c r="F403" s="1098"/>
      <c r="G403" s="1098"/>
      <c r="H403" s="1098"/>
      <c r="I403" s="1098"/>
      <c r="J403" s="1117"/>
      <c r="K403" s="1098"/>
      <c r="L403" s="1117"/>
      <c r="M403" s="1098"/>
      <c r="N403" s="1117"/>
      <c r="O403" s="1098"/>
      <c r="P403" s="1098"/>
      <c r="Q403" s="1098"/>
      <c r="R403" s="1098"/>
      <c r="S403" s="1098"/>
      <c r="T403" s="1098"/>
      <c r="U403" s="1098"/>
      <c r="V403" s="1098"/>
      <c r="W403" s="1098"/>
      <c r="X403" s="1098"/>
      <c r="Y403" s="1098"/>
      <c r="Z403" s="1098"/>
      <c r="AA403" s="1098"/>
      <c r="AB403" s="1126"/>
      <c r="AC403" s="1118"/>
      <c r="AD403" s="1126"/>
      <c r="AE403" s="1118"/>
      <c r="AF403" s="1126"/>
      <c r="AG403" s="1118"/>
      <c r="AH403" s="1098"/>
      <c r="AI403" s="1098"/>
      <c r="AJ403" s="1098"/>
      <c r="AK403" s="1098"/>
      <c r="AL403" s="1098"/>
      <c r="AM403" s="1098"/>
      <c r="AN403" s="1020"/>
      <c r="AO403" s="1020"/>
      <c r="AP403" s="1021"/>
      <c r="AQ403" s="1021"/>
      <c r="AR403" s="1021"/>
      <c r="AS403" s="1021"/>
      <c r="AT403" s="1020"/>
      <c r="AU403" s="1020"/>
      <c r="AV403" s="1021"/>
      <c r="AW403" s="1021"/>
      <c r="AX403" s="1021"/>
      <c r="AY403" s="1022"/>
    </row>
    <row r="404" spans="2:51" ht="12.75" customHeight="1">
      <c r="B404" s="1023"/>
      <c r="C404" s="1024" t="s">
        <v>600</v>
      </c>
      <c r="D404" s="1081"/>
      <c r="E404" s="1082"/>
      <c r="F404" s="1082"/>
      <c r="G404" s="1082"/>
      <c r="H404" s="1082"/>
      <c r="I404" s="1082"/>
      <c r="J404" s="1119"/>
      <c r="K404" s="1082"/>
      <c r="L404" s="1119"/>
      <c r="M404" s="1082"/>
      <c r="N404" s="1119"/>
      <c r="O404" s="1082"/>
      <c r="P404" s="1082"/>
      <c r="Q404" s="1082"/>
      <c r="R404" s="1082"/>
      <c r="S404" s="1082"/>
      <c r="T404" s="1082"/>
      <c r="U404" s="1082"/>
      <c r="V404" s="1082"/>
      <c r="W404" s="1082"/>
      <c r="X404" s="1082"/>
      <c r="Y404" s="1082"/>
      <c r="Z404" s="1082"/>
      <c r="AA404" s="1082"/>
      <c r="AB404" s="1127"/>
      <c r="AC404" s="1120"/>
      <c r="AD404" s="1127"/>
      <c r="AE404" s="1120"/>
      <c r="AF404" s="1127"/>
      <c r="AG404" s="1120"/>
      <c r="AH404" s="1082"/>
      <c r="AI404" s="1082"/>
      <c r="AJ404" s="1082"/>
      <c r="AK404" s="1082"/>
      <c r="AL404" s="1082"/>
      <c r="AM404" s="1082"/>
      <c r="AN404" s="1035"/>
      <c r="AO404" s="1035"/>
      <c r="AP404" s="1036"/>
      <c r="AQ404" s="1036"/>
      <c r="AR404" s="1036"/>
      <c r="AS404" s="1036"/>
      <c r="AT404" s="1035"/>
      <c r="AU404" s="1035"/>
      <c r="AV404" s="1036"/>
      <c r="AW404" s="1036"/>
      <c r="AX404" s="1036"/>
      <c r="AY404" s="1037"/>
    </row>
    <row r="405" spans="2:51" ht="12.75" customHeight="1">
      <c r="B405" s="2108" t="str">
        <f>+$B$6</f>
        <v>事務所・店舗・百貨店</v>
      </c>
      <c r="C405" s="2258">
        <v>3800</v>
      </c>
      <c r="D405" s="1081"/>
      <c r="E405" s="1082"/>
      <c r="F405" s="1082"/>
      <c r="G405" s="1082"/>
      <c r="H405" s="1082"/>
      <c r="I405" s="1082"/>
      <c r="J405" s="1119"/>
      <c r="K405" s="1082"/>
      <c r="L405" s="1119"/>
      <c r="M405" s="1082"/>
      <c r="N405" s="1119"/>
      <c r="O405" s="1082"/>
      <c r="P405" s="1082"/>
      <c r="Q405" s="1082"/>
      <c r="R405" s="1082"/>
      <c r="S405" s="1082"/>
      <c r="T405" s="1082"/>
      <c r="U405" s="1082"/>
      <c r="V405" s="1082"/>
      <c r="W405" s="1082"/>
      <c r="X405" s="1082"/>
      <c r="Y405" s="1082"/>
      <c r="Z405" s="1082"/>
      <c r="AA405" s="1082"/>
      <c r="AB405" s="1127"/>
      <c r="AC405" s="1120"/>
      <c r="AD405" s="1127"/>
      <c r="AE405" s="1120"/>
      <c r="AF405" s="1127"/>
      <c r="AG405" s="1120"/>
      <c r="AH405" s="1082"/>
      <c r="AI405" s="1082"/>
      <c r="AJ405" s="1082"/>
      <c r="AK405" s="1082"/>
      <c r="AL405" s="1082"/>
      <c r="AM405" s="1082"/>
      <c r="AN405" s="1035"/>
      <c r="AO405" s="1035"/>
      <c r="AP405" s="1036"/>
      <c r="AQ405" s="1036"/>
      <c r="AR405" s="1036"/>
      <c r="AS405" s="1036"/>
      <c r="AT405" s="1035"/>
      <c r="AU405" s="1035"/>
      <c r="AV405" s="1036"/>
      <c r="AW405" s="1036"/>
      <c r="AX405" s="1036"/>
      <c r="AY405" s="1037"/>
    </row>
    <row r="406" spans="2:51" ht="12.75" customHeight="1">
      <c r="B406" s="2109" t="str">
        <f>+$B$7</f>
        <v>住宅・アパート</v>
      </c>
      <c r="C406" s="1045">
        <v>3800</v>
      </c>
      <c r="D406" s="1081"/>
      <c r="E406" s="1082"/>
      <c r="F406" s="1082"/>
      <c r="G406" s="1082"/>
      <c r="H406" s="1082"/>
      <c r="I406" s="1082"/>
      <c r="J406" s="1119"/>
      <c r="K406" s="1082"/>
      <c r="L406" s="1119"/>
      <c r="M406" s="1082"/>
      <c r="N406" s="1119"/>
      <c r="O406" s="1082"/>
      <c r="P406" s="1082"/>
      <c r="Q406" s="1082"/>
      <c r="R406" s="1082"/>
      <c r="S406" s="1082"/>
      <c r="T406" s="1082"/>
      <c r="U406" s="1082"/>
      <c r="V406" s="1082"/>
      <c r="W406" s="1082"/>
      <c r="X406" s="1082"/>
      <c r="Y406" s="1082"/>
      <c r="Z406" s="1082"/>
      <c r="AA406" s="1082"/>
      <c r="AB406" s="1127"/>
      <c r="AC406" s="1120"/>
      <c r="AD406" s="1127"/>
      <c r="AE406" s="1120"/>
      <c r="AF406" s="1127"/>
      <c r="AG406" s="1120"/>
      <c r="AH406" s="1082"/>
      <c r="AI406" s="1082"/>
      <c r="AJ406" s="1082"/>
      <c r="AK406" s="1082"/>
      <c r="AL406" s="1082"/>
      <c r="AM406" s="1082"/>
      <c r="AN406" s="1035"/>
      <c r="AO406" s="1035"/>
      <c r="AP406" s="1036"/>
      <c r="AQ406" s="1036"/>
      <c r="AR406" s="1036"/>
      <c r="AS406" s="1036"/>
      <c r="AT406" s="1035"/>
      <c r="AU406" s="1035"/>
      <c r="AV406" s="1036"/>
      <c r="AW406" s="1036"/>
      <c r="AX406" s="1036"/>
      <c r="AY406" s="1037"/>
    </row>
    <row r="407" spans="2:51" ht="12.75" customHeight="1">
      <c r="B407" s="2109" t="str">
        <f>+$B$8</f>
        <v>病院・ホテル</v>
      </c>
      <c r="C407" s="1045">
        <v>3800</v>
      </c>
      <c r="D407" s="1081"/>
      <c r="E407" s="1082"/>
      <c r="F407" s="1082"/>
      <c r="G407" s="1082"/>
      <c r="H407" s="1082"/>
      <c r="I407" s="1082"/>
      <c r="J407" s="1119"/>
      <c r="K407" s="1082"/>
      <c r="L407" s="1119"/>
      <c r="M407" s="1082"/>
      <c r="N407" s="1119"/>
      <c r="O407" s="1082"/>
      <c r="P407" s="1082"/>
      <c r="Q407" s="1082"/>
      <c r="R407" s="1082"/>
      <c r="S407" s="1082"/>
      <c r="T407" s="1082"/>
      <c r="U407" s="1082"/>
      <c r="V407" s="1082"/>
      <c r="W407" s="1082"/>
      <c r="X407" s="1082"/>
      <c r="Y407" s="1082"/>
      <c r="Z407" s="1082"/>
      <c r="AA407" s="1082"/>
      <c r="AB407" s="1127"/>
      <c r="AC407" s="1120"/>
      <c r="AD407" s="1127"/>
      <c r="AE407" s="1120"/>
      <c r="AF407" s="1127"/>
      <c r="AG407" s="1120"/>
      <c r="AH407" s="1082"/>
      <c r="AI407" s="1082"/>
      <c r="AJ407" s="1082"/>
      <c r="AK407" s="1082"/>
      <c r="AL407" s="1082"/>
      <c r="AM407" s="1082"/>
      <c r="AN407" s="1035"/>
      <c r="AO407" s="1035"/>
      <c r="AP407" s="1036"/>
      <c r="AQ407" s="1036"/>
      <c r="AR407" s="1036"/>
      <c r="AS407" s="1036"/>
      <c r="AT407" s="1035"/>
      <c r="AU407" s="1035"/>
      <c r="AV407" s="1036"/>
      <c r="AW407" s="1036"/>
      <c r="AX407" s="1036"/>
      <c r="AY407" s="1037"/>
    </row>
    <row r="408" spans="2:51" ht="12.75" customHeight="1">
      <c r="B408" s="2109" t="str">
        <f>+$B$9</f>
        <v>工場・倉庫・市場</v>
      </c>
      <c r="C408" s="1045">
        <v>3800</v>
      </c>
      <c r="D408" s="1081"/>
      <c r="E408" s="1082"/>
      <c r="F408" s="1082"/>
      <c r="G408" s="1082"/>
      <c r="H408" s="1082"/>
      <c r="I408" s="1082"/>
      <c r="J408" s="1119"/>
      <c r="K408" s="1082"/>
      <c r="L408" s="1119"/>
      <c r="M408" s="1082"/>
      <c r="N408" s="1119"/>
      <c r="O408" s="1082"/>
      <c r="P408" s="1082"/>
      <c r="Q408" s="1082"/>
      <c r="R408" s="1082"/>
      <c r="S408" s="1082"/>
      <c r="T408" s="1082"/>
      <c r="U408" s="1082"/>
      <c r="V408" s="1082"/>
      <c r="W408" s="1082"/>
      <c r="X408" s="1082"/>
      <c r="Y408" s="1082"/>
      <c r="Z408" s="1082"/>
      <c r="AA408" s="1082"/>
      <c r="AB408" s="1127"/>
      <c r="AC408" s="1120"/>
      <c r="AD408" s="1127"/>
      <c r="AE408" s="1120"/>
      <c r="AF408" s="1127"/>
      <c r="AG408" s="1120"/>
      <c r="AH408" s="1082"/>
      <c r="AI408" s="1082"/>
      <c r="AJ408" s="1082"/>
      <c r="AK408" s="1082"/>
      <c r="AL408" s="1082"/>
      <c r="AM408" s="1082"/>
      <c r="AN408" s="1035"/>
      <c r="AO408" s="1035"/>
      <c r="AP408" s="1036"/>
      <c r="AQ408" s="1036"/>
      <c r="AR408" s="1036"/>
      <c r="AS408" s="1036"/>
      <c r="AT408" s="1035"/>
      <c r="AU408" s="1035"/>
      <c r="AV408" s="1036"/>
      <c r="AW408" s="1036"/>
      <c r="AX408" s="1036"/>
      <c r="AY408" s="1037"/>
    </row>
    <row r="409" spans="2:51" ht="12.75" customHeight="1">
      <c r="B409" s="2110" t="str">
        <f>+$B$10</f>
        <v>劇場型建物</v>
      </c>
      <c r="C409" s="1102">
        <v>3800</v>
      </c>
      <c r="D409" s="1081"/>
      <c r="E409" s="1082"/>
      <c r="F409" s="1082"/>
      <c r="G409" s="1082"/>
      <c r="H409" s="1082"/>
      <c r="I409" s="1082"/>
      <c r="J409" s="1119"/>
      <c r="K409" s="1082"/>
      <c r="L409" s="1119"/>
      <c r="M409" s="1082"/>
      <c r="N409" s="1119"/>
      <c r="O409" s="1082"/>
      <c r="P409" s="1082"/>
      <c r="Q409" s="1082"/>
      <c r="R409" s="1082"/>
      <c r="S409" s="1082"/>
      <c r="T409" s="1082"/>
      <c r="U409" s="1082"/>
      <c r="V409" s="1082"/>
      <c r="W409" s="1082"/>
      <c r="X409" s="1082"/>
      <c r="Y409" s="1082"/>
      <c r="Z409" s="1082"/>
      <c r="AA409" s="1082"/>
      <c r="AB409" s="1127"/>
      <c r="AC409" s="1120"/>
      <c r="AD409" s="1127"/>
      <c r="AE409" s="1120"/>
      <c r="AF409" s="1127"/>
      <c r="AG409" s="1120"/>
      <c r="AH409" s="1082"/>
      <c r="AI409" s="1082"/>
      <c r="AJ409" s="1082"/>
      <c r="AK409" s="1082"/>
      <c r="AL409" s="1082"/>
      <c r="AM409" s="1082"/>
      <c r="AN409" s="1035"/>
      <c r="AO409" s="1035"/>
      <c r="AP409" s="1036"/>
      <c r="AQ409" s="1036"/>
      <c r="AR409" s="1036"/>
      <c r="AS409" s="1036"/>
      <c r="AT409" s="1035"/>
      <c r="AU409" s="1035"/>
      <c r="AV409" s="1036"/>
      <c r="AW409" s="1036"/>
      <c r="AX409" s="1036"/>
      <c r="AY409" s="1037"/>
    </row>
    <row r="410" spans="2:51" ht="12.75" customHeight="1">
      <c r="B410" s="1008" t="s">
        <v>359</v>
      </c>
      <c r="C410" s="1121" t="s">
        <v>255</v>
      </c>
      <c r="D410" s="1068" t="s">
        <v>601</v>
      </c>
      <c r="E410" s="1068"/>
      <c r="F410" s="1068"/>
      <c r="G410" s="1068"/>
      <c r="H410" s="1068"/>
      <c r="I410" s="1069"/>
      <c r="J410" s="1021"/>
      <c r="K410" s="1021"/>
      <c r="L410" s="1021"/>
      <c r="M410" s="1021"/>
      <c r="N410" s="1021"/>
      <c r="O410" s="1021"/>
      <c r="P410" s="1021"/>
      <c r="Q410" s="1021"/>
      <c r="R410" s="1021"/>
      <c r="S410" s="1021"/>
      <c r="T410" s="1021"/>
      <c r="U410" s="1021"/>
      <c r="V410" s="1020"/>
      <c r="W410" s="1020"/>
      <c r="X410" s="1021"/>
      <c r="Y410" s="1021"/>
      <c r="Z410" s="1021"/>
      <c r="AA410" s="1021"/>
      <c r="AB410" s="1021"/>
      <c r="AC410" s="1021"/>
      <c r="AD410" s="1021"/>
      <c r="AE410" s="1021"/>
      <c r="AF410" s="1021"/>
      <c r="AG410" s="1021"/>
      <c r="AH410" s="1021"/>
      <c r="AI410" s="1021"/>
      <c r="AJ410" s="1021"/>
      <c r="AK410" s="1021"/>
      <c r="AL410" s="1021"/>
      <c r="AM410" s="1021"/>
      <c r="AN410" s="1021"/>
      <c r="AO410" s="1021"/>
      <c r="AP410" s="1021"/>
      <c r="AQ410" s="1021"/>
      <c r="AR410" s="1021"/>
      <c r="AS410" s="1021"/>
      <c r="AT410" s="1021"/>
      <c r="AU410" s="1021"/>
      <c r="AV410" s="1021"/>
      <c r="AW410" s="1021"/>
      <c r="AX410" s="1021"/>
      <c r="AY410" s="1022"/>
    </row>
    <row r="411" spans="2:51" ht="12.75" customHeight="1">
      <c r="B411" s="1023"/>
      <c r="C411" s="1024" t="s">
        <v>602</v>
      </c>
      <c r="D411" s="1078" t="s">
        <v>367</v>
      </c>
      <c r="E411" s="1029"/>
      <c r="F411" s="1031" t="s">
        <v>368</v>
      </c>
      <c r="G411" s="1029"/>
      <c r="H411" s="1031" t="s">
        <v>368</v>
      </c>
      <c r="I411" s="1071"/>
      <c r="J411" s="1036"/>
      <c r="K411" s="1036"/>
      <c r="L411" s="1036"/>
      <c r="M411" s="1036"/>
      <c r="N411" s="1036"/>
      <c r="O411" s="1036"/>
      <c r="P411" s="1036"/>
      <c r="Q411" s="1036"/>
      <c r="R411" s="1036"/>
      <c r="S411" s="1036"/>
      <c r="T411" s="1036"/>
      <c r="U411" s="1036"/>
      <c r="V411" s="1035"/>
      <c r="W411" s="1035"/>
      <c r="X411" s="1036"/>
      <c r="Y411" s="1036"/>
      <c r="Z411" s="1036"/>
      <c r="AA411" s="1036"/>
      <c r="AB411" s="1036"/>
      <c r="AC411" s="1036"/>
      <c r="AD411" s="1036"/>
      <c r="AE411" s="1036"/>
      <c r="AF411" s="1036"/>
      <c r="AG411" s="1036"/>
      <c r="AH411" s="1036"/>
      <c r="AI411" s="1036"/>
      <c r="AJ411" s="1036"/>
      <c r="AK411" s="1036"/>
      <c r="AL411" s="1036"/>
      <c r="AM411" s="1036"/>
      <c r="AN411" s="1036"/>
      <c r="AO411" s="1036"/>
      <c r="AP411" s="1036"/>
      <c r="AQ411" s="1036"/>
      <c r="AR411" s="1036"/>
      <c r="AS411" s="1036"/>
      <c r="AT411" s="1036"/>
      <c r="AU411" s="1036"/>
      <c r="AV411" s="1036"/>
      <c r="AW411" s="1036"/>
      <c r="AX411" s="1036"/>
      <c r="AY411" s="1037"/>
    </row>
    <row r="412" spans="2:51" ht="12.75" customHeight="1">
      <c r="B412" s="2108" t="str">
        <f>+$B$6</f>
        <v>事務所・店舗・百貨店</v>
      </c>
      <c r="C412" s="2258">
        <v>292580</v>
      </c>
      <c r="D412" s="1038" t="s">
        <v>603</v>
      </c>
      <c r="E412" s="1039">
        <v>1</v>
      </c>
      <c r="F412" s="1039" t="s">
        <v>604</v>
      </c>
      <c r="G412" s="1039">
        <v>0.8</v>
      </c>
      <c r="H412" s="1039" t="s">
        <v>605</v>
      </c>
      <c r="I412" s="1040">
        <v>0.5</v>
      </c>
      <c r="J412" s="1036"/>
      <c r="K412" s="1036"/>
      <c r="L412" s="1036"/>
      <c r="M412" s="1036"/>
      <c r="N412" s="1036"/>
      <c r="O412" s="1036"/>
      <c r="P412" s="1036"/>
      <c r="Q412" s="1036"/>
      <c r="R412" s="1036"/>
      <c r="S412" s="1036"/>
      <c r="T412" s="1036"/>
      <c r="U412" s="1036"/>
      <c r="V412" s="1035"/>
      <c r="W412" s="1035"/>
      <c r="X412" s="1036"/>
      <c r="Y412" s="1036"/>
      <c r="Z412" s="1036"/>
      <c r="AA412" s="1036"/>
      <c r="AB412" s="1036"/>
      <c r="AC412" s="1036"/>
      <c r="AD412" s="1036"/>
      <c r="AE412" s="1036"/>
      <c r="AF412" s="1036"/>
      <c r="AG412" s="1036"/>
      <c r="AH412" s="1036"/>
      <c r="AI412" s="1036"/>
      <c r="AJ412" s="1036"/>
      <c r="AK412" s="1036"/>
      <c r="AL412" s="1036"/>
      <c r="AM412" s="1036"/>
      <c r="AN412" s="1036"/>
      <c r="AO412" s="1036"/>
      <c r="AP412" s="1036"/>
      <c r="AQ412" s="1036"/>
      <c r="AR412" s="1036"/>
      <c r="AS412" s="1036"/>
      <c r="AT412" s="1036"/>
      <c r="AU412" s="1036"/>
      <c r="AV412" s="1036"/>
      <c r="AW412" s="1036"/>
      <c r="AX412" s="1036"/>
      <c r="AY412" s="1037"/>
    </row>
    <row r="413" spans="2:51" ht="12.75" customHeight="1">
      <c r="B413" s="2109" t="str">
        <f>+$B$7</f>
        <v>住宅・アパート</v>
      </c>
      <c r="C413" s="1045">
        <v>292580</v>
      </c>
      <c r="D413" s="1046" t="s">
        <v>606</v>
      </c>
      <c r="E413" s="1047">
        <v>1</v>
      </c>
      <c r="F413" s="1047" t="s">
        <v>607</v>
      </c>
      <c r="G413" s="1047">
        <v>0.8</v>
      </c>
      <c r="H413" s="1047" t="s">
        <v>605</v>
      </c>
      <c r="I413" s="1048">
        <v>0.5</v>
      </c>
      <c r="J413" s="1036"/>
      <c r="K413" s="1036"/>
      <c r="L413" s="1036"/>
      <c r="M413" s="1036"/>
      <c r="N413" s="1036"/>
      <c r="O413" s="1036"/>
      <c r="P413" s="1036"/>
      <c r="Q413" s="1036"/>
      <c r="R413" s="1036"/>
      <c r="S413" s="1036"/>
      <c r="T413" s="1036"/>
      <c r="U413" s="1036"/>
      <c r="V413" s="1035"/>
      <c r="W413" s="1035"/>
      <c r="X413" s="1036"/>
      <c r="Y413" s="1036"/>
      <c r="Z413" s="1036"/>
      <c r="AA413" s="1036"/>
      <c r="AB413" s="1036"/>
      <c r="AC413" s="1036"/>
      <c r="AD413" s="1036"/>
      <c r="AE413" s="1036"/>
      <c r="AF413" s="1036"/>
      <c r="AG413" s="1036"/>
      <c r="AH413" s="1036"/>
      <c r="AI413" s="1036"/>
      <c r="AJ413" s="1036"/>
      <c r="AK413" s="1036"/>
      <c r="AL413" s="1036"/>
      <c r="AM413" s="1036"/>
      <c r="AN413" s="1036"/>
      <c r="AO413" s="1036"/>
      <c r="AP413" s="1036"/>
      <c r="AQ413" s="1036"/>
      <c r="AR413" s="1036"/>
      <c r="AS413" s="1036"/>
      <c r="AT413" s="1036"/>
      <c r="AU413" s="1036"/>
      <c r="AV413" s="1036"/>
      <c r="AW413" s="1036"/>
      <c r="AX413" s="1036"/>
      <c r="AY413" s="1037"/>
    </row>
    <row r="414" spans="2:51" ht="12.75" customHeight="1">
      <c r="B414" s="2109" t="str">
        <f>+$B$8</f>
        <v>病院・ホテル</v>
      </c>
      <c r="C414" s="1045">
        <v>292580</v>
      </c>
      <c r="D414" s="1046" t="s">
        <v>606</v>
      </c>
      <c r="E414" s="1047">
        <v>1</v>
      </c>
      <c r="F414" s="1047" t="s">
        <v>607</v>
      </c>
      <c r="G414" s="1047">
        <v>0.8</v>
      </c>
      <c r="H414" s="1047" t="s">
        <v>605</v>
      </c>
      <c r="I414" s="1048">
        <v>0.5</v>
      </c>
      <c r="J414" s="1036"/>
      <c r="K414" s="1036"/>
      <c r="L414" s="1036"/>
      <c r="M414" s="1036"/>
      <c r="N414" s="1036"/>
      <c r="O414" s="1036"/>
      <c r="P414" s="1036"/>
      <c r="Q414" s="1036"/>
      <c r="R414" s="1036"/>
      <c r="S414" s="1036"/>
      <c r="T414" s="1036"/>
      <c r="U414" s="1036"/>
      <c r="V414" s="1035"/>
      <c r="W414" s="1035"/>
      <c r="X414" s="1036"/>
      <c r="Y414" s="1036"/>
      <c r="Z414" s="1036"/>
      <c r="AA414" s="1036"/>
      <c r="AB414" s="1036"/>
      <c r="AC414" s="1036"/>
      <c r="AD414" s="1036"/>
      <c r="AE414" s="1036"/>
      <c r="AF414" s="1036"/>
      <c r="AG414" s="1036"/>
      <c r="AH414" s="1036"/>
      <c r="AI414" s="1036"/>
      <c r="AJ414" s="1036"/>
      <c r="AK414" s="1036"/>
      <c r="AL414" s="1036"/>
      <c r="AM414" s="1036"/>
      <c r="AN414" s="1036"/>
      <c r="AO414" s="1036"/>
      <c r="AP414" s="1036"/>
      <c r="AQ414" s="1036"/>
      <c r="AR414" s="1036"/>
      <c r="AS414" s="1036"/>
      <c r="AT414" s="1036"/>
      <c r="AU414" s="1036"/>
      <c r="AV414" s="1036"/>
      <c r="AW414" s="1036"/>
      <c r="AX414" s="1036"/>
      <c r="AY414" s="1037"/>
    </row>
    <row r="415" spans="2:51" ht="12.75" customHeight="1">
      <c r="B415" s="2109" t="str">
        <f>+$B$9</f>
        <v>工場・倉庫・市場</v>
      </c>
      <c r="C415" s="1045">
        <v>292580</v>
      </c>
      <c r="D415" s="1046" t="s">
        <v>606</v>
      </c>
      <c r="E415" s="1047">
        <v>1</v>
      </c>
      <c r="F415" s="1047" t="s">
        <v>607</v>
      </c>
      <c r="G415" s="1047">
        <v>0.8</v>
      </c>
      <c r="H415" s="1047" t="s">
        <v>605</v>
      </c>
      <c r="I415" s="1048">
        <v>0.5</v>
      </c>
      <c r="J415" s="1036"/>
      <c r="K415" s="1036"/>
      <c r="L415" s="1036"/>
      <c r="M415" s="1036"/>
      <c r="N415" s="1036"/>
      <c r="O415" s="1036"/>
      <c r="P415" s="1036"/>
      <c r="Q415" s="1036"/>
      <c r="R415" s="1036"/>
      <c r="S415" s="1036"/>
      <c r="T415" s="1036"/>
      <c r="U415" s="1036"/>
      <c r="V415" s="1035"/>
      <c r="W415" s="1035"/>
      <c r="X415" s="1036"/>
      <c r="Y415" s="1036"/>
      <c r="Z415" s="1036"/>
      <c r="AA415" s="1036"/>
      <c r="AB415" s="1036"/>
      <c r="AC415" s="1036"/>
      <c r="AD415" s="1036"/>
      <c r="AE415" s="1036"/>
      <c r="AF415" s="1036"/>
      <c r="AG415" s="1036"/>
      <c r="AH415" s="1036"/>
      <c r="AI415" s="1036"/>
      <c r="AJ415" s="1036"/>
      <c r="AK415" s="1036"/>
      <c r="AL415" s="1036"/>
      <c r="AM415" s="1036"/>
      <c r="AN415" s="1036"/>
      <c r="AO415" s="1036"/>
      <c r="AP415" s="1036"/>
      <c r="AQ415" s="1036"/>
      <c r="AR415" s="1036"/>
      <c r="AS415" s="1036"/>
      <c r="AT415" s="1036"/>
      <c r="AU415" s="1036"/>
      <c r="AV415" s="1036"/>
      <c r="AW415" s="1036"/>
      <c r="AX415" s="1036"/>
      <c r="AY415" s="1037"/>
    </row>
    <row r="416" spans="2:51" ht="12.75" customHeight="1">
      <c r="B416" s="2110" t="str">
        <f>+$B$10</f>
        <v>劇場型建物</v>
      </c>
      <c r="C416" s="1102">
        <v>292580</v>
      </c>
      <c r="D416" s="1060" t="s">
        <v>606</v>
      </c>
      <c r="E416" s="1061">
        <v>1</v>
      </c>
      <c r="F416" s="1061" t="s">
        <v>607</v>
      </c>
      <c r="G416" s="1061">
        <v>0.8</v>
      </c>
      <c r="H416" s="1061" t="s">
        <v>605</v>
      </c>
      <c r="I416" s="1062">
        <v>0.5</v>
      </c>
      <c r="J416" s="1036"/>
      <c r="K416" s="1036"/>
      <c r="L416" s="1036"/>
      <c r="M416" s="1036"/>
      <c r="N416" s="1036"/>
      <c r="O416" s="1036"/>
      <c r="P416" s="1036"/>
      <c r="Q416" s="1036"/>
      <c r="R416" s="1036"/>
      <c r="S416" s="1036"/>
      <c r="T416" s="1036"/>
      <c r="U416" s="1036"/>
      <c r="V416" s="1035"/>
      <c r="W416" s="1035"/>
      <c r="X416" s="1036"/>
      <c r="Y416" s="1036"/>
      <c r="Z416" s="1036"/>
      <c r="AA416" s="1036"/>
      <c r="AB416" s="1036"/>
      <c r="AC416" s="1036"/>
      <c r="AD416" s="1036"/>
      <c r="AE416" s="1036"/>
      <c r="AF416" s="1036"/>
      <c r="AG416" s="1036"/>
      <c r="AH416" s="1036"/>
      <c r="AI416" s="1036"/>
      <c r="AJ416" s="1036"/>
      <c r="AK416" s="1036"/>
      <c r="AL416" s="1036"/>
      <c r="AM416" s="1036"/>
      <c r="AN416" s="1036"/>
      <c r="AO416" s="1036"/>
      <c r="AP416" s="1036"/>
      <c r="AQ416" s="1036"/>
      <c r="AR416" s="1036"/>
      <c r="AS416" s="1036"/>
      <c r="AT416" s="1036"/>
      <c r="AU416" s="1036"/>
      <c r="AV416" s="1036"/>
      <c r="AW416" s="1036"/>
      <c r="AX416" s="1036"/>
      <c r="AY416" s="1037"/>
    </row>
    <row r="417" spans="2:51" ht="12.75" customHeight="1">
      <c r="B417" s="1008" t="s">
        <v>359</v>
      </c>
      <c r="C417" s="1121" t="s">
        <v>608</v>
      </c>
      <c r="D417" s="1068" t="s">
        <v>609</v>
      </c>
      <c r="E417" s="1068"/>
      <c r="F417" s="1068"/>
      <c r="G417" s="1068"/>
      <c r="H417" s="1068"/>
      <c r="I417" s="1069"/>
      <c r="J417" s="1067" t="s">
        <v>610</v>
      </c>
      <c r="K417" s="1068"/>
      <c r="L417" s="1068"/>
      <c r="M417" s="1068"/>
      <c r="N417" s="1068"/>
      <c r="O417" s="1069"/>
      <c r="P417" s="1115"/>
      <c r="Q417" s="1098"/>
      <c r="R417" s="1117"/>
      <c r="S417" s="1098"/>
      <c r="T417" s="1098"/>
      <c r="U417" s="1098"/>
      <c r="V417" s="1117"/>
      <c r="W417" s="1098"/>
      <c r="X417" s="1117"/>
      <c r="Y417" s="1098"/>
      <c r="Z417" s="1117"/>
      <c r="AA417" s="1098"/>
      <c r="AB417" s="1020"/>
      <c r="AC417" s="1020"/>
      <c r="AD417" s="1021"/>
      <c r="AE417" s="1021"/>
      <c r="AF417" s="1021"/>
      <c r="AG417" s="1021"/>
      <c r="AH417" s="1021"/>
      <c r="AI417" s="1021"/>
      <c r="AJ417" s="1021"/>
      <c r="AK417" s="1021"/>
      <c r="AL417" s="1021"/>
      <c r="AM417" s="1021"/>
      <c r="AN417" s="1021"/>
      <c r="AO417" s="1021"/>
      <c r="AP417" s="1021"/>
      <c r="AQ417" s="1021"/>
      <c r="AR417" s="1021"/>
      <c r="AS417" s="1021"/>
      <c r="AT417" s="1021"/>
      <c r="AU417" s="1021"/>
      <c r="AV417" s="1021"/>
      <c r="AW417" s="1021"/>
      <c r="AX417" s="1021"/>
      <c r="AY417" s="1022"/>
    </row>
    <row r="418" spans="2:51" ht="12.75" customHeight="1">
      <c r="B418" s="1023"/>
      <c r="C418" s="1024" t="s">
        <v>77</v>
      </c>
      <c r="D418" s="1078" t="s">
        <v>366</v>
      </c>
      <c r="E418" s="1029"/>
      <c r="F418" s="1031" t="s">
        <v>367</v>
      </c>
      <c r="G418" s="1029"/>
      <c r="H418" s="1031" t="s">
        <v>368</v>
      </c>
      <c r="I418" s="1071"/>
      <c r="J418" s="1070" t="s">
        <v>366</v>
      </c>
      <c r="K418" s="1029"/>
      <c r="L418" s="1031" t="s">
        <v>367</v>
      </c>
      <c r="M418" s="1029"/>
      <c r="N418" s="1031" t="s">
        <v>368</v>
      </c>
      <c r="O418" s="1071"/>
      <c r="P418" s="1116"/>
      <c r="Q418" s="1082"/>
      <c r="R418" s="1119"/>
      <c r="S418" s="1082"/>
      <c r="T418" s="1082"/>
      <c r="U418" s="1082"/>
      <c r="V418" s="1119"/>
      <c r="W418" s="1082"/>
      <c r="X418" s="1119"/>
      <c r="Y418" s="1082"/>
      <c r="Z418" s="1119"/>
      <c r="AA418" s="1082"/>
      <c r="AB418" s="1035"/>
      <c r="AC418" s="1035"/>
      <c r="AD418" s="1036"/>
      <c r="AE418" s="1036"/>
      <c r="AF418" s="1036"/>
      <c r="AG418" s="1036"/>
      <c r="AH418" s="1036"/>
      <c r="AI418" s="1036"/>
      <c r="AJ418" s="1036"/>
      <c r="AK418" s="1036"/>
      <c r="AL418" s="1036"/>
      <c r="AM418" s="1036"/>
      <c r="AN418" s="1036"/>
      <c r="AO418" s="1036"/>
      <c r="AP418" s="1036"/>
      <c r="AQ418" s="1036"/>
      <c r="AR418" s="1036"/>
      <c r="AS418" s="1036"/>
      <c r="AT418" s="1036"/>
      <c r="AU418" s="1036"/>
      <c r="AV418" s="1036"/>
      <c r="AW418" s="1036"/>
      <c r="AX418" s="1036"/>
      <c r="AY418" s="1037"/>
    </row>
    <row r="419" spans="2:51" ht="12.75" customHeight="1">
      <c r="B419" s="2108" t="str">
        <f>+$B$6</f>
        <v>事務所・店舗・百貨店</v>
      </c>
      <c r="C419" s="2258">
        <v>2480</v>
      </c>
      <c r="D419" s="1091">
        <v>20</v>
      </c>
      <c r="E419" s="1039">
        <v>1.1499999999999999</v>
      </c>
      <c r="F419" s="1092">
        <v>10</v>
      </c>
      <c r="G419" s="1039">
        <v>1</v>
      </c>
      <c r="H419" s="1470" t="s">
        <v>1360</v>
      </c>
      <c r="I419" s="1558" t="s">
        <v>1360</v>
      </c>
      <c r="J419" s="1165">
        <v>30</v>
      </c>
      <c r="K419" s="1039">
        <v>1.3</v>
      </c>
      <c r="L419" s="1092">
        <v>80</v>
      </c>
      <c r="M419" s="1039">
        <v>1</v>
      </c>
      <c r="N419" s="1092">
        <v>130</v>
      </c>
      <c r="O419" s="1040">
        <v>0.8</v>
      </c>
      <c r="P419" s="1116"/>
      <c r="Q419" s="1082"/>
      <c r="R419" s="1119"/>
      <c r="S419" s="1082"/>
      <c r="T419" s="1082"/>
      <c r="U419" s="1082"/>
      <c r="V419" s="1119"/>
      <c r="W419" s="1082"/>
      <c r="X419" s="1119"/>
      <c r="Y419" s="1082"/>
      <c r="Z419" s="1119"/>
      <c r="AA419" s="1082"/>
      <c r="AB419" s="1035"/>
      <c r="AC419" s="1035"/>
      <c r="AD419" s="1036"/>
      <c r="AE419" s="1036"/>
      <c r="AF419" s="1036"/>
      <c r="AG419" s="1036"/>
      <c r="AH419" s="1036"/>
      <c r="AI419" s="1036"/>
      <c r="AJ419" s="1036"/>
      <c r="AK419" s="1036"/>
      <c r="AL419" s="1036"/>
      <c r="AM419" s="1036"/>
      <c r="AN419" s="1036"/>
      <c r="AO419" s="1036"/>
      <c r="AP419" s="1036"/>
      <c r="AQ419" s="1036"/>
      <c r="AR419" s="1036"/>
      <c r="AS419" s="1036"/>
      <c r="AT419" s="1036"/>
      <c r="AU419" s="1036"/>
      <c r="AV419" s="1036"/>
      <c r="AW419" s="1036"/>
      <c r="AX419" s="1036"/>
      <c r="AY419" s="1037"/>
    </row>
    <row r="420" spans="2:51" ht="12.75" customHeight="1">
      <c r="B420" s="2109" t="str">
        <f>+$B$7</f>
        <v>住宅・アパート</v>
      </c>
      <c r="C420" s="1045">
        <v>2480</v>
      </c>
      <c r="D420" s="1050">
        <v>20</v>
      </c>
      <c r="E420" s="1047">
        <v>1.1499999999999999</v>
      </c>
      <c r="F420" s="1051">
        <v>10</v>
      </c>
      <c r="G420" s="1047">
        <v>1</v>
      </c>
      <c r="H420" s="1047" t="s">
        <v>1195</v>
      </c>
      <c r="I420" s="1048" t="s">
        <v>1195</v>
      </c>
      <c r="J420" s="1049">
        <v>30</v>
      </c>
      <c r="K420" s="1047">
        <v>1.3</v>
      </c>
      <c r="L420" s="1051">
        <v>80</v>
      </c>
      <c r="M420" s="1047">
        <v>1</v>
      </c>
      <c r="N420" s="1051">
        <v>130</v>
      </c>
      <c r="O420" s="1048">
        <v>0.8</v>
      </c>
      <c r="P420" s="1116"/>
      <c r="Q420" s="1082"/>
      <c r="R420" s="1119"/>
      <c r="S420" s="1082"/>
      <c r="T420" s="1082"/>
      <c r="U420" s="1082"/>
      <c r="V420" s="1119"/>
      <c r="W420" s="1082"/>
      <c r="X420" s="1119"/>
      <c r="Y420" s="1082"/>
      <c r="Z420" s="1119"/>
      <c r="AA420" s="1082"/>
      <c r="AB420" s="1035"/>
      <c r="AC420" s="1035"/>
      <c r="AD420" s="1036"/>
      <c r="AE420" s="1036"/>
      <c r="AF420" s="1036"/>
      <c r="AG420" s="1036"/>
      <c r="AH420" s="1036"/>
      <c r="AI420" s="1036"/>
      <c r="AJ420" s="1036"/>
      <c r="AK420" s="1036"/>
      <c r="AL420" s="1036"/>
      <c r="AM420" s="1036"/>
      <c r="AN420" s="1036"/>
      <c r="AO420" s="1036"/>
      <c r="AP420" s="1036"/>
      <c r="AQ420" s="1036"/>
      <c r="AR420" s="1036"/>
      <c r="AS420" s="1036"/>
      <c r="AT420" s="1036"/>
      <c r="AU420" s="1036"/>
      <c r="AV420" s="1036"/>
      <c r="AW420" s="1036"/>
      <c r="AX420" s="1036"/>
      <c r="AY420" s="1037"/>
    </row>
    <row r="421" spans="2:51" ht="12.75" customHeight="1">
      <c r="B421" s="2109" t="str">
        <f>+$B$8</f>
        <v>病院・ホテル</v>
      </c>
      <c r="C421" s="1045">
        <v>2480</v>
      </c>
      <c r="D421" s="1050">
        <v>20</v>
      </c>
      <c r="E421" s="1047">
        <v>1.1499999999999999</v>
      </c>
      <c r="F421" s="1051">
        <v>10</v>
      </c>
      <c r="G421" s="1047">
        <v>1</v>
      </c>
      <c r="H421" s="1047" t="s">
        <v>1195</v>
      </c>
      <c r="I421" s="1048" t="s">
        <v>1195</v>
      </c>
      <c r="J421" s="1049">
        <v>30</v>
      </c>
      <c r="K421" s="1047">
        <v>1.3</v>
      </c>
      <c r="L421" s="1051">
        <v>80</v>
      </c>
      <c r="M421" s="1047">
        <v>1</v>
      </c>
      <c r="N421" s="1051">
        <v>130</v>
      </c>
      <c r="O421" s="1048">
        <v>0.8</v>
      </c>
      <c r="P421" s="1116"/>
      <c r="Q421" s="1082"/>
      <c r="R421" s="1119"/>
      <c r="S421" s="1082"/>
      <c r="T421" s="1082"/>
      <c r="U421" s="1082"/>
      <c r="V421" s="1119"/>
      <c r="W421" s="1082"/>
      <c r="X421" s="1119"/>
      <c r="Y421" s="1082"/>
      <c r="Z421" s="1119"/>
      <c r="AA421" s="1082"/>
      <c r="AB421" s="1035"/>
      <c r="AC421" s="1035"/>
      <c r="AD421" s="1036"/>
      <c r="AE421" s="1036"/>
      <c r="AF421" s="1036"/>
      <c r="AG421" s="1036"/>
      <c r="AH421" s="1036"/>
      <c r="AI421" s="1036"/>
      <c r="AJ421" s="1036"/>
      <c r="AK421" s="1036"/>
      <c r="AL421" s="1036"/>
      <c r="AM421" s="1036"/>
      <c r="AN421" s="1036"/>
      <c r="AO421" s="1036"/>
      <c r="AP421" s="1036"/>
      <c r="AQ421" s="1036"/>
      <c r="AR421" s="1036"/>
      <c r="AS421" s="1036"/>
      <c r="AT421" s="1036"/>
      <c r="AU421" s="1036"/>
      <c r="AV421" s="1036"/>
      <c r="AW421" s="1036"/>
      <c r="AX421" s="1036"/>
      <c r="AY421" s="1037"/>
    </row>
    <row r="422" spans="2:51" ht="12.75" customHeight="1">
      <c r="B422" s="2109" t="str">
        <f>+$B$9</f>
        <v>工場・倉庫・市場</v>
      </c>
      <c r="C422" s="1045">
        <v>2480</v>
      </c>
      <c r="D422" s="1050">
        <v>20</v>
      </c>
      <c r="E422" s="1047">
        <v>1.1499999999999999</v>
      </c>
      <c r="F422" s="1051">
        <v>10</v>
      </c>
      <c r="G422" s="1047">
        <v>1</v>
      </c>
      <c r="H422" s="1047" t="s">
        <v>1195</v>
      </c>
      <c r="I422" s="1048" t="s">
        <v>1195</v>
      </c>
      <c r="J422" s="1049">
        <v>30</v>
      </c>
      <c r="K422" s="1047">
        <v>1.3</v>
      </c>
      <c r="L422" s="1051">
        <v>80</v>
      </c>
      <c r="M422" s="1047">
        <v>1</v>
      </c>
      <c r="N422" s="1051">
        <v>130</v>
      </c>
      <c r="O422" s="1048">
        <v>0.8</v>
      </c>
      <c r="P422" s="1116"/>
      <c r="Q422" s="1082"/>
      <c r="R422" s="1119"/>
      <c r="S422" s="1082"/>
      <c r="T422" s="1082"/>
      <c r="U422" s="1082"/>
      <c r="V422" s="1119"/>
      <c r="W422" s="1082"/>
      <c r="X422" s="1119"/>
      <c r="Y422" s="1082"/>
      <c r="Z422" s="1119"/>
      <c r="AA422" s="1082"/>
      <c r="AB422" s="1035"/>
      <c r="AC422" s="1035"/>
      <c r="AD422" s="1036"/>
      <c r="AE422" s="1036"/>
      <c r="AF422" s="1036"/>
      <c r="AG422" s="1036"/>
      <c r="AH422" s="1036"/>
      <c r="AI422" s="1036"/>
      <c r="AJ422" s="1036"/>
      <c r="AK422" s="1036"/>
      <c r="AL422" s="1036"/>
      <c r="AM422" s="1036"/>
      <c r="AN422" s="1036"/>
      <c r="AO422" s="1036"/>
      <c r="AP422" s="1036"/>
      <c r="AQ422" s="1036"/>
      <c r="AR422" s="1036"/>
      <c r="AS422" s="1036"/>
      <c r="AT422" s="1036"/>
      <c r="AU422" s="1036"/>
      <c r="AV422" s="1036"/>
      <c r="AW422" s="1036"/>
      <c r="AX422" s="1036"/>
      <c r="AY422" s="1037"/>
    </row>
    <row r="423" spans="2:51" ht="12.75" customHeight="1">
      <c r="B423" s="2110" t="str">
        <f>+$B$10</f>
        <v>劇場型建物</v>
      </c>
      <c r="C423" s="1045">
        <v>2480</v>
      </c>
      <c r="D423" s="1094">
        <v>20</v>
      </c>
      <c r="E423" s="1061">
        <v>1.1499999999999999</v>
      </c>
      <c r="F423" s="1095">
        <v>10</v>
      </c>
      <c r="G423" s="1061">
        <v>1</v>
      </c>
      <c r="H423" s="1061" t="s">
        <v>1195</v>
      </c>
      <c r="I423" s="1062" t="s">
        <v>1195</v>
      </c>
      <c r="J423" s="1166">
        <v>30</v>
      </c>
      <c r="K423" s="1061">
        <v>1.3</v>
      </c>
      <c r="L423" s="1095">
        <v>80</v>
      </c>
      <c r="M423" s="1061">
        <v>1</v>
      </c>
      <c r="N423" s="1095">
        <v>130</v>
      </c>
      <c r="O423" s="1062">
        <v>0.8</v>
      </c>
      <c r="P423" s="1116"/>
      <c r="Q423" s="1082"/>
      <c r="R423" s="1119"/>
      <c r="S423" s="1082"/>
      <c r="T423" s="1082"/>
      <c r="U423" s="1082"/>
      <c r="V423" s="1119"/>
      <c r="W423" s="1082"/>
      <c r="X423" s="1119"/>
      <c r="Y423" s="1082"/>
      <c r="Z423" s="1119"/>
      <c r="AA423" s="1082"/>
      <c r="AB423" s="1035"/>
      <c r="AC423" s="1035"/>
      <c r="AD423" s="1036"/>
      <c r="AE423" s="1036"/>
      <c r="AF423" s="1036"/>
      <c r="AG423" s="1036"/>
      <c r="AH423" s="1036"/>
      <c r="AI423" s="1036"/>
      <c r="AJ423" s="1036"/>
      <c r="AK423" s="1036"/>
      <c r="AL423" s="1036"/>
      <c r="AM423" s="1036"/>
      <c r="AN423" s="1036"/>
      <c r="AO423" s="1036"/>
      <c r="AP423" s="1036"/>
      <c r="AQ423" s="1036"/>
      <c r="AR423" s="1036"/>
      <c r="AS423" s="1036"/>
      <c r="AT423" s="1036"/>
      <c r="AU423" s="1036"/>
      <c r="AV423" s="1036"/>
      <c r="AW423" s="1036"/>
      <c r="AX423" s="1036"/>
      <c r="AY423" s="1037"/>
    </row>
    <row r="424" spans="2:51" ht="12.75" customHeight="1">
      <c r="B424" s="1008" t="s">
        <v>359</v>
      </c>
      <c r="C424" s="1121" t="s">
        <v>611</v>
      </c>
      <c r="D424" s="1013" t="s">
        <v>612</v>
      </c>
      <c r="E424" s="1015"/>
      <c r="F424" s="1015"/>
      <c r="G424" s="1015"/>
      <c r="H424" s="1015"/>
      <c r="I424" s="1017"/>
      <c r="J424" s="1021"/>
      <c r="K424" s="1021"/>
      <c r="L424" s="1021"/>
      <c r="M424" s="1021"/>
      <c r="N424" s="1021"/>
      <c r="O424" s="1021"/>
      <c r="P424" s="1021"/>
      <c r="Q424" s="1021"/>
      <c r="R424" s="1021"/>
      <c r="S424" s="1021"/>
      <c r="T424" s="1021"/>
      <c r="U424" s="1021"/>
      <c r="V424" s="1021"/>
      <c r="W424" s="1021"/>
      <c r="X424" s="1021"/>
      <c r="Y424" s="1021"/>
      <c r="Z424" s="1021"/>
      <c r="AA424" s="1021"/>
      <c r="AB424" s="1021"/>
      <c r="AC424" s="1021"/>
      <c r="AD424" s="1021"/>
      <c r="AE424" s="1021"/>
      <c r="AF424" s="1021"/>
      <c r="AG424" s="1021"/>
      <c r="AH424" s="1020"/>
      <c r="AI424" s="1020"/>
      <c r="AJ424" s="1021"/>
      <c r="AK424" s="1021"/>
      <c r="AL424" s="1021"/>
      <c r="AM424" s="1021"/>
      <c r="AN424" s="1021"/>
      <c r="AO424" s="1021"/>
      <c r="AP424" s="1021"/>
      <c r="AQ424" s="1021"/>
      <c r="AR424" s="1021"/>
      <c r="AS424" s="1021"/>
      <c r="AT424" s="1021"/>
      <c r="AU424" s="1021"/>
      <c r="AV424" s="1021"/>
      <c r="AW424" s="1021"/>
      <c r="AX424" s="1021"/>
      <c r="AY424" s="1022"/>
    </row>
    <row r="425" spans="2:51" ht="12.75" customHeight="1">
      <c r="B425" s="1023"/>
      <c r="C425" s="1024" t="s">
        <v>613</v>
      </c>
      <c r="D425" s="1028" t="s">
        <v>366</v>
      </c>
      <c r="E425" s="1030"/>
      <c r="F425" s="1030" t="s">
        <v>367</v>
      </c>
      <c r="G425" s="1030"/>
      <c r="H425" s="1444" t="s">
        <v>1298</v>
      </c>
      <c r="I425" s="1032"/>
      <c r="J425" s="1528" t="s">
        <v>1363</v>
      </c>
      <c r="K425" s="1036"/>
      <c r="L425" s="1036"/>
      <c r="M425" s="1036"/>
      <c r="N425" s="1036"/>
      <c r="O425" s="1036"/>
      <c r="P425" s="1036"/>
      <c r="Q425" s="1036"/>
      <c r="R425" s="1036"/>
      <c r="S425" s="1036"/>
      <c r="T425" s="1036"/>
      <c r="U425" s="1036"/>
      <c r="V425" s="1036"/>
      <c r="W425" s="1036"/>
      <c r="X425" s="1036"/>
      <c r="Y425" s="1036"/>
      <c r="Z425" s="1036"/>
      <c r="AA425" s="1036"/>
      <c r="AB425" s="1036"/>
      <c r="AC425" s="1036"/>
      <c r="AD425" s="1036"/>
      <c r="AE425" s="1036"/>
      <c r="AF425" s="1036"/>
      <c r="AG425" s="1036"/>
      <c r="AH425" s="1035"/>
      <c r="AI425" s="1035"/>
      <c r="AJ425" s="1036"/>
      <c r="AK425" s="1036"/>
      <c r="AL425" s="1036"/>
      <c r="AM425" s="1036"/>
      <c r="AN425" s="1036"/>
      <c r="AO425" s="1036"/>
      <c r="AP425" s="1036"/>
      <c r="AQ425" s="1036"/>
      <c r="AR425" s="1036"/>
      <c r="AS425" s="1036"/>
      <c r="AT425" s="1036"/>
      <c r="AU425" s="1036"/>
      <c r="AV425" s="1036"/>
      <c r="AW425" s="1036"/>
      <c r="AX425" s="1036"/>
      <c r="AY425" s="1037"/>
    </row>
    <row r="426" spans="2:51" ht="12.75" customHeight="1">
      <c r="B426" s="2108" t="str">
        <f>+$B$6</f>
        <v>事務所・店舗・百貨店</v>
      </c>
      <c r="C426" s="2258">
        <v>3050</v>
      </c>
      <c r="D426" s="1083">
        <v>1500</v>
      </c>
      <c r="E426" s="1039">
        <v>1.2</v>
      </c>
      <c r="F426" s="1044">
        <v>3000</v>
      </c>
      <c r="G426" s="1039">
        <v>1</v>
      </c>
      <c r="H426" s="1044">
        <v>4500</v>
      </c>
      <c r="I426" s="1040">
        <v>0.9</v>
      </c>
      <c r="J426" s="1036"/>
      <c r="K426" s="1036"/>
      <c r="L426" s="1036"/>
      <c r="M426" s="1036"/>
      <c r="N426" s="1036"/>
      <c r="O426" s="1036"/>
      <c r="P426" s="1036"/>
      <c r="Q426" s="1036"/>
      <c r="R426" s="1036"/>
      <c r="S426" s="1036"/>
      <c r="T426" s="1036"/>
      <c r="U426" s="1036"/>
      <c r="V426" s="1036"/>
      <c r="W426" s="1036"/>
      <c r="X426" s="1036"/>
      <c r="Y426" s="1036"/>
      <c r="Z426" s="1036"/>
      <c r="AA426" s="1036"/>
      <c r="AB426" s="1036"/>
      <c r="AC426" s="1036"/>
      <c r="AD426" s="1036"/>
      <c r="AE426" s="1036"/>
      <c r="AF426" s="1036"/>
      <c r="AG426" s="1036"/>
      <c r="AH426" s="1035"/>
      <c r="AI426" s="1035"/>
      <c r="AJ426" s="1036"/>
      <c r="AK426" s="1036"/>
      <c r="AL426" s="1036"/>
      <c r="AM426" s="1036"/>
      <c r="AN426" s="1036"/>
      <c r="AO426" s="1036"/>
      <c r="AP426" s="1036"/>
      <c r="AQ426" s="1036"/>
      <c r="AR426" s="1036"/>
      <c r="AS426" s="1036"/>
      <c r="AT426" s="1036"/>
      <c r="AU426" s="1036"/>
      <c r="AV426" s="1036"/>
      <c r="AW426" s="1036"/>
      <c r="AX426" s="1036"/>
      <c r="AY426" s="1037"/>
    </row>
    <row r="427" spans="2:51" ht="12.75" customHeight="1">
      <c r="B427" s="2109" t="str">
        <f>+$B$7</f>
        <v>住宅・アパート</v>
      </c>
      <c r="C427" s="1045">
        <v>3050</v>
      </c>
      <c r="D427" s="1084">
        <v>1500</v>
      </c>
      <c r="E427" s="1047">
        <v>1.2</v>
      </c>
      <c r="F427" s="1055">
        <v>3000</v>
      </c>
      <c r="G427" s="1047">
        <v>1</v>
      </c>
      <c r="H427" s="1055">
        <v>4500</v>
      </c>
      <c r="I427" s="1048">
        <v>0.9</v>
      </c>
      <c r="J427" s="1036"/>
      <c r="K427" s="1036"/>
      <c r="L427" s="1036"/>
      <c r="M427" s="1036"/>
      <c r="N427" s="1036"/>
      <c r="O427" s="1036"/>
      <c r="P427" s="1036"/>
      <c r="Q427" s="1036"/>
      <c r="R427" s="1036"/>
      <c r="S427" s="1036"/>
      <c r="T427" s="1036"/>
      <c r="U427" s="1036"/>
      <c r="V427" s="1036"/>
      <c r="W427" s="1036"/>
      <c r="X427" s="1036"/>
      <c r="Y427" s="1036"/>
      <c r="Z427" s="1036"/>
      <c r="AA427" s="1036"/>
      <c r="AB427" s="1036"/>
      <c r="AC427" s="1036"/>
      <c r="AD427" s="1036"/>
      <c r="AE427" s="1036"/>
      <c r="AF427" s="1036"/>
      <c r="AG427" s="1036"/>
      <c r="AH427" s="1035"/>
      <c r="AI427" s="1035"/>
      <c r="AJ427" s="1036"/>
      <c r="AK427" s="1036"/>
      <c r="AL427" s="1036"/>
      <c r="AM427" s="1036"/>
      <c r="AN427" s="1036"/>
      <c r="AO427" s="1036"/>
      <c r="AP427" s="1036"/>
      <c r="AQ427" s="1036"/>
      <c r="AR427" s="1036"/>
      <c r="AS427" s="1036"/>
      <c r="AT427" s="1036"/>
      <c r="AU427" s="1036"/>
      <c r="AV427" s="1036"/>
      <c r="AW427" s="1036"/>
      <c r="AX427" s="1036"/>
      <c r="AY427" s="1037"/>
    </row>
    <row r="428" spans="2:51" ht="12.75" customHeight="1">
      <c r="B428" s="2109" t="str">
        <f>+$B$8</f>
        <v>病院・ホテル</v>
      </c>
      <c r="C428" s="1045">
        <v>3050</v>
      </c>
      <c r="D428" s="1084">
        <v>1500</v>
      </c>
      <c r="E428" s="1047">
        <v>1.2</v>
      </c>
      <c r="F428" s="1055">
        <v>3000</v>
      </c>
      <c r="G428" s="1047">
        <v>1</v>
      </c>
      <c r="H428" s="1055">
        <v>4500</v>
      </c>
      <c r="I428" s="1048">
        <v>0.9</v>
      </c>
      <c r="J428" s="1036"/>
      <c r="K428" s="1036"/>
      <c r="L428" s="1036"/>
      <c r="M428" s="1036"/>
      <c r="N428" s="1036"/>
      <c r="O428" s="1036"/>
      <c r="P428" s="1036"/>
      <c r="Q428" s="1036"/>
      <c r="R428" s="1036"/>
      <c r="S428" s="1036"/>
      <c r="T428" s="1036"/>
      <c r="U428" s="1036"/>
      <c r="V428" s="1036"/>
      <c r="W428" s="1036"/>
      <c r="X428" s="1036"/>
      <c r="Y428" s="1036"/>
      <c r="Z428" s="1036"/>
      <c r="AA428" s="1036"/>
      <c r="AB428" s="1036"/>
      <c r="AC428" s="1036"/>
      <c r="AD428" s="1036"/>
      <c r="AE428" s="1036"/>
      <c r="AF428" s="1036"/>
      <c r="AG428" s="1036"/>
      <c r="AH428" s="1035"/>
      <c r="AI428" s="1035"/>
      <c r="AJ428" s="1036"/>
      <c r="AK428" s="1036"/>
      <c r="AL428" s="1036"/>
      <c r="AM428" s="1036"/>
      <c r="AN428" s="1036"/>
      <c r="AO428" s="1036"/>
      <c r="AP428" s="1036"/>
      <c r="AQ428" s="1036"/>
      <c r="AR428" s="1036"/>
      <c r="AS428" s="1036"/>
      <c r="AT428" s="1036"/>
      <c r="AU428" s="1036"/>
      <c r="AV428" s="1036"/>
      <c r="AW428" s="1036"/>
      <c r="AX428" s="1036"/>
      <c r="AY428" s="1037"/>
    </row>
    <row r="429" spans="2:51" ht="12.75" customHeight="1">
      <c r="B429" s="2109" t="str">
        <f>+$B$9</f>
        <v>工場・倉庫・市場</v>
      </c>
      <c r="C429" s="2119">
        <f>+C426</f>
        <v>3050</v>
      </c>
      <c r="D429" s="2220">
        <v>1500</v>
      </c>
      <c r="E429" s="2121">
        <v>1.2</v>
      </c>
      <c r="F429" s="2122">
        <v>3000</v>
      </c>
      <c r="G429" s="2121">
        <v>1</v>
      </c>
      <c r="H429" s="2122">
        <v>4500</v>
      </c>
      <c r="I429" s="2123">
        <v>0.9</v>
      </c>
      <c r="J429" s="1036"/>
      <c r="K429" s="1036"/>
      <c r="L429" s="1036"/>
      <c r="M429" s="1036"/>
      <c r="N429" s="1036"/>
      <c r="O429" s="1036"/>
      <c r="P429" s="1036"/>
      <c r="Q429" s="1036"/>
      <c r="R429" s="1036"/>
      <c r="S429" s="1036"/>
      <c r="T429" s="1036"/>
      <c r="U429" s="1036"/>
      <c r="V429" s="1036"/>
      <c r="W429" s="1036"/>
      <c r="X429" s="1036"/>
      <c r="Y429" s="1036"/>
      <c r="Z429" s="1036"/>
      <c r="AA429" s="1036"/>
      <c r="AB429" s="1036"/>
      <c r="AC429" s="1036"/>
      <c r="AD429" s="1036"/>
      <c r="AE429" s="1036"/>
      <c r="AF429" s="1036"/>
      <c r="AG429" s="1036"/>
      <c r="AH429" s="1035"/>
      <c r="AI429" s="1035"/>
      <c r="AJ429" s="1036"/>
      <c r="AK429" s="1036"/>
      <c r="AL429" s="1036"/>
      <c r="AM429" s="1036"/>
      <c r="AN429" s="1036"/>
      <c r="AO429" s="1036"/>
      <c r="AP429" s="1036"/>
      <c r="AQ429" s="1036"/>
      <c r="AR429" s="1036"/>
      <c r="AS429" s="1036"/>
      <c r="AT429" s="1036"/>
      <c r="AU429" s="1036"/>
      <c r="AV429" s="1036"/>
      <c r="AW429" s="1036"/>
      <c r="AX429" s="1036"/>
      <c r="AY429" s="1037"/>
    </row>
    <row r="430" spans="2:51" ht="12.75" customHeight="1">
      <c r="B430" s="2110" t="str">
        <f>+$B$10</f>
        <v>劇場型建物</v>
      </c>
      <c r="C430" s="1045">
        <v>3050</v>
      </c>
      <c r="D430" s="1085">
        <v>1500</v>
      </c>
      <c r="E430" s="1061">
        <v>1.2</v>
      </c>
      <c r="F430" s="1066">
        <v>3000</v>
      </c>
      <c r="G430" s="1061">
        <v>1</v>
      </c>
      <c r="H430" s="1066">
        <v>4500</v>
      </c>
      <c r="I430" s="1062">
        <v>0.9</v>
      </c>
      <c r="J430" s="1036"/>
      <c r="K430" s="1036"/>
      <c r="L430" s="1036"/>
      <c r="M430" s="1036"/>
      <c r="N430" s="1036"/>
      <c r="O430" s="1036"/>
      <c r="P430" s="1036"/>
      <c r="Q430" s="1036"/>
      <c r="R430" s="1036"/>
      <c r="S430" s="1036"/>
      <c r="T430" s="1036"/>
      <c r="U430" s="1036"/>
      <c r="V430" s="1036"/>
      <c r="W430" s="1036"/>
      <c r="X430" s="1036"/>
      <c r="Y430" s="1036"/>
      <c r="Z430" s="1036"/>
      <c r="AA430" s="1036"/>
      <c r="AB430" s="1036"/>
      <c r="AC430" s="1036"/>
      <c r="AD430" s="1036"/>
      <c r="AE430" s="1036"/>
      <c r="AF430" s="1036"/>
      <c r="AG430" s="1036"/>
      <c r="AH430" s="1035"/>
      <c r="AI430" s="1035"/>
      <c r="AJ430" s="1036"/>
      <c r="AK430" s="1036"/>
      <c r="AL430" s="1036"/>
      <c r="AM430" s="1036"/>
      <c r="AN430" s="1036"/>
      <c r="AO430" s="1036"/>
      <c r="AP430" s="1036"/>
      <c r="AQ430" s="1036"/>
      <c r="AR430" s="1036"/>
      <c r="AS430" s="1036"/>
      <c r="AT430" s="1036"/>
      <c r="AU430" s="1036"/>
      <c r="AV430" s="1036"/>
      <c r="AW430" s="1036"/>
      <c r="AX430" s="1036"/>
      <c r="AY430" s="1037"/>
    </row>
    <row r="431" spans="2:51" ht="12.75" customHeight="1">
      <c r="B431" s="1008" t="s">
        <v>359</v>
      </c>
      <c r="C431" s="1121" t="s">
        <v>614</v>
      </c>
      <c r="D431" s="1014" t="s">
        <v>615</v>
      </c>
      <c r="E431" s="1015"/>
      <c r="F431" s="1015"/>
      <c r="G431" s="1015"/>
      <c r="H431" s="1015"/>
      <c r="I431" s="1017"/>
      <c r="J431" s="1097"/>
      <c r="K431" s="1098"/>
      <c r="L431" s="1099"/>
      <c r="M431" s="1098"/>
      <c r="N431" s="1099"/>
      <c r="O431" s="1098"/>
      <c r="P431" s="1098"/>
      <c r="Q431" s="1098"/>
      <c r="R431" s="1098"/>
      <c r="S431" s="1098"/>
      <c r="T431" s="1098"/>
      <c r="U431" s="1098"/>
      <c r="V431" s="1126"/>
      <c r="W431" s="1118"/>
      <c r="X431" s="1126"/>
      <c r="Y431" s="1118"/>
      <c r="Z431" s="1126"/>
      <c r="AA431" s="1118"/>
      <c r="AB431" s="1098"/>
      <c r="AC431" s="1098"/>
      <c r="AD431" s="1098"/>
      <c r="AE431" s="1098"/>
      <c r="AF431" s="1098"/>
      <c r="AG431" s="1098"/>
      <c r="AH431" s="1020"/>
      <c r="AI431" s="1020"/>
      <c r="AJ431" s="1021"/>
      <c r="AK431" s="1021"/>
      <c r="AL431" s="1021"/>
      <c r="AM431" s="1021"/>
      <c r="AN431" s="1021"/>
      <c r="AO431" s="1021"/>
      <c r="AP431" s="1021"/>
      <c r="AQ431" s="1021"/>
      <c r="AR431" s="1021"/>
      <c r="AS431" s="1021"/>
      <c r="AT431" s="1021"/>
      <c r="AU431" s="1021"/>
      <c r="AV431" s="1021"/>
      <c r="AW431" s="1021"/>
      <c r="AX431" s="1021"/>
      <c r="AY431" s="1022"/>
    </row>
    <row r="432" spans="2:51" ht="12.75" customHeight="1">
      <c r="B432" s="1023"/>
      <c r="C432" s="1024" t="s">
        <v>1106</v>
      </c>
      <c r="D432" s="1029" t="s">
        <v>366</v>
      </c>
      <c r="E432" s="1030"/>
      <c r="F432" s="1030" t="s">
        <v>367</v>
      </c>
      <c r="G432" s="1030"/>
      <c r="H432" s="1444" t="s">
        <v>1298</v>
      </c>
      <c r="I432" s="1032"/>
      <c r="J432" s="1528" t="s">
        <v>1363</v>
      </c>
      <c r="K432" s="1082"/>
      <c r="L432" s="1101"/>
      <c r="M432" s="1082"/>
      <c r="N432" s="1101"/>
      <c r="O432" s="1082"/>
      <c r="P432" s="1082"/>
      <c r="Q432" s="1082"/>
      <c r="R432" s="1082"/>
      <c r="S432" s="1082"/>
      <c r="T432" s="1082"/>
      <c r="U432" s="1082"/>
      <c r="V432" s="1127"/>
      <c r="W432" s="1120"/>
      <c r="X432" s="1127"/>
      <c r="Y432" s="1120"/>
      <c r="Z432" s="1127"/>
      <c r="AA432" s="1120"/>
      <c r="AB432" s="1082"/>
      <c r="AC432" s="1082"/>
      <c r="AD432" s="1082"/>
      <c r="AE432" s="1082"/>
      <c r="AF432" s="1082"/>
      <c r="AG432" s="1082"/>
      <c r="AH432" s="1035"/>
      <c r="AI432" s="1035"/>
      <c r="AJ432" s="1036"/>
      <c r="AK432" s="1036"/>
      <c r="AL432" s="1036"/>
      <c r="AM432" s="1036"/>
      <c r="AN432" s="1036"/>
      <c r="AO432" s="1036"/>
      <c r="AP432" s="1036"/>
      <c r="AQ432" s="1036"/>
      <c r="AR432" s="1036"/>
      <c r="AS432" s="1036"/>
      <c r="AT432" s="1036"/>
      <c r="AU432" s="1036"/>
      <c r="AV432" s="1036"/>
      <c r="AW432" s="1036"/>
      <c r="AX432" s="1036"/>
      <c r="AY432" s="1037"/>
    </row>
    <row r="433" spans="2:51" ht="12.75" customHeight="1">
      <c r="B433" s="2108" t="str">
        <f>+$B$6</f>
        <v>事務所・店舗・百貨店</v>
      </c>
      <c r="C433" s="2258">
        <v>12130</v>
      </c>
      <c r="D433" s="1043">
        <v>500</v>
      </c>
      <c r="E433" s="1039">
        <v>1.2</v>
      </c>
      <c r="F433" s="1044">
        <v>1000</v>
      </c>
      <c r="G433" s="1039">
        <v>1</v>
      </c>
      <c r="H433" s="1044">
        <v>1500</v>
      </c>
      <c r="I433" s="1040">
        <v>0.9</v>
      </c>
      <c r="J433" s="1100"/>
      <c r="K433" s="1082"/>
      <c r="L433" s="1101"/>
      <c r="M433" s="1082"/>
      <c r="N433" s="1101"/>
      <c r="O433" s="1082"/>
      <c r="P433" s="1082"/>
      <c r="Q433" s="1082"/>
      <c r="R433" s="1082"/>
      <c r="S433" s="1082"/>
      <c r="T433" s="1082"/>
      <c r="U433" s="1082"/>
      <c r="V433" s="1127"/>
      <c r="W433" s="1120"/>
      <c r="X433" s="1127"/>
      <c r="Y433" s="1120"/>
      <c r="Z433" s="1127"/>
      <c r="AA433" s="1120"/>
      <c r="AB433" s="1082"/>
      <c r="AC433" s="1082"/>
      <c r="AD433" s="1082"/>
      <c r="AE433" s="1082"/>
      <c r="AF433" s="1082"/>
      <c r="AG433" s="1082"/>
      <c r="AH433" s="1035"/>
      <c r="AI433" s="1035"/>
      <c r="AJ433" s="1036"/>
      <c r="AK433" s="1036"/>
      <c r="AL433" s="1036"/>
      <c r="AM433" s="1036"/>
      <c r="AN433" s="1036"/>
      <c r="AO433" s="1036"/>
      <c r="AP433" s="1036"/>
      <c r="AQ433" s="1036"/>
      <c r="AR433" s="1036"/>
      <c r="AS433" s="1036"/>
      <c r="AT433" s="1036"/>
      <c r="AU433" s="1036"/>
      <c r="AV433" s="1036"/>
      <c r="AW433" s="1036"/>
      <c r="AX433" s="1036"/>
      <c r="AY433" s="1037"/>
    </row>
    <row r="434" spans="2:51" ht="12.75" customHeight="1">
      <c r="B434" s="2109" t="str">
        <f>+$B$7</f>
        <v>住宅・アパート</v>
      </c>
      <c r="C434" s="1045">
        <v>12130</v>
      </c>
      <c r="D434" s="1054">
        <v>500</v>
      </c>
      <c r="E434" s="1047">
        <v>1.2</v>
      </c>
      <c r="F434" s="1055">
        <v>1000</v>
      </c>
      <c r="G434" s="1047">
        <v>1</v>
      </c>
      <c r="H434" s="1055">
        <v>1500</v>
      </c>
      <c r="I434" s="1048">
        <v>0.9</v>
      </c>
      <c r="J434" s="1100"/>
      <c r="K434" s="1082"/>
      <c r="L434" s="1101"/>
      <c r="M434" s="1082"/>
      <c r="N434" s="1101"/>
      <c r="O434" s="1082"/>
      <c r="P434" s="1082"/>
      <c r="Q434" s="1082"/>
      <c r="R434" s="1082"/>
      <c r="S434" s="1082"/>
      <c r="T434" s="1082"/>
      <c r="U434" s="1082"/>
      <c r="V434" s="1127"/>
      <c r="W434" s="1120"/>
      <c r="X434" s="1127"/>
      <c r="Y434" s="1120"/>
      <c r="Z434" s="1127"/>
      <c r="AA434" s="1120"/>
      <c r="AB434" s="1082"/>
      <c r="AC434" s="1082"/>
      <c r="AD434" s="1082"/>
      <c r="AE434" s="1082"/>
      <c r="AF434" s="1082"/>
      <c r="AG434" s="1082"/>
      <c r="AH434" s="1035"/>
      <c r="AI434" s="1035"/>
      <c r="AJ434" s="1036"/>
      <c r="AK434" s="1036"/>
      <c r="AL434" s="1036"/>
      <c r="AM434" s="1036"/>
      <c r="AN434" s="1036"/>
      <c r="AO434" s="1036"/>
      <c r="AP434" s="1036"/>
      <c r="AQ434" s="1036"/>
      <c r="AR434" s="1036"/>
      <c r="AS434" s="1036"/>
      <c r="AT434" s="1036"/>
      <c r="AU434" s="1036"/>
      <c r="AV434" s="1036"/>
      <c r="AW434" s="1036"/>
      <c r="AX434" s="1036"/>
      <c r="AY434" s="1037"/>
    </row>
    <row r="435" spans="2:51" ht="12.75" customHeight="1">
      <c r="B435" s="2109" t="str">
        <f>+$B$8</f>
        <v>病院・ホテル</v>
      </c>
      <c r="C435" s="1045">
        <v>12130</v>
      </c>
      <c r="D435" s="1054">
        <v>500</v>
      </c>
      <c r="E435" s="1047">
        <v>1.2</v>
      </c>
      <c r="F435" s="1055">
        <v>1000</v>
      </c>
      <c r="G435" s="1047">
        <v>1</v>
      </c>
      <c r="H435" s="1055">
        <v>1500</v>
      </c>
      <c r="I435" s="1048">
        <v>0.9</v>
      </c>
      <c r="J435" s="1100"/>
      <c r="K435" s="1082"/>
      <c r="L435" s="1101"/>
      <c r="M435" s="1082"/>
      <c r="N435" s="1101"/>
      <c r="O435" s="1082"/>
      <c r="P435" s="1082"/>
      <c r="Q435" s="1082"/>
      <c r="R435" s="1082"/>
      <c r="S435" s="1082"/>
      <c r="T435" s="1082"/>
      <c r="U435" s="1082"/>
      <c r="V435" s="1127"/>
      <c r="W435" s="1120"/>
      <c r="X435" s="1127"/>
      <c r="Y435" s="1120"/>
      <c r="Z435" s="1127"/>
      <c r="AA435" s="1120"/>
      <c r="AB435" s="1082"/>
      <c r="AC435" s="1082"/>
      <c r="AD435" s="1082"/>
      <c r="AE435" s="1082"/>
      <c r="AF435" s="1082"/>
      <c r="AG435" s="1082"/>
      <c r="AH435" s="1035"/>
      <c r="AI435" s="1035"/>
      <c r="AJ435" s="1036"/>
      <c r="AK435" s="1036"/>
      <c r="AL435" s="1036"/>
      <c r="AM435" s="1036"/>
      <c r="AN435" s="1036"/>
      <c r="AO435" s="1036"/>
      <c r="AP435" s="1036"/>
      <c r="AQ435" s="1036"/>
      <c r="AR435" s="1036"/>
      <c r="AS435" s="1036"/>
      <c r="AT435" s="1036"/>
      <c r="AU435" s="1036"/>
      <c r="AV435" s="1036"/>
      <c r="AW435" s="1036"/>
      <c r="AX435" s="1036"/>
      <c r="AY435" s="1037"/>
    </row>
    <row r="436" spans="2:51" ht="12.75" customHeight="1">
      <c r="B436" s="2109" t="str">
        <f>+$B$9</f>
        <v>工場・倉庫・市場</v>
      </c>
      <c r="C436" s="2119">
        <f>+C433</f>
        <v>12130</v>
      </c>
      <c r="D436" s="2120">
        <v>500</v>
      </c>
      <c r="E436" s="2121">
        <v>1.2</v>
      </c>
      <c r="F436" s="2122">
        <v>1000</v>
      </c>
      <c r="G436" s="2121">
        <v>1</v>
      </c>
      <c r="H436" s="2122">
        <v>1500</v>
      </c>
      <c r="I436" s="2123">
        <v>0.9</v>
      </c>
      <c r="J436" s="1100"/>
      <c r="K436" s="1082"/>
      <c r="L436" s="1101"/>
      <c r="M436" s="1082"/>
      <c r="N436" s="1101"/>
      <c r="O436" s="1082"/>
      <c r="P436" s="1082"/>
      <c r="Q436" s="1082"/>
      <c r="R436" s="1082"/>
      <c r="S436" s="1082"/>
      <c r="T436" s="1082"/>
      <c r="U436" s="1082"/>
      <c r="V436" s="1127"/>
      <c r="W436" s="1120"/>
      <c r="X436" s="1127"/>
      <c r="Y436" s="1120"/>
      <c r="Z436" s="1127"/>
      <c r="AA436" s="1120"/>
      <c r="AB436" s="1082"/>
      <c r="AC436" s="1082"/>
      <c r="AD436" s="1082"/>
      <c r="AE436" s="1082"/>
      <c r="AF436" s="1082"/>
      <c r="AG436" s="1082"/>
      <c r="AH436" s="1035"/>
      <c r="AI436" s="1035"/>
      <c r="AJ436" s="1036"/>
      <c r="AK436" s="1036"/>
      <c r="AL436" s="1036"/>
      <c r="AM436" s="1036"/>
      <c r="AN436" s="1036"/>
      <c r="AO436" s="1036"/>
      <c r="AP436" s="1036"/>
      <c r="AQ436" s="1036"/>
      <c r="AR436" s="1036"/>
      <c r="AS436" s="1036"/>
      <c r="AT436" s="1036"/>
      <c r="AU436" s="1036"/>
      <c r="AV436" s="1036"/>
      <c r="AW436" s="1036"/>
      <c r="AX436" s="1036"/>
      <c r="AY436" s="1037"/>
    </row>
    <row r="437" spans="2:51" ht="12.75" customHeight="1">
      <c r="B437" s="2110" t="str">
        <f>+$B$10</f>
        <v>劇場型建物</v>
      </c>
      <c r="C437" s="1045">
        <v>12130</v>
      </c>
      <c r="D437" s="1065">
        <v>500</v>
      </c>
      <c r="E437" s="1061">
        <v>1.2</v>
      </c>
      <c r="F437" s="1066">
        <v>1000</v>
      </c>
      <c r="G437" s="1061">
        <v>1</v>
      </c>
      <c r="H437" s="1066">
        <v>1500</v>
      </c>
      <c r="I437" s="1062">
        <v>0.9</v>
      </c>
      <c r="J437" s="1100"/>
      <c r="K437" s="1082"/>
      <c r="L437" s="1101"/>
      <c r="M437" s="1082"/>
      <c r="N437" s="1101"/>
      <c r="O437" s="1082"/>
      <c r="P437" s="1082"/>
      <c r="Q437" s="1082"/>
      <c r="R437" s="1082"/>
      <c r="S437" s="1082"/>
      <c r="T437" s="1082"/>
      <c r="U437" s="1082"/>
      <c r="V437" s="1127"/>
      <c r="W437" s="1120"/>
      <c r="X437" s="1127"/>
      <c r="Y437" s="1120"/>
      <c r="Z437" s="1127"/>
      <c r="AA437" s="1120"/>
      <c r="AB437" s="1082"/>
      <c r="AC437" s="1082"/>
      <c r="AD437" s="1082"/>
      <c r="AE437" s="1082"/>
      <c r="AF437" s="1082"/>
      <c r="AG437" s="1082"/>
      <c r="AH437" s="1035"/>
      <c r="AI437" s="1035"/>
      <c r="AJ437" s="1036"/>
      <c r="AK437" s="1036"/>
      <c r="AL437" s="1036"/>
      <c r="AM437" s="1036"/>
      <c r="AN437" s="1036"/>
      <c r="AO437" s="1036"/>
      <c r="AP437" s="1036"/>
      <c r="AQ437" s="1036"/>
      <c r="AR437" s="1036"/>
      <c r="AS437" s="1036"/>
      <c r="AT437" s="1036"/>
      <c r="AU437" s="1036"/>
      <c r="AV437" s="1036"/>
      <c r="AW437" s="1036"/>
      <c r="AX437" s="1036"/>
      <c r="AY437" s="1037"/>
    </row>
    <row r="438" spans="2:51" ht="12.75" customHeight="1">
      <c r="B438" s="1008" t="s">
        <v>359</v>
      </c>
      <c r="C438" s="1121" t="s">
        <v>1107</v>
      </c>
      <c r="D438" s="3894" t="s">
        <v>1108</v>
      </c>
      <c r="E438" s="3895"/>
      <c r="F438" s="3895"/>
      <c r="G438" s="3895"/>
      <c r="H438" s="3895"/>
      <c r="I438" s="3895"/>
      <c r="J438" s="2037"/>
      <c r="K438" s="2037"/>
      <c r="L438" s="2037"/>
      <c r="M438" s="2037"/>
      <c r="N438" s="2037"/>
      <c r="O438" s="2037"/>
      <c r="P438" s="2037"/>
      <c r="Q438" s="2037"/>
      <c r="R438" s="2037"/>
      <c r="S438" s="2037"/>
      <c r="T438" s="2037"/>
      <c r="U438" s="2037"/>
      <c r="V438" s="2037"/>
      <c r="W438" s="2037"/>
      <c r="X438" s="2037"/>
      <c r="Y438" s="2251"/>
      <c r="Z438" s="1098"/>
      <c r="AA438" s="1098"/>
      <c r="AB438" s="1098"/>
      <c r="AC438" s="1098"/>
      <c r="AD438" s="1098"/>
      <c r="AE438" s="1126"/>
      <c r="AF438" s="1118"/>
      <c r="AG438" s="1126"/>
      <c r="AH438" s="1118"/>
      <c r="AI438" s="1126"/>
      <c r="AJ438" s="1118"/>
      <c r="AK438" s="1098"/>
      <c r="AL438" s="1098"/>
      <c r="AM438" s="1098"/>
      <c r="AN438" s="1098"/>
      <c r="AO438" s="1098"/>
      <c r="AP438" s="1098"/>
      <c r="AQ438" s="1020"/>
      <c r="AR438" s="1020"/>
      <c r="AS438" s="1021"/>
      <c r="AT438" s="1021"/>
      <c r="AU438" s="1021"/>
      <c r="AV438" s="1021"/>
      <c r="AW438" s="1021"/>
      <c r="AX438" s="1021"/>
      <c r="AY438" s="1022"/>
    </row>
    <row r="439" spans="2:51" ht="12.75" customHeight="1">
      <c r="B439" s="1023"/>
      <c r="C439" s="1024" t="s">
        <v>1109</v>
      </c>
      <c r="D439" s="1028" t="s">
        <v>366</v>
      </c>
      <c r="E439" s="1030"/>
      <c r="F439" s="1030" t="s">
        <v>367</v>
      </c>
      <c r="G439" s="1030"/>
      <c r="H439" s="3900" t="s">
        <v>1298</v>
      </c>
      <c r="I439" s="3897"/>
      <c r="J439" s="1134"/>
      <c r="K439" s="1134"/>
      <c r="L439" s="1134"/>
      <c r="M439" s="1134"/>
      <c r="N439" s="1134"/>
      <c r="O439" s="1134"/>
      <c r="P439" s="1134"/>
      <c r="Q439" s="1134"/>
      <c r="R439" s="1134"/>
      <c r="S439" s="1134"/>
      <c r="T439" s="1134"/>
      <c r="U439" s="1134"/>
      <c r="V439" s="1134"/>
      <c r="W439" s="1134"/>
      <c r="X439" s="1134"/>
      <c r="Y439" s="1082"/>
      <c r="Z439" s="1082"/>
      <c r="AA439" s="1082"/>
      <c r="AB439" s="1082"/>
      <c r="AC439" s="1082"/>
      <c r="AD439" s="1082"/>
      <c r="AE439" s="1127"/>
      <c r="AF439" s="1120"/>
      <c r="AG439" s="1127"/>
      <c r="AH439" s="1120"/>
      <c r="AI439" s="1127"/>
      <c r="AJ439" s="1120"/>
      <c r="AK439" s="1082"/>
      <c r="AL439" s="1082"/>
      <c r="AM439" s="1082"/>
      <c r="AN439" s="1082"/>
      <c r="AO439" s="1082"/>
      <c r="AP439" s="1082"/>
      <c r="AQ439" s="1035"/>
      <c r="AR439" s="1035"/>
      <c r="AS439" s="1036"/>
      <c r="AT439" s="1036"/>
      <c r="AU439" s="1036"/>
      <c r="AV439" s="1036"/>
      <c r="AW439" s="1036"/>
      <c r="AX439" s="1036"/>
      <c r="AY439" s="1037"/>
    </row>
    <row r="440" spans="2:51" ht="12.75" customHeight="1">
      <c r="B440" s="2108" t="str">
        <f>+$B$6</f>
        <v>事務所・店舗・百貨店</v>
      </c>
      <c r="C440" s="2258">
        <v>3590</v>
      </c>
      <c r="D440" s="1083">
        <v>1000</v>
      </c>
      <c r="E440" s="1039">
        <v>1.05</v>
      </c>
      <c r="F440" s="1044">
        <v>3000</v>
      </c>
      <c r="G440" s="1039">
        <v>1</v>
      </c>
      <c r="H440" s="1044">
        <v>10000</v>
      </c>
      <c r="I440" s="1042">
        <v>0.93</v>
      </c>
      <c r="J440" s="2047"/>
      <c r="K440" s="2047"/>
      <c r="L440" s="2047"/>
      <c r="M440" s="1082"/>
      <c r="N440" s="1082"/>
      <c r="O440" s="1082"/>
      <c r="P440" s="1082"/>
      <c r="Q440" s="1082"/>
      <c r="R440" s="1082"/>
      <c r="S440" s="1082"/>
      <c r="T440" s="1082"/>
      <c r="U440" s="1082"/>
      <c r="V440" s="1082"/>
      <c r="W440" s="1082"/>
      <c r="X440" s="1082"/>
      <c r="Y440" s="1082"/>
      <c r="Z440" s="1082"/>
      <c r="AA440" s="1082"/>
      <c r="AB440" s="1082"/>
      <c r="AC440" s="1082"/>
      <c r="AD440" s="1082"/>
      <c r="AE440" s="1127"/>
      <c r="AF440" s="1120"/>
      <c r="AG440" s="1127"/>
      <c r="AH440" s="1120"/>
      <c r="AI440" s="1127"/>
      <c r="AJ440" s="1120"/>
      <c r="AK440" s="1082"/>
      <c r="AL440" s="1082"/>
      <c r="AM440" s="1082"/>
      <c r="AN440" s="1082"/>
      <c r="AO440" s="1082"/>
      <c r="AP440" s="1082"/>
      <c r="AQ440" s="1035"/>
      <c r="AR440" s="1035"/>
      <c r="AS440" s="1036"/>
      <c r="AT440" s="1036"/>
      <c r="AU440" s="1036"/>
      <c r="AV440" s="1036"/>
      <c r="AW440" s="1036"/>
      <c r="AX440" s="1036"/>
      <c r="AY440" s="1037"/>
    </row>
    <row r="441" spans="2:51" ht="12.75" customHeight="1">
      <c r="B441" s="2109" t="str">
        <f>+$B$7</f>
        <v>住宅・アパート</v>
      </c>
      <c r="C441" s="1045">
        <v>3590</v>
      </c>
      <c r="D441" s="1084">
        <v>900</v>
      </c>
      <c r="E441" s="1047">
        <v>1.05</v>
      </c>
      <c r="F441" s="1055">
        <v>1800</v>
      </c>
      <c r="G441" s="1047">
        <v>1</v>
      </c>
      <c r="H441" s="1055">
        <v>3600</v>
      </c>
      <c r="I441" s="1053">
        <v>0.93</v>
      </c>
      <c r="J441" s="1082"/>
      <c r="K441" s="1082"/>
      <c r="L441" s="1082"/>
      <c r="M441" s="1082"/>
      <c r="N441" s="1082"/>
      <c r="O441" s="1082"/>
      <c r="P441" s="1082"/>
      <c r="Q441" s="1082"/>
      <c r="R441" s="1082"/>
      <c r="S441" s="1082"/>
      <c r="T441" s="1082"/>
      <c r="U441" s="1082"/>
      <c r="V441" s="1082"/>
      <c r="W441" s="1082"/>
      <c r="X441" s="1082"/>
      <c r="Y441" s="1082"/>
      <c r="Z441" s="1082"/>
      <c r="AA441" s="1082"/>
      <c r="AB441" s="1082"/>
      <c r="AC441" s="1082"/>
      <c r="AD441" s="1082"/>
      <c r="AE441" s="1127"/>
      <c r="AF441" s="1120"/>
      <c r="AG441" s="1127"/>
      <c r="AH441" s="1120"/>
      <c r="AI441" s="1127"/>
      <c r="AJ441" s="1120"/>
      <c r="AK441" s="1082"/>
      <c r="AL441" s="1082"/>
      <c r="AM441" s="1082"/>
      <c r="AN441" s="1082"/>
      <c r="AO441" s="1082"/>
      <c r="AP441" s="1082"/>
      <c r="AQ441" s="1035"/>
      <c r="AR441" s="1035"/>
      <c r="AS441" s="1036"/>
      <c r="AT441" s="1036"/>
      <c r="AU441" s="1036"/>
      <c r="AV441" s="1036"/>
      <c r="AW441" s="1036"/>
      <c r="AX441" s="1036"/>
      <c r="AY441" s="1037"/>
    </row>
    <row r="442" spans="2:51" ht="12.75" customHeight="1">
      <c r="B442" s="2109" t="str">
        <f>+$B$8</f>
        <v>病院・ホテル</v>
      </c>
      <c r="C442" s="1045">
        <v>3590</v>
      </c>
      <c r="D442" s="1084">
        <v>1000</v>
      </c>
      <c r="E442" s="1047">
        <v>1.05</v>
      </c>
      <c r="F442" s="1055">
        <v>3000</v>
      </c>
      <c r="G442" s="1047">
        <v>1</v>
      </c>
      <c r="H442" s="1055">
        <v>10000</v>
      </c>
      <c r="I442" s="1053">
        <v>0.93</v>
      </c>
      <c r="J442" s="1082"/>
      <c r="K442" s="1082"/>
      <c r="L442" s="1082"/>
      <c r="M442" s="1082"/>
      <c r="N442" s="1082"/>
      <c r="O442" s="1082"/>
      <c r="P442" s="1082"/>
      <c r="Q442" s="1082"/>
      <c r="R442" s="1082"/>
      <c r="S442" s="1082"/>
      <c r="T442" s="1082"/>
      <c r="U442" s="1082"/>
      <c r="V442" s="1082"/>
      <c r="W442" s="1082"/>
      <c r="X442" s="1082"/>
      <c r="Y442" s="1082"/>
      <c r="Z442" s="1082"/>
      <c r="AA442" s="1082"/>
      <c r="AB442" s="1082"/>
      <c r="AC442" s="1082"/>
      <c r="AD442" s="1082"/>
      <c r="AE442" s="1127"/>
      <c r="AF442" s="1120"/>
      <c r="AG442" s="1127"/>
      <c r="AH442" s="1120"/>
      <c r="AI442" s="1127"/>
      <c r="AJ442" s="1120"/>
      <c r="AK442" s="1082"/>
      <c r="AL442" s="1082"/>
      <c r="AM442" s="1082"/>
      <c r="AN442" s="1082"/>
      <c r="AO442" s="1082"/>
      <c r="AP442" s="1082"/>
      <c r="AQ442" s="1035"/>
      <c r="AR442" s="1035"/>
      <c r="AS442" s="1036"/>
      <c r="AT442" s="1036"/>
      <c r="AU442" s="1036"/>
      <c r="AV442" s="1036"/>
      <c r="AW442" s="1036"/>
      <c r="AX442" s="1036"/>
      <c r="AY442" s="1037"/>
    </row>
    <row r="443" spans="2:51" ht="12.75" customHeight="1">
      <c r="B443" s="2109" t="str">
        <f>+$B$9</f>
        <v>工場・倉庫・市場</v>
      </c>
      <c r="C443" s="1045">
        <v>3590</v>
      </c>
      <c r="D443" s="1084">
        <v>1000</v>
      </c>
      <c r="E443" s="1047">
        <v>1.05</v>
      </c>
      <c r="F443" s="1055">
        <v>3000</v>
      </c>
      <c r="G443" s="1047">
        <v>1</v>
      </c>
      <c r="H443" s="1055">
        <v>10000</v>
      </c>
      <c r="I443" s="1053">
        <v>0.93</v>
      </c>
      <c r="J443" s="1082"/>
      <c r="K443" s="1082"/>
      <c r="L443" s="1082"/>
      <c r="M443" s="1082"/>
      <c r="N443" s="1082"/>
      <c r="O443" s="1082"/>
      <c r="P443" s="1082"/>
      <c r="Q443" s="1082"/>
      <c r="R443" s="1082"/>
      <c r="S443" s="1082"/>
      <c r="T443" s="1082"/>
      <c r="U443" s="1082"/>
      <c r="V443" s="1082"/>
      <c r="W443" s="1082"/>
      <c r="X443" s="1082"/>
      <c r="Y443" s="1082"/>
      <c r="Z443" s="1082"/>
      <c r="AA443" s="1082"/>
      <c r="AB443" s="1082"/>
      <c r="AC443" s="1082"/>
      <c r="AD443" s="1082"/>
      <c r="AE443" s="1127"/>
      <c r="AF443" s="1120"/>
      <c r="AG443" s="1127"/>
      <c r="AH443" s="1120"/>
      <c r="AI443" s="1127"/>
      <c r="AJ443" s="1120"/>
      <c r="AK443" s="1082"/>
      <c r="AL443" s="1082"/>
      <c r="AM443" s="1082"/>
      <c r="AN443" s="1082"/>
      <c r="AO443" s="1082"/>
      <c r="AP443" s="1082"/>
      <c r="AQ443" s="1035"/>
      <c r="AR443" s="1035"/>
      <c r="AS443" s="1036"/>
      <c r="AT443" s="1036"/>
      <c r="AU443" s="1036"/>
      <c r="AV443" s="1036"/>
      <c r="AW443" s="1036"/>
      <c r="AX443" s="1036"/>
      <c r="AY443" s="1037"/>
    </row>
    <row r="444" spans="2:51" ht="12.75" customHeight="1">
      <c r="B444" s="2110" t="str">
        <f>+$B$10</f>
        <v>劇場型建物</v>
      </c>
      <c r="C444" s="1045">
        <v>3590</v>
      </c>
      <c r="D444" s="1085">
        <v>900</v>
      </c>
      <c r="E444" s="1061">
        <v>1.05</v>
      </c>
      <c r="F444" s="1066">
        <v>1800</v>
      </c>
      <c r="G444" s="1061">
        <v>1</v>
      </c>
      <c r="H444" s="1066">
        <v>3600</v>
      </c>
      <c r="I444" s="1064">
        <v>0.93</v>
      </c>
      <c r="J444" s="1858"/>
      <c r="K444" s="1858"/>
      <c r="L444" s="1858"/>
      <c r="M444" s="1858"/>
      <c r="N444" s="1858"/>
      <c r="O444" s="1858"/>
      <c r="P444" s="1858"/>
      <c r="Q444" s="1858"/>
      <c r="R444" s="1858"/>
      <c r="S444" s="1858"/>
      <c r="T444" s="1858"/>
      <c r="U444" s="1858"/>
      <c r="V444" s="1858"/>
      <c r="W444" s="1858"/>
      <c r="X444" s="1858"/>
      <c r="Y444" s="1082"/>
      <c r="Z444" s="1082"/>
      <c r="AA444" s="1082"/>
      <c r="AB444" s="1082"/>
      <c r="AC444" s="1082"/>
      <c r="AD444" s="1082"/>
      <c r="AE444" s="1127"/>
      <c r="AF444" s="1120"/>
      <c r="AG444" s="1127"/>
      <c r="AH444" s="1120"/>
      <c r="AI444" s="1127"/>
      <c r="AJ444" s="1120"/>
      <c r="AK444" s="1082"/>
      <c r="AL444" s="1082"/>
      <c r="AM444" s="1082"/>
      <c r="AN444" s="1082"/>
      <c r="AO444" s="1082"/>
      <c r="AP444" s="1082"/>
      <c r="AQ444" s="1035"/>
      <c r="AR444" s="1035"/>
      <c r="AS444" s="1036"/>
      <c r="AT444" s="1036"/>
      <c r="AU444" s="1036"/>
      <c r="AV444" s="1036"/>
      <c r="AW444" s="1036"/>
      <c r="AX444" s="1036"/>
      <c r="AY444" s="1037"/>
    </row>
    <row r="445" spans="2:51" ht="12.75" customHeight="1">
      <c r="B445" s="1008" t="s">
        <v>359</v>
      </c>
      <c r="C445" s="1503" t="s">
        <v>1364</v>
      </c>
      <c r="D445" s="2048"/>
      <c r="E445" s="2037"/>
      <c r="F445" s="2037"/>
      <c r="G445" s="2037"/>
      <c r="H445" s="2037"/>
      <c r="I445" s="2019"/>
      <c r="J445" s="1097"/>
      <c r="K445" s="1098"/>
      <c r="L445" s="1099"/>
      <c r="M445" s="1098"/>
      <c r="N445" s="1099"/>
      <c r="O445" s="1098"/>
      <c r="P445" s="1098"/>
      <c r="Q445" s="1098"/>
      <c r="R445" s="1098"/>
      <c r="S445" s="1098"/>
      <c r="T445" s="1098"/>
      <c r="U445" s="1098"/>
      <c r="V445" s="1126"/>
      <c r="W445" s="1118"/>
      <c r="X445" s="1126"/>
      <c r="Y445" s="1118"/>
      <c r="Z445" s="1126"/>
      <c r="AA445" s="1118"/>
      <c r="AB445" s="1098"/>
      <c r="AC445" s="1098"/>
      <c r="AD445" s="1098"/>
      <c r="AE445" s="1098"/>
      <c r="AF445" s="1098"/>
      <c r="AG445" s="1098"/>
      <c r="AH445" s="1020"/>
      <c r="AI445" s="1020"/>
      <c r="AJ445" s="1021"/>
      <c r="AK445" s="1021"/>
      <c r="AL445" s="1021"/>
      <c r="AM445" s="1021"/>
      <c r="AN445" s="1021"/>
      <c r="AO445" s="1021"/>
      <c r="AP445" s="1021"/>
      <c r="AQ445" s="1021"/>
      <c r="AR445" s="1021"/>
      <c r="AS445" s="1021"/>
      <c r="AT445" s="1021"/>
      <c r="AU445" s="1021"/>
      <c r="AV445" s="1021"/>
      <c r="AW445" s="1021"/>
      <c r="AX445" s="1021"/>
      <c r="AY445" s="1022"/>
    </row>
    <row r="446" spans="2:51" ht="12.75" customHeight="1">
      <c r="B446" s="1023"/>
      <c r="C446" s="1024" t="s">
        <v>1365</v>
      </c>
      <c r="D446" s="1133"/>
      <c r="E446" s="1134"/>
      <c r="F446" s="1134"/>
      <c r="G446" s="1134"/>
      <c r="H446" s="2039"/>
      <c r="I446" s="2020"/>
      <c r="J446" s="1528"/>
      <c r="K446" s="1082"/>
      <c r="L446" s="1101"/>
      <c r="M446" s="1082"/>
      <c r="N446" s="1101"/>
      <c r="O446" s="1082"/>
      <c r="P446" s="1082"/>
      <c r="Q446" s="1082"/>
      <c r="R446" s="1082"/>
      <c r="S446" s="1082"/>
      <c r="T446" s="1082"/>
      <c r="U446" s="1082"/>
      <c r="V446" s="1127"/>
      <c r="W446" s="1120"/>
      <c r="X446" s="1127"/>
      <c r="Y446" s="1120"/>
      <c r="Z446" s="1127"/>
      <c r="AA446" s="1120"/>
      <c r="AB446" s="1082"/>
      <c r="AC446" s="1082"/>
      <c r="AD446" s="1082"/>
      <c r="AE446" s="1082"/>
      <c r="AF446" s="1082"/>
      <c r="AG446" s="1082"/>
      <c r="AH446" s="1035"/>
      <c r="AI446" s="1035"/>
      <c r="AJ446" s="1036"/>
      <c r="AK446" s="1036"/>
      <c r="AL446" s="1036"/>
      <c r="AM446" s="1036"/>
      <c r="AN446" s="1036"/>
      <c r="AO446" s="1036"/>
      <c r="AP446" s="1036"/>
      <c r="AQ446" s="1036"/>
      <c r="AR446" s="1036"/>
      <c r="AS446" s="1036"/>
      <c r="AT446" s="1036"/>
      <c r="AU446" s="1036"/>
      <c r="AV446" s="1036"/>
      <c r="AW446" s="1036"/>
      <c r="AX446" s="1036"/>
      <c r="AY446" s="1037"/>
    </row>
    <row r="447" spans="2:51" ht="12.75" customHeight="1">
      <c r="B447" s="2108" t="str">
        <f>+$B$6</f>
        <v>事務所・店舗・百貨店</v>
      </c>
      <c r="C447" s="2258">
        <v>2300</v>
      </c>
      <c r="D447" s="2061"/>
      <c r="E447" s="2047"/>
      <c r="F447" s="1101"/>
      <c r="G447" s="1082"/>
      <c r="H447" s="1101"/>
      <c r="I447" s="2013"/>
      <c r="J447" s="1100"/>
      <c r="K447" s="1082"/>
      <c r="L447" s="1101"/>
      <c r="M447" s="1082"/>
      <c r="N447" s="1101"/>
      <c r="O447" s="1082"/>
      <c r="P447" s="1082"/>
      <c r="Q447" s="1082"/>
      <c r="R447" s="1082"/>
      <c r="S447" s="1082"/>
      <c r="T447" s="1082"/>
      <c r="U447" s="1082"/>
      <c r="V447" s="1127"/>
      <c r="W447" s="1120"/>
      <c r="X447" s="1127"/>
      <c r="Y447" s="1120"/>
      <c r="Z447" s="1127"/>
      <c r="AA447" s="1120"/>
      <c r="AB447" s="1082"/>
      <c r="AC447" s="1082"/>
      <c r="AD447" s="1082"/>
      <c r="AE447" s="1082"/>
      <c r="AF447" s="1082"/>
      <c r="AG447" s="1082"/>
      <c r="AH447" s="1035"/>
      <c r="AI447" s="1035"/>
      <c r="AJ447" s="1036"/>
      <c r="AK447" s="1036"/>
      <c r="AL447" s="1036"/>
      <c r="AM447" s="1036"/>
      <c r="AN447" s="1036"/>
      <c r="AO447" s="1036"/>
      <c r="AP447" s="1036"/>
      <c r="AQ447" s="1036"/>
      <c r="AR447" s="1036"/>
      <c r="AS447" s="1036"/>
      <c r="AT447" s="1036"/>
      <c r="AU447" s="1036"/>
      <c r="AV447" s="1036"/>
      <c r="AW447" s="1036"/>
      <c r="AX447" s="1036"/>
      <c r="AY447" s="1037"/>
    </row>
    <row r="448" spans="2:51" ht="12.75" customHeight="1">
      <c r="B448" s="2109" t="str">
        <f>+$B$7</f>
        <v>住宅・アパート</v>
      </c>
      <c r="C448" s="1045">
        <v>2300</v>
      </c>
      <c r="D448" s="1100"/>
      <c r="E448" s="1082"/>
      <c r="F448" s="1101"/>
      <c r="G448" s="1082"/>
      <c r="H448" s="1101"/>
      <c r="I448" s="2013"/>
      <c r="J448" s="1100"/>
      <c r="K448" s="1082"/>
      <c r="L448" s="1101"/>
      <c r="M448" s="1082"/>
      <c r="N448" s="1101"/>
      <c r="O448" s="1082"/>
      <c r="P448" s="1082"/>
      <c r="Q448" s="1082"/>
      <c r="R448" s="1082"/>
      <c r="S448" s="1082"/>
      <c r="T448" s="1082"/>
      <c r="U448" s="1082"/>
      <c r="V448" s="1127"/>
      <c r="W448" s="1120"/>
      <c r="X448" s="1127"/>
      <c r="Y448" s="1120"/>
      <c r="Z448" s="1127"/>
      <c r="AA448" s="1120"/>
      <c r="AB448" s="1082"/>
      <c r="AC448" s="1082"/>
      <c r="AD448" s="1082"/>
      <c r="AE448" s="1082"/>
      <c r="AF448" s="1082"/>
      <c r="AG448" s="1082"/>
      <c r="AH448" s="1035"/>
      <c r="AI448" s="1035"/>
      <c r="AJ448" s="1036"/>
      <c r="AK448" s="1036"/>
      <c r="AL448" s="1036"/>
      <c r="AM448" s="1036"/>
      <c r="AN448" s="1036"/>
      <c r="AO448" s="1036"/>
      <c r="AP448" s="1036"/>
      <c r="AQ448" s="1036"/>
      <c r="AR448" s="1036"/>
      <c r="AS448" s="1036"/>
      <c r="AT448" s="1036"/>
      <c r="AU448" s="1036"/>
      <c r="AV448" s="1036"/>
      <c r="AW448" s="1036"/>
      <c r="AX448" s="1036"/>
      <c r="AY448" s="1037"/>
    </row>
    <row r="449" spans="2:51" ht="12.75" customHeight="1">
      <c r="B449" s="2109" t="str">
        <f>+$B$8</f>
        <v>病院・ホテル</v>
      </c>
      <c r="C449" s="1045">
        <v>2300</v>
      </c>
      <c r="D449" s="1100"/>
      <c r="E449" s="1082"/>
      <c r="F449" s="1101"/>
      <c r="G449" s="1082"/>
      <c r="H449" s="1101"/>
      <c r="I449" s="2013"/>
      <c r="J449" s="1100"/>
      <c r="K449" s="1082"/>
      <c r="L449" s="1101"/>
      <c r="M449" s="1082"/>
      <c r="N449" s="1101"/>
      <c r="O449" s="1082"/>
      <c r="P449" s="1082"/>
      <c r="Q449" s="1082"/>
      <c r="R449" s="1082"/>
      <c r="S449" s="1082"/>
      <c r="T449" s="1082"/>
      <c r="U449" s="1082"/>
      <c r="V449" s="1127"/>
      <c r="W449" s="1120"/>
      <c r="X449" s="1127"/>
      <c r="Y449" s="1120"/>
      <c r="Z449" s="1127"/>
      <c r="AA449" s="1120"/>
      <c r="AB449" s="1082"/>
      <c r="AC449" s="1082"/>
      <c r="AD449" s="1082"/>
      <c r="AE449" s="1082"/>
      <c r="AF449" s="1082"/>
      <c r="AG449" s="1082"/>
      <c r="AH449" s="1035"/>
      <c r="AI449" s="1035"/>
      <c r="AJ449" s="1036"/>
      <c r="AK449" s="1036"/>
      <c r="AL449" s="1036"/>
      <c r="AM449" s="1036"/>
      <c r="AN449" s="1036"/>
      <c r="AO449" s="1036"/>
      <c r="AP449" s="1036"/>
      <c r="AQ449" s="1036"/>
      <c r="AR449" s="1036"/>
      <c r="AS449" s="1036"/>
      <c r="AT449" s="1036"/>
      <c r="AU449" s="1036"/>
      <c r="AV449" s="1036"/>
      <c r="AW449" s="1036"/>
      <c r="AX449" s="1036"/>
      <c r="AY449" s="1037"/>
    </row>
    <row r="450" spans="2:51" ht="12.75" customHeight="1">
      <c r="B450" s="2109" t="str">
        <f>+$B$9</f>
        <v>工場・倉庫・市場</v>
      </c>
      <c r="C450" s="1045">
        <v>2300</v>
      </c>
      <c r="D450" s="1100"/>
      <c r="E450" s="1082"/>
      <c r="F450" s="1101"/>
      <c r="G450" s="1082"/>
      <c r="H450" s="1101"/>
      <c r="I450" s="2013"/>
      <c r="J450" s="1100"/>
      <c r="K450" s="1082"/>
      <c r="L450" s="1101"/>
      <c r="M450" s="1082"/>
      <c r="N450" s="1101"/>
      <c r="O450" s="1082"/>
      <c r="P450" s="1082"/>
      <c r="Q450" s="1082"/>
      <c r="R450" s="1082"/>
      <c r="S450" s="1082"/>
      <c r="T450" s="1082"/>
      <c r="U450" s="1082"/>
      <c r="V450" s="1127"/>
      <c r="W450" s="1120"/>
      <c r="X450" s="1127"/>
      <c r="Y450" s="1120"/>
      <c r="Z450" s="1127"/>
      <c r="AA450" s="1120"/>
      <c r="AB450" s="1082"/>
      <c r="AC450" s="1082"/>
      <c r="AD450" s="1082"/>
      <c r="AE450" s="1082"/>
      <c r="AF450" s="1082"/>
      <c r="AG450" s="1082"/>
      <c r="AH450" s="1035"/>
      <c r="AI450" s="1035"/>
      <c r="AJ450" s="1036"/>
      <c r="AK450" s="1036"/>
      <c r="AL450" s="1036"/>
      <c r="AM450" s="1036"/>
      <c r="AN450" s="1036"/>
      <c r="AO450" s="1036"/>
      <c r="AP450" s="1036"/>
      <c r="AQ450" s="1036"/>
      <c r="AR450" s="1036"/>
      <c r="AS450" s="1036"/>
      <c r="AT450" s="1036"/>
      <c r="AU450" s="1036"/>
      <c r="AV450" s="1036"/>
      <c r="AW450" s="1036"/>
      <c r="AX450" s="1036"/>
      <c r="AY450" s="1037"/>
    </row>
    <row r="451" spans="2:51" ht="12.75" customHeight="1">
      <c r="B451" s="2110" t="str">
        <f>+$B$10</f>
        <v>劇場型建物</v>
      </c>
      <c r="C451" s="1045">
        <v>2300</v>
      </c>
      <c r="D451" s="2062"/>
      <c r="E451" s="1858"/>
      <c r="F451" s="2035"/>
      <c r="G451" s="1858"/>
      <c r="H451" s="2035"/>
      <c r="I451" s="2016"/>
      <c r="J451" s="1100"/>
      <c r="K451" s="1082"/>
      <c r="L451" s="1101"/>
      <c r="M451" s="1082"/>
      <c r="N451" s="1101"/>
      <c r="O451" s="1082"/>
      <c r="P451" s="1082"/>
      <c r="Q451" s="1082"/>
      <c r="R451" s="1082"/>
      <c r="S451" s="1082"/>
      <c r="T451" s="1082"/>
      <c r="U451" s="1082"/>
      <c r="V451" s="1127"/>
      <c r="W451" s="1120"/>
      <c r="X451" s="1127"/>
      <c r="Y451" s="1120"/>
      <c r="Z451" s="1127"/>
      <c r="AA451" s="1120"/>
      <c r="AB451" s="1082"/>
      <c r="AC451" s="1082"/>
      <c r="AD451" s="1082"/>
      <c r="AE451" s="1082"/>
      <c r="AF451" s="1082"/>
      <c r="AG451" s="1082"/>
      <c r="AH451" s="1035"/>
      <c r="AI451" s="1035"/>
      <c r="AJ451" s="1036"/>
      <c r="AK451" s="1036"/>
      <c r="AL451" s="1036"/>
      <c r="AM451" s="1036"/>
      <c r="AN451" s="1036"/>
      <c r="AO451" s="1036"/>
      <c r="AP451" s="1036"/>
      <c r="AQ451" s="1036"/>
      <c r="AR451" s="1036"/>
      <c r="AS451" s="1036"/>
      <c r="AT451" s="1036"/>
      <c r="AU451" s="1036"/>
      <c r="AV451" s="1036"/>
      <c r="AW451" s="1036"/>
      <c r="AX451" s="1036"/>
      <c r="AY451" s="1037"/>
    </row>
    <row r="452" spans="2:51" ht="12.75" customHeight="1">
      <c r="B452" s="1008" t="s">
        <v>359</v>
      </c>
      <c r="C452" s="1121" t="s">
        <v>633</v>
      </c>
      <c r="D452" s="1014" t="s">
        <v>634</v>
      </c>
      <c r="E452" s="1015"/>
      <c r="F452" s="1015"/>
      <c r="G452" s="1015"/>
      <c r="H452" s="1015"/>
      <c r="I452" s="1017"/>
      <c r="J452" s="1014" t="s">
        <v>635</v>
      </c>
      <c r="K452" s="1015"/>
      <c r="L452" s="1015"/>
      <c r="M452" s="1015"/>
      <c r="N452" s="1015"/>
      <c r="O452" s="1016"/>
      <c r="P452" s="1013" t="s">
        <v>636</v>
      </c>
      <c r="Q452" s="1015"/>
      <c r="R452" s="1015"/>
      <c r="S452" s="1015"/>
      <c r="T452" s="1015"/>
      <c r="U452" s="1017"/>
      <c r="V452" s="1013" t="s">
        <v>637</v>
      </c>
      <c r="W452" s="1015"/>
      <c r="X452" s="1015"/>
      <c r="Y452" s="1015"/>
      <c r="Z452" s="1015"/>
      <c r="AA452" s="1017"/>
      <c r="AB452" s="1103"/>
      <c r="AC452" s="1098"/>
      <c r="AD452" s="1098"/>
      <c r="AE452" s="1098"/>
      <c r="AF452" s="1098"/>
      <c r="AG452" s="1098"/>
      <c r="AH452" s="1020"/>
      <c r="AI452" s="1020"/>
      <c r="AJ452" s="1021"/>
      <c r="AK452" s="1021"/>
      <c r="AL452" s="1021"/>
      <c r="AM452" s="1021"/>
      <c r="AN452" s="1021"/>
      <c r="AO452" s="1021"/>
      <c r="AP452" s="1021"/>
      <c r="AQ452" s="1021"/>
      <c r="AR452" s="1021"/>
      <c r="AS452" s="1021"/>
      <c r="AT452" s="1021"/>
      <c r="AU452" s="1021"/>
      <c r="AV452" s="1021"/>
      <c r="AW452" s="1021"/>
      <c r="AX452" s="1021"/>
      <c r="AY452" s="1022"/>
    </row>
    <row r="453" spans="2:51" ht="12.75" customHeight="1">
      <c r="B453" s="1023"/>
      <c r="C453" s="1024" t="s">
        <v>638</v>
      </c>
      <c r="D453" s="1029" t="s">
        <v>366</v>
      </c>
      <c r="E453" s="1030"/>
      <c r="F453" s="1030" t="s">
        <v>367</v>
      </c>
      <c r="G453" s="1030"/>
      <c r="H453" s="1030" t="s">
        <v>368</v>
      </c>
      <c r="I453" s="1032"/>
      <c r="J453" s="1029" t="s">
        <v>366</v>
      </c>
      <c r="K453" s="1030"/>
      <c r="L453" s="1030" t="s">
        <v>367</v>
      </c>
      <c r="M453" s="1030"/>
      <c r="N453" s="1030" t="s">
        <v>368</v>
      </c>
      <c r="O453" s="1031"/>
      <c r="P453" s="1028" t="s">
        <v>366</v>
      </c>
      <c r="Q453" s="1030"/>
      <c r="R453" s="1030" t="s">
        <v>367</v>
      </c>
      <c r="S453" s="1030"/>
      <c r="T453" s="1030" t="s">
        <v>368</v>
      </c>
      <c r="U453" s="1032"/>
      <c r="V453" s="1028" t="s">
        <v>366</v>
      </c>
      <c r="W453" s="1030"/>
      <c r="X453" s="1030" t="s">
        <v>367</v>
      </c>
      <c r="Y453" s="1030"/>
      <c r="Z453" s="1030" t="s">
        <v>368</v>
      </c>
      <c r="AA453" s="1032"/>
      <c r="AB453" s="1478" t="s">
        <v>1378</v>
      </c>
      <c r="AC453" s="1082"/>
      <c r="AD453" s="1082"/>
      <c r="AE453" s="1082"/>
      <c r="AF453" s="1082"/>
      <c r="AG453" s="1082"/>
      <c r="AH453" s="1035"/>
      <c r="AI453" s="1035"/>
      <c r="AJ453" s="1036"/>
      <c r="AK453" s="1036"/>
      <c r="AL453" s="1036"/>
      <c r="AM453" s="1036"/>
      <c r="AN453" s="1036"/>
      <c r="AO453" s="1036"/>
      <c r="AP453" s="1036"/>
      <c r="AQ453" s="1036"/>
      <c r="AR453" s="1036"/>
      <c r="AS453" s="1036"/>
      <c r="AT453" s="1036"/>
      <c r="AU453" s="1036"/>
      <c r="AV453" s="1036"/>
      <c r="AW453" s="1036"/>
      <c r="AX453" s="1036"/>
      <c r="AY453" s="1037"/>
    </row>
    <row r="454" spans="2:51" ht="12.75" customHeight="1">
      <c r="B454" s="2108" t="str">
        <f>+$B$6</f>
        <v>事務所・店舗・百貨店</v>
      </c>
      <c r="C454" s="2258">
        <v>574560</v>
      </c>
      <c r="D454" s="1472" t="s">
        <v>1368</v>
      </c>
      <c r="E454" s="1470" t="s">
        <v>1368</v>
      </c>
      <c r="F454" s="1039" t="s">
        <v>639</v>
      </c>
      <c r="G454" s="1039">
        <v>1</v>
      </c>
      <c r="H454" s="1039" t="s">
        <v>640</v>
      </c>
      <c r="I454" s="1040">
        <v>0.65</v>
      </c>
      <c r="J454" s="1038" t="s">
        <v>641</v>
      </c>
      <c r="K454" s="1039">
        <v>1.1000000000000001</v>
      </c>
      <c r="L454" s="1470" t="s">
        <v>1367</v>
      </c>
      <c r="M454" s="1039">
        <v>1</v>
      </c>
      <c r="N454" s="1039" t="s">
        <v>643</v>
      </c>
      <c r="O454" s="1042">
        <v>0.85</v>
      </c>
      <c r="P454" s="1041" t="s">
        <v>644</v>
      </c>
      <c r="Q454" s="1039">
        <v>1.7</v>
      </c>
      <c r="R454" s="1039" t="s">
        <v>645</v>
      </c>
      <c r="S454" s="1039">
        <v>1</v>
      </c>
      <c r="T454" s="1039"/>
      <c r="U454" s="1040"/>
      <c r="V454" s="1165">
        <v>100</v>
      </c>
      <c r="W454" s="1039">
        <v>1.6</v>
      </c>
      <c r="X454" s="1092">
        <v>75</v>
      </c>
      <c r="Y454" s="1039">
        <v>1</v>
      </c>
      <c r="Z454" s="1092">
        <v>57</v>
      </c>
      <c r="AA454" s="1040">
        <v>0.65</v>
      </c>
      <c r="AB454" s="1081"/>
      <c r="AC454" s="1082"/>
      <c r="AD454" s="1082"/>
      <c r="AE454" s="1082"/>
      <c r="AF454" s="1082"/>
      <c r="AG454" s="1082"/>
      <c r="AH454" s="1035"/>
      <c r="AI454" s="1035"/>
      <c r="AJ454" s="1036"/>
      <c r="AK454" s="1036"/>
      <c r="AL454" s="1036"/>
      <c r="AM454" s="1036"/>
      <c r="AN454" s="1036"/>
      <c r="AO454" s="1036"/>
      <c r="AP454" s="1036"/>
      <c r="AQ454" s="1036"/>
      <c r="AR454" s="1036"/>
      <c r="AS454" s="1036"/>
      <c r="AT454" s="1036"/>
      <c r="AU454" s="1036"/>
      <c r="AV454" s="1036"/>
      <c r="AW454" s="1036"/>
      <c r="AX454" s="1036"/>
      <c r="AY454" s="1037"/>
    </row>
    <row r="455" spans="2:51" ht="12.75" customHeight="1">
      <c r="B455" s="2109" t="str">
        <f>+$B$7</f>
        <v>住宅・アパート</v>
      </c>
      <c r="C455" s="2119">
        <f>+C454</f>
        <v>574560</v>
      </c>
      <c r="D455" s="2131" t="s">
        <v>1195</v>
      </c>
      <c r="E455" s="2121" t="s">
        <v>1195</v>
      </c>
      <c r="F455" s="2121" t="s">
        <v>639</v>
      </c>
      <c r="G455" s="2121">
        <v>1</v>
      </c>
      <c r="H455" s="2121" t="s">
        <v>640</v>
      </c>
      <c r="I455" s="2123">
        <v>0.65</v>
      </c>
      <c r="J455" s="2131" t="s">
        <v>641</v>
      </c>
      <c r="K455" s="2121">
        <v>1.1000000000000001</v>
      </c>
      <c r="L455" s="2121" t="s">
        <v>642</v>
      </c>
      <c r="M455" s="2121">
        <v>1</v>
      </c>
      <c r="N455" s="2121" t="s">
        <v>643</v>
      </c>
      <c r="O455" s="2135">
        <v>0.85</v>
      </c>
      <c r="P455" s="2124" t="s">
        <v>644</v>
      </c>
      <c r="Q455" s="2121">
        <v>1.7</v>
      </c>
      <c r="R455" s="2121" t="s">
        <v>645</v>
      </c>
      <c r="S455" s="2121">
        <v>1</v>
      </c>
      <c r="T455" s="2121"/>
      <c r="U455" s="2123"/>
      <c r="V455" s="2210">
        <v>100</v>
      </c>
      <c r="W455" s="2121">
        <v>1.6</v>
      </c>
      <c r="X455" s="2139">
        <v>75</v>
      </c>
      <c r="Y455" s="2121">
        <v>1</v>
      </c>
      <c r="Z455" s="2139">
        <v>57</v>
      </c>
      <c r="AA455" s="2123">
        <v>0.65</v>
      </c>
      <c r="AB455" s="1081"/>
      <c r="AC455" s="1082"/>
      <c r="AD455" s="1082"/>
      <c r="AE455" s="1082"/>
      <c r="AF455" s="1082"/>
      <c r="AG455" s="1082"/>
      <c r="AH455" s="1035"/>
      <c r="AI455" s="1035"/>
      <c r="AJ455" s="1036"/>
      <c r="AK455" s="1036"/>
      <c r="AL455" s="1036"/>
      <c r="AM455" s="1036"/>
      <c r="AN455" s="1036"/>
      <c r="AO455" s="1036"/>
      <c r="AP455" s="1036"/>
      <c r="AQ455" s="1036"/>
      <c r="AR455" s="1036"/>
      <c r="AS455" s="1036"/>
      <c r="AT455" s="1036"/>
      <c r="AU455" s="1036"/>
      <c r="AV455" s="1036"/>
      <c r="AW455" s="1036"/>
      <c r="AX455" s="1036"/>
      <c r="AY455" s="1037"/>
    </row>
    <row r="456" spans="2:51" ht="12.75" customHeight="1">
      <c r="B456" s="2109" t="str">
        <f>+$B$8</f>
        <v>病院・ホテル</v>
      </c>
      <c r="C456" s="1045">
        <v>574560</v>
      </c>
      <c r="D456" s="1046" t="s">
        <v>1195</v>
      </c>
      <c r="E456" s="1047" t="s">
        <v>1195</v>
      </c>
      <c r="F456" s="1047" t="s">
        <v>639</v>
      </c>
      <c r="G456" s="1047">
        <v>1</v>
      </c>
      <c r="H456" s="1047" t="s">
        <v>640</v>
      </c>
      <c r="I456" s="1048">
        <v>0.65</v>
      </c>
      <c r="J456" s="1046" t="s">
        <v>641</v>
      </c>
      <c r="K456" s="1047">
        <v>1.1000000000000001</v>
      </c>
      <c r="L456" s="1047" t="s">
        <v>642</v>
      </c>
      <c r="M456" s="1047">
        <v>1</v>
      </c>
      <c r="N456" s="1047" t="s">
        <v>643</v>
      </c>
      <c r="O456" s="1053">
        <v>0.85</v>
      </c>
      <c r="P456" s="1056" t="s">
        <v>644</v>
      </c>
      <c r="Q456" s="1047">
        <v>1.7</v>
      </c>
      <c r="R456" s="1047" t="s">
        <v>645</v>
      </c>
      <c r="S456" s="1047">
        <v>1</v>
      </c>
      <c r="T456" s="1047"/>
      <c r="U456" s="1048"/>
      <c r="V456" s="1049">
        <v>100</v>
      </c>
      <c r="W456" s="1047">
        <v>1.6</v>
      </c>
      <c r="X456" s="1051">
        <v>75</v>
      </c>
      <c r="Y456" s="1047">
        <v>1</v>
      </c>
      <c r="Z456" s="1051">
        <v>57</v>
      </c>
      <c r="AA456" s="1048">
        <v>0.65</v>
      </c>
      <c r="AB456" s="1081"/>
      <c r="AC456" s="1082"/>
      <c r="AD456" s="1082"/>
      <c r="AE456" s="1082"/>
      <c r="AF456" s="1082"/>
      <c r="AG456" s="1082"/>
      <c r="AH456" s="1035"/>
      <c r="AI456" s="1035"/>
      <c r="AJ456" s="1036"/>
      <c r="AK456" s="1036"/>
      <c r="AL456" s="1036"/>
      <c r="AM456" s="1036"/>
      <c r="AN456" s="1036"/>
      <c r="AO456" s="1036"/>
      <c r="AP456" s="1036"/>
      <c r="AQ456" s="1036"/>
      <c r="AR456" s="1036"/>
      <c r="AS456" s="1036"/>
      <c r="AT456" s="1036"/>
      <c r="AU456" s="1036"/>
      <c r="AV456" s="1036"/>
      <c r="AW456" s="1036"/>
      <c r="AX456" s="1036"/>
      <c r="AY456" s="1037"/>
    </row>
    <row r="457" spans="2:51" ht="12.75" customHeight="1">
      <c r="B457" s="2109" t="str">
        <f>+$B$9</f>
        <v>工場・倉庫・市場</v>
      </c>
      <c r="C457" s="2119">
        <f>+C454</f>
        <v>574560</v>
      </c>
      <c r="D457" s="2131" t="s">
        <v>1195</v>
      </c>
      <c r="E457" s="2121" t="s">
        <v>1195</v>
      </c>
      <c r="F457" s="2121" t="s">
        <v>639</v>
      </c>
      <c r="G457" s="2121">
        <v>1</v>
      </c>
      <c r="H457" s="2121" t="s">
        <v>640</v>
      </c>
      <c r="I457" s="2123">
        <v>0.65</v>
      </c>
      <c r="J457" s="2131" t="s">
        <v>641</v>
      </c>
      <c r="K457" s="2121">
        <v>1.1000000000000001</v>
      </c>
      <c r="L457" s="2121" t="s">
        <v>642</v>
      </c>
      <c r="M457" s="2121">
        <v>1</v>
      </c>
      <c r="N457" s="2121" t="s">
        <v>643</v>
      </c>
      <c r="O457" s="2135">
        <v>0.85</v>
      </c>
      <c r="P457" s="2124" t="s">
        <v>644</v>
      </c>
      <c r="Q457" s="2121">
        <v>1.7</v>
      </c>
      <c r="R457" s="2121" t="s">
        <v>645</v>
      </c>
      <c r="S457" s="2121">
        <v>1</v>
      </c>
      <c r="T457" s="2121"/>
      <c r="U457" s="2123"/>
      <c r="V457" s="2210">
        <v>100</v>
      </c>
      <c r="W457" s="2121">
        <v>1.6</v>
      </c>
      <c r="X457" s="2139">
        <v>75</v>
      </c>
      <c r="Y457" s="2121">
        <v>1</v>
      </c>
      <c r="Z457" s="2139">
        <v>57</v>
      </c>
      <c r="AA457" s="2123">
        <v>0.65</v>
      </c>
      <c r="AB457" s="1081"/>
      <c r="AC457" s="1082"/>
      <c r="AD457" s="1082"/>
      <c r="AE457" s="1082"/>
      <c r="AF457" s="1082"/>
      <c r="AG457" s="1082"/>
      <c r="AH457" s="1035"/>
      <c r="AI457" s="1035"/>
      <c r="AJ457" s="1036"/>
      <c r="AK457" s="1036"/>
      <c r="AL457" s="1036"/>
      <c r="AM457" s="1036"/>
      <c r="AN457" s="1036"/>
      <c r="AO457" s="1036"/>
      <c r="AP457" s="1036"/>
      <c r="AQ457" s="1036"/>
      <c r="AR457" s="1036"/>
      <c r="AS457" s="1036"/>
      <c r="AT457" s="1036"/>
      <c r="AU457" s="1036"/>
      <c r="AV457" s="1036"/>
      <c r="AW457" s="1036"/>
      <c r="AX457" s="1036"/>
      <c r="AY457" s="1037"/>
    </row>
    <row r="458" spans="2:51" ht="12.75" customHeight="1">
      <c r="B458" s="2110" t="str">
        <f>+$B$10</f>
        <v>劇場型建物</v>
      </c>
      <c r="C458" s="2158">
        <f>+C454</f>
        <v>574560</v>
      </c>
      <c r="D458" s="2159" t="s">
        <v>1195</v>
      </c>
      <c r="E458" s="2127" t="s">
        <v>1195</v>
      </c>
      <c r="F458" s="2127" t="s">
        <v>639</v>
      </c>
      <c r="G458" s="2127">
        <v>1</v>
      </c>
      <c r="H458" s="2127" t="s">
        <v>640</v>
      </c>
      <c r="I458" s="2129">
        <v>0.65</v>
      </c>
      <c r="J458" s="2159" t="s">
        <v>641</v>
      </c>
      <c r="K458" s="2127">
        <v>1.1000000000000001</v>
      </c>
      <c r="L458" s="2127" t="s">
        <v>642</v>
      </c>
      <c r="M458" s="2127">
        <v>1</v>
      </c>
      <c r="N458" s="2127" t="s">
        <v>643</v>
      </c>
      <c r="O458" s="2181">
        <v>0.85</v>
      </c>
      <c r="P458" s="2130" t="s">
        <v>644</v>
      </c>
      <c r="Q458" s="2127">
        <v>1.7</v>
      </c>
      <c r="R458" s="2127" t="s">
        <v>645</v>
      </c>
      <c r="S458" s="2127">
        <v>1</v>
      </c>
      <c r="T458" s="2127"/>
      <c r="U458" s="2129"/>
      <c r="V458" s="2214">
        <v>100</v>
      </c>
      <c r="W458" s="2127">
        <v>1.6</v>
      </c>
      <c r="X458" s="2212">
        <v>75</v>
      </c>
      <c r="Y458" s="2127">
        <v>1</v>
      </c>
      <c r="Z458" s="2212">
        <v>57</v>
      </c>
      <c r="AA458" s="2129">
        <v>0.65</v>
      </c>
      <c r="AB458" s="1081"/>
      <c r="AC458" s="1082"/>
      <c r="AD458" s="1082"/>
      <c r="AE458" s="1082"/>
      <c r="AF458" s="1082"/>
      <c r="AG458" s="1082"/>
      <c r="AH458" s="1035"/>
      <c r="AI458" s="1035"/>
      <c r="AJ458" s="1036"/>
      <c r="AK458" s="1036"/>
      <c r="AL458" s="1036"/>
      <c r="AM458" s="1036"/>
      <c r="AN458" s="1036"/>
      <c r="AO458" s="1036"/>
      <c r="AP458" s="1036"/>
      <c r="AQ458" s="1036"/>
      <c r="AR458" s="1036"/>
      <c r="AS458" s="1036"/>
      <c r="AT458" s="1036"/>
      <c r="AU458" s="1036"/>
      <c r="AV458" s="1036"/>
      <c r="AW458" s="1036"/>
      <c r="AX458" s="1036"/>
      <c r="AY458" s="1037"/>
    </row>
    <row r="459" spans="2:51" ht="12.75" customHeight="1">
      <c r="B459" s="1008" t="s">
        <v>359</v>
      </c>
      <c r="C459" s="1121" t="s">
        <v>646</v>
      </c>
      <c r="D459" s="1014" t="s">
        <v>647</v>
      </c>
      <c r="E459" s="1015"/>
      <c r="F459" s="1015"/>
      <c r="G459" s="1015"/>
      <c r="H459" s="1015"/>
      <c r="I459" s="1016"/>
      <c r="J459" s="1013" t="s">
        <v>648</v>
      </c>
      <c r="K459" s="1015"/>
      <c r="L459" s="1015"/>
      <c r="M459" s="1015"/>
      <c r="N459" s="1015"/>
      <c r="O459" s="1017"/>
      <c r="P459" s="1014" t="s">
        <v>649</v>
      </c>
      <c r="Q459" s="1015"/>
      <c r="R459" s="1015"/>
      <c r="S459" s="1015"/>
      <c r="T459" s="1015"/>
      <c r="U459" s="1016"/>
      <c r="V459" s="1013" t="s">
        <v>650</v>
      </c>
      <c r="W459" s="1015"/>
      <c r="X459" s="1015"/>
      <c r="Y459" s="1015"/>
      <c r="Z459" s="1015"/>
      <c r="AA459" s="1017"/>
      <c r="AB459" s="1014" t="s">
        <v>651</v>
      </c>
      <c r="AC459" s="1015"/>
      <c r="AD459" s="1015"/>
      <c r="AE459" s="1015"/>
      <c r="AF459" s="1015"/>
      <c r="AG459" s="1017"/>
      <c r="AH459" s="1020"/>
      <c r="AI459" s="1020"/>
      <c r="AJ459" s="1021"/>
      <c r="AK459" s="1021"/>
      <c r="AL459" s="1021"/>
      <c r="AM459" s="1021"/>
      <c r="AN459" s="1021"/>
      <c r="AO459" s="1021"/>
      <c r="AP459" s="1021"/>
      <c r="AQ459" s="1021"/>
      <c r="AR459" s="1021"/>
      <c r="AS459" s="1021"/>
      <c r="AT459" s="1021"/>
      <c r="AU459" s="1021"/>
      <c r="AV459" s="1021"/>
      <c r="AW459" s="1021"/>
      <c r="AX459" s="1021"/>
      <c r="AY459" s="1022"/>
    </row>
    <row r="460" spans="2:51" ht="12.75" customHeight="1">
      <c r="B460" s="1023"/>
      <c r="C460" s="1024" t="s">
        <v>652</v>
      </c>
      <c r="D460" s="1029" t="s">
        <v>366</v>
      </c>
      <c r="E460" s="1030"/>
      <c r="F460" s="1030" t="s">
        <v>367</v>
      </c>
      <c r="G460" s="1030"/>
      <c r="H460" s="1030" t="s">
        <v>368</v>
      </c>
      <c r="I460" s="1031"/>
      <c r="J460" s="1028" t="s">
        <v>366</v>
      </c>
      <c r="K460" s="1030"/>
      <c r="L460" s="1030" t="s">
        <v>367</v>
      </c>
      <c r="M460" s="1030"/>
      <c r="N460" s="1030" t="s">
        <v>368</v>
      </c>
      <c r="O460" s="1032"/>
      <c r="P460" s="1029" t="s">
        <v>366</v>
      </c>
      <c r="Q460" s="1030"/>
      <c r="R460" s="1030" t="s">
        <v>367</v>
      </c>
      <c r="S460" s="1030"/>
      <c r="T460" s="1030" t="s">
        <v>368</v>
      </c>
      <c r="U460" s="1031"/>
      <c r="V460" s="1028" t="s">
        <v>366</v>
      </c>
      <c r="W460" s="1030"/>
      <c r="X460" s="1030" t="s">
        <v>367</v>
      </c>
      <c r="Y460" s="1030"/>
      <c r="Z460" s="1030" t="s">
        <v>368</v>
      </c>
      <c r="AA460" s="1032"/>
      <c r="AB460" s="1029" t="s">
        <v>366</v>
      </c>
      <c r="AC460" s="1030"/>
      <c r="AD460" s="1030" t="s">
        <v>366</v>
      </c>
      <c r="AE460" s="1030"/>
      <c r="AF460" s="1030" t="s">
        <v>367</v>
      </c>
      <c r="AG460" s="1032"/>
      <c r="AH460" s="1035"/>
      <c r="AI460" s="1035"/>
      <c r="AJ460" s="1036"/>
      <c r="AK460" s="1036"/>
      <c r="AL460" s="1036"/>
      <c r="AM460" s="1036"/>
      <c r="AN460" s="1036"/>
      <c r="AO460" s="1036"/>
      <c r="AP460" s="1036"/>
      <c r="AQ460" s="1036"/>
      <c r="AR460" s="1036"/>
      <c r="AS460" s="1036"/>
      <c r="AT460" s="1036"/>
      <c r="AU460" s="1036"/>
      <c r="AV460" s="1036"/>
      <c r="AW460" s="1036"/>
      <c r="AX460" s="1036"/>
      <c r="AY460" s="1037"/>
    </row>
    <row r="461" spans="2:51" ht="12.75" customHeight="1">
      <c r="B461" s="2108" t="str">
        <f>+$B$6</f>
        <v>事務所・店舗・百貨店</v>
      </c>
      <c r="C461" s="2258">
        <v>5646950</v>
      </c>
      <c r="D461" s="1043">
        <v>1000</v>
      </c>
      <c r="E461" s="1039">
        <v>1.2</v>
      </c>
      <c r="F461" s="1044">
        <v>600</v>
      </c>
      <c r="G461" s="1039">
        <v>1</v>
      </c>
      <c r="H461" s="1044">
        <v>400</v>
      </c>
      <c r="I461" s="1042">
        <v>0.92</v>
      </c>
      <c r="J461" s="1083">
        <v>13</v>
      </c>
      <c r="K461" s="1039">
        <v>1.1499999999999999</v>
      </c>
      <c r="L461" s="1044">
        <v>8</v>
      </c>
      <c r="M461" s="1039">
        <v>1</v>
      </c>
      <c r="N461" s="1044">
        <v>5</v>
      </c>
      <c r="O461" s="1040">
        <v>0.9</v>
      </c>
      <c r="P461" s="1043">
        <v>105</v>
      </c>
      <c r="Q461" s="1039">
        <v>1.27</v>
      </c>
      <c r="R461" s="1044">
        <v>60</v>
      </c>
      <c r="S461" s="1039">
        <v>1</v>
      </c>
      <c r="T461" s="1044">
        <v>45</v>
      </c>
      <c r="U461" s="1042">
        <v>0.95</v>
      </c>
      <c r="V461" s="1041" t="s">
        <v>653</v>
      </c>
      <c r="W461" s="1039">
        <v>1.3</v>
      </c>
      <c r="X461" s="1039" t="s">
        <v>654</v>
      </c>
      <c r="Y461" s="1039">
        <v>1</v>
      </c>
      <c r="Z461" s="1039" t="s">
        <v>382</v>
      </c>
      <c r="AA461" s="1040">
        <v>0.95</v>
      </c>
      <c r="AB461" s="1091" t="s">
        <v>655</v>
      </c>
      <c r="AC461" s="1039">
        <v>1.06</v>
      </c>
      <c r="AD461" s="1092" t="s">
        <v>656</v>
      </c>
      <c r="AE461" s="1039">
        <v>1.03</v>
      </c>
      <c r="AF461" s="1039" t="s">
        <v>730</v>
      </c>
      <c r="AG461" s="1040">
        <v>1</v>
      </c>
      <c r="AH461" s="1035"/>
      <c r="AI461" s="1035"/>
      <c r="AJ461" s="1036"/>
      <c r="AK461" s="1036"/>
      <c r="AL461" s="1036"/>
      <c r="AM461" s="1036"/>
      <c r="AN461" s="1036"/>
      <c r="AO461" s="1036"/>
      <c r="AP461" s="1036"/>
      <c r="AQ461" s="1036"/>
      <c r="AR461" s="1036"/>
      <c r="AS461" s="1036"/>
      <c r="AT461" s="1036"/>
      <c r="AU461" s="1036"/>
      <c r="AV461" s="1036"/>
      <c r="AW461" s="1036"/>
      <c r="AX461" s="1036"/>
      <c r="AY461" s="1037"/>
    </row>
    <row r="462" spans="2:51" ht="12.75" customHeight="1">
      <c r="B462" s="2109" t="str">
        <f>+$B$7</f>
        <v>住宅・アパート</v>
      </c>
      <c r="C462" s="1045">
        <v>5646950</v>
      </c>
      <c r="D462" s="1054">
        <v>1000</v>
      </c>
      <c r="E462" s="1047">
        <v>1.2</v>
      </c>
      <c r="F462" s="1055">
        <v>600</v>
      </c>
      <c r="G462" s="1047">
        <v>1</v>
      </c>
      <c r="H462" s="1055">
        <v>400</v>
      </c>
      <c r="I462" s="1053">
        <v>0.92</v>
      </c>
      <c r="J462" s="1084">
        <v>13</v>
      </c>
      <c r="K462" s="1047">
        <v>1.1499999999999999</v>
      </c>
      <c r="L462" s="1055">
        <v>8</v>
      </c>
      <c r="M462" s="1047">
        <v>1</v>
      </c>
      <c r="N462" s="1055">
        <v>5</v>
      </c>
      <c r="O462" s="1048">
        <v>0.9</v>
      </c>
      <c r="P462" s="1054">
        <v>105</v>
      </c>
      <c r="Q462" s="1047">
        <v>1.27</v>
      </c>
      <c r="R462" s="1055">
        <v>60</v>
      </c>
      <c r="S462" s="1047">
        <v>1</v>
      </c>
      <c r="T462" s="1055">
        <v>45</v>
      </c>
      <c r="U462" s="1053">
        <v>0.95</v>
      </c>
      <c r="V462" s="1056" t="s">
        <v>653</v>
      </c>
      <c r="W462" s="1047">
        <v>1.3</v>
      </c>
      <c r="X462" s="1047" t="s">
        <v>654</v>
      </c>
      <c r="Y462" s="1047">
        <v>1</v>
      </c>
      <c r="Z462" s="1047" t="s">
        <v>382</v>
      </c>
      <c r="AA462" s="1048">
        <v>0.95</v>
      </c>
      <c r="AB462" s="1050" t="s">
        <v>657</v>
      </c>
      <c r="AC462" s="1047">
        <v>1.06</v>
      </c>
      <c r="AD462" s="1051" t="s">
        <v>658</v>
      </c>
      <c r="AE462" s="1047">
        <v>1.03</v>
      </c>
      <c r="AF462" s="1047" t="s">
        <v>730</v>
      </c>
      <c r="AG462" s="1048">
        <v>1</v>
      </c>
      <c r="AH462" s="1035"/>
      <c r="AI462" s="1035"/>
      <c r="AJ462" s="1036"/>
      <c r="AK462" s="1036"/>
      <c r="AL462" s="1036"/>
      <c r="AM462" s="1036"/>
      <c r="AN462" s="1036"/>
      <c r="AO462" s="1036"/>
      <c r="AP462" s="1036"/>
      <c r="AQ462" s="1036"/>
      <c r="AR462" s="1036"/>
      <c r="AS462" s="1036"/>
      <c r="AT462" s="1036"/>
      <c r="AU462" s="1036"/>
      <c r="AV462" s="1036"/>
      <c r="AW462" s="1036"/>
      <c r="AX462" s="1036"/>
      <c r="AY462" s="1037"/>
    </row>
    <row r="463" spans="2:51" ht="12.75" customHeight="1">
      <c r="B463" s="2109" t="str">
        <f>+$B$8</f>
        <v>病院・ホテル</v>
      </c>
      <c r="C463" s="1045">
        <v>5646950</v>
      </c>
      <c r="D463" s="1054">
        <v>1000</v>
      </c>
      <c r="E463" s="1047">
        <v>1.2</v>
      </c>
      <c r="F463" s="1055">
        <v>600</v>
      </c>
      <c r="G463" s="1047">
        <v>1</v>
      </c>
      <c r="H463" s="1055">
        <v>400</v>
      </c>
      <c r="I463" s="1053">
        <v>0.92</v>
      </c>
      <c r="J463" s="1084">
        <v>13</v>
      </c>
      <c r="K463" s="1047">
        <v>1.1499999999999999</v>
      </c>
      <c r="L463" s="1055">
        <v>8</v>
      </c>
      <c r="M463" s="1047">
        <v>1</v>
      </c>
      <c r="N463" s="1055">
        <v>5</v>
      </c>
      <c r="O463" s="1048">
        <v>0.9</v>
      </c>
      <c r="P463" s="1054">
        <v>105</v>
      </c>
      <c r="Q463" s="1047">
        <v>1.27</v>
      </c>
      <c r="R463" s="1055">
        <v>60</v>
      </c>
      <c r="S463" s="1047">
        <v>1</v>
      </c>
      <c r="T463" s="1055">
        <v>45</v>
      </c>
      <c r="U463" s="1053">
        <v>0.95</v>
      </c>
      <c r="V463" s="1056" t="s">
        <v>653</v>
      </c>
      <c r="W463" s="1047">
        <v>1.3</v>
      </c>
      <c r="X463" s="1047" t="s">
        <v>654</v>
      </c>
      <c r="Y463" s="1047">
        <v>1</v>
      </c>
      <c r="Z463" s="1047" t="s">
        <v>382</v>
      </c>
      <c r="AA463" s="1048">
        <v>0.95</v>
      </c>
      <c r="AB463" s="1050" t="s">
        <v>657</v>
      </c>
      <c r="AC463" s="1047">
        <v>1.06</v>
      </c>
      <c r="AD463" s="1051" t="s">
        <v>658</v>
      </c>
      <c r="AE463" s="1047">
        <v>1.03</v>
      </c>
      <c r="AF463" s="1047" t="s">
        <v>730</v>
      </c>
      <c r="AG463" s="1048">
        <v>1</v>
      </c>
      <c r="AH463" s="1035"/>
      <c r="AI463" s="1035"/>
      <c r="AJ463" s="1036"/>
      <c r="AK463" s="1036"/>
      <c r="AL463" s="1036"/>
      <c r="AM463" s="1036"/>
      <c r="AN463" s="1036"/>
      <c r="AO463" s="1036"/>
      <c r="AP463" s="1036"/>
      <c r="AQ463" s="1036"/>
      <c r="AR463" s="1036"/>
      <c r="AS463" s="1036"/>
      <c r="AT463" s="1036"/>
      <c r="AU463" s="1036"/>
      <c r="AV463" s="1036"/>
      <c r="AW463" s="1036"/>
      <c r="AX463" s="1036"/>
      <c r="AY463" s="1037"/>
    </row>
    <row r="464" spans="2:51" ht="12.75" customHeight="1">
      <c r="B464" s="2109" t="str">
        <f>+$B$9</f>
        <v>工場・倉庫・市場</v>
      </c>
      <c r="C464" s="1045">
        <v>5646950</v>
      </c>
      <c r="D464" s="1054">
        <v>1000</v>
      </c>
      <c r="E464" s="1047">
        <v>1.2</v>
      </c>
      <c r="F464" s="1055">
        <v>600</v>
      </c>
      <c r="G464" s="1047">
        <v>1</v>
      </c>
      <c r="H464" s="1055">
        <v>400</v>
      </c>
      <c r="I464" s="1053">
        <v>0.92</v>
      </c>
      <c r="J464" s="1084">
        <v>13</v>
      </c>
      <c r="K464" s="1047">
        <v>1.1499999999999999</v>
      </c>
      <c r="L464" s="1055">
        <v>8</v>
      </c>
      <c r="M464" s="1047">
        <v>1</v>
      </c>
      <c r="N464" s="1055">
        <v>5</v>
      </c>
      <c r="O464" s="1048">
        <v>0.9</v>
      </c>
      <c r="P464" s="1054">
        <v>105</v>
      </c>
      <c r="Q464" s="1047">
        <v>1.27</v>
      </c>
      <c r="R464" s="1055">
        <v>60</v>
      </c>
      <c r="S464" s="1047">
        <v>1</v>
      </c>
      <c r="T464" s="1055">
        <v>45</v>
      </c>
      <c r="U464" s="1053">
        <v>0.95</v>
      </c>
      <c r="V464" s="1056" t="s">
        <v>653</v>
      </c>
      <c r="W464" s="1047">
        <v>1.3</v>
      </c>
      <c r="X464" s="1047" t="s">
        <v>654</v>
      </c>
      <c r="Y464" s="1047">
        <v>1</v>
      </c>
      <c r="Z464" s="1047" t="s">
        <v>382</v>
      </c>
      <c r="AA464" s="1048">
        <v>0.95</v>
      </c>
      <c r="AB464" s="1050" t="s">
        <v>657</v>
      </c>
      <c r="AC464" s="1047">
        <v>1.06</v>
      </c>
      <c r="AD464" s="1051" t="s">
        <v>658</v>
      </c>
      <c r="AE464" s="1047">
        <v>1.03</v>
      </c>
      <c r="AF464" s="1047" t="s">
        <v>730</v>
      </c>
      <c r="AG464" s="1048">
        <v>1</v>
      </c>
      <c r="AH464" s="1035"/>
      <c r="AI464" s="1035"/>
      <c r="AJ464" s="1036"/>
      <c r="AK464" s="1036"/>
      <c r="AL464" s="1036"/>
      <c r="AM464" s="1036"/>
      <c r="AN464" s="1036"/>
      <c r="AO464" s="1036"/>
      <c r="AP464" s="1036"/>
      <c r="AQ464" s="1036"/>
      <c r="AR464" s="1036"/>
      <c r="AS464" s="1036"/>
      <c r="AT464" s="1036"/>
      <c r="AU464" s="1036"/>
      <c r="AV464" s="1036"/>
      <c r="AW464" s="1036"/>
      <c r="AX464" s="1036"/>
      <c r="AY464" s="1037"/>
    </row>
    <row r="465" spans="2:51" ht="12.75" customHeight="1">
      <c r="B465" s="2110" t="str">
        <f>+$B$10</f>
        <v>劇場型建物</v>
      </c>
      <c r="C465" s="1045">
        <v>5646950</v>
      </c>
      <c r="D465" s="1065">
        <v>1000</v>
      </c>
      <c r="E465" s="1061">
        <v>1.2</v>
      </c>
      <c r="F465" s="1066">
        <v>600</v>
      </c>
      <c r="G465" s="1061">
        <v>1</v>
      </c>
      <c r="H465" s="1066">
        <v>400</v>
      </c>
      <c r="I465" s="1064">
        <v>0.92</v>
      </c>
      <c r="J465" s="1085">
        <v>13</v>
      </c>
      <c r="K465" s="1061">
        <v>1.1499999999999999</v>
      </c>
      <c r="L465" s="1066">
        <v>8</v>
      </c>
      <c r="M465" s="1061">
        <v>1</v>
      </c>
      <c r="N465" s="1066">
        <v>5</v>
      </c>
      <c r="O465" s="1062">
        <v>0.9</v>
      </c>
      <c r="P465" s="1065">
        <v>105</v>
      </c>
      <c r="Q465" s="1061">
        <v>1.27</v>
      </c>
      <c r="R465" s="1066">
        <v>60</v>
      </c>
      <c r="S465" s="1061">
        <v>1</v>
      </c>
      <c r="T465" s="1066">
        <v>45</v>
      </c>
      <c r="U465" s="1064">
        <v>0.95</v>
      </c>
      <c r="V465" s="1063" t="s">
        <v>653</v>
      </c>
      <c r="W465" s="1061">
        <v>1.3</v>
      </c>
      <c r="X465" s="1061" t="s">
        <v>654</v>
      </c>
      <c r="Y465" s="1061">
        <v>1</v>
      </c>
      <c r="Z465" s="1061" t="s">
        <v>382</v>
      </c>
      <c r="AA465" s="1062">
        <v>0.95</v>
      </c>
      <c r="AB465" s="1094" t="s">
        <v>657</v>
      </c>
      <c r="AC465" s="1061">
        <v>1.06</v>
      </c>
      <c r="AD465" s="1095" t="s">
        <v>658</v>
      </c>
      <c r="AE465" s="1061">
        <v>1.03</v>
      </c>
      <c r="AF465" s="1061" t="s">
        <v>730</v>
      </c>
      <c r="AG465" s="1062">
        <v>1</v>
      </c>
      <c r="AH465" s="1035"/>
      <c r="AI465" s="1035"/>
      <c r="AJ465" s="1036"/>
      <c r="AK465" s="1036"/>
      <c r="AL465" s="1036"/>
      <c r="AM465" s="1036"/>
      <c r="AN465" s="1036"/>
      <c r="AO465" s="1036"/>
      <c r="AP465" s="1036"/>
      <c r="AQ465" s="1036"/>
      <c r="AR465" s="1036"/>
      <c r="AS465" s="1036"/>
      <c r="AT465" s="1036"/>
      <c r="AU465" s="1036"/>
      <c r="AV465" s="1036"/>
      <c r="AW465" s="1036"/>
      <c r="AX465" s="1036"/>
      <c r="AY465" s="1037"/>
    </row>
    <row r="466" spans="2:51" ht="12.75" customHeight="1">
      <c r="B466" s="1008" t="s">
        <v>359</v>
      </c>
      <c r="C466" s="1121" t="s">
        <v>659</v>
      </c>
      <c r="D466" s="1013" t="s">
        <v>660</v>
      </c>
      <c r="E466" s="1015"/>
      <c r="F466" s="1015"/>
      <c r="G466" s="1015"/>
      <c r="H466" s="1015"/>
      <c r="I466" s="1017"/>
      <c r="J466" s="1013" t="s">
        <v>661</v>
      </c>
      <c r="K466" s="1015"/>
      <c r="L466" s="1015"/>
      <c r="M466" s="1015"/>
      <c r="N466" s="1015"/>
      <c r="O466" s="1017"/>
      <c r="P466" s="1014" t="s">
        <v>662</v>
      </c>
      <c r="Q466" s="1015"/>
      <c r="R466" s="1015"/>
      <c r="S466" s="1015"/>
      <c r="T466" s="1015"/>
      <c r="U466" s="1016"/>
      <c r="V466" s="1013" t="s">
        <v>663</v>
      </c>
      <c r="W466" s="1015"/>
      <c r="X466" s="1015"/>
      <c r="Y466" s="1015"/>
      <c r="Z466" s="1015"/>
      <c r="AA466" s="1017"/>
      <c r="AB466" s="1014" t="s">
        <v>664</v>
      </c>
      <c r="AC466" s="1015"/>
      <c r="AD466" s="1015"/>
      <c r="AE466" s="1015"/>
      <c r="AF466" s="1015"/>
      <c r="AG466" s="1017"/>
      <c r="AH466" s="1170"/>
      <c r="AI466" s="1020"/>
      <c r="AJ466" s="1021"/>
      <c r="AK466" s="1020"/>
      <c r="AL466" s="1020"/>
      <c r="AM466" s="1021"/>
      <c r="AN466" s="1021"/>
      <c r="AO466" s="1021"/>
      <c r="AP466" s="2254" t="s">
        <v>274</v>
      </c>
      <c r="AQ466" s="2252"/>
      <c r="AR466" s="1446"/>
      <c r="AS466" s="1021"/>
      <c r="AT466" s="1021"/>
      <c r="AU466" s="1021"/>
      <c r="AV466" s="1021"/>
      <c r="AW466" s="1021"/>
      <c r="AX466" s="1021"/>
      <c r="AY466" s="1022"/>
    </row>
    <row r="467" spans="2:51" ht="12.75" customHeight="1">
      <c r="B467" s="1023"/>
      <c r="C467" s="1024" t="s">
        <v>665</v>
      </c>
      <c r="D467" s="1028" t="s">
        <v>366</v>
      </c>
      <c r="E467" s="1030"/>
      <c r="F467" s="1030" t="s">
        <v>367</v>
      </c>
      <c r="G467" s="1030"/>
      <c r="H467" s="1030" t="s">
        <v>368</v>
      </c>
      <c r="I467" s="1032"/>
      <c r="J467" s="1028" t="s">
        <v>366</v>
      </c>
      <c r="K467" s="1030"/>
      <c r="L467" s="1030" t="s">
        <v>367</v>
      </c>
      <c r="M467" s="1030"/>
      <c r="N467" s="1030" t="s">
        <v>368</v>
      </c>
      <c r="O467" s="1032"/>
      <c r="P467" s="1029" t="s">
        <v>366</v>
      </c>
      <c r="Q467" s="1030"/>
      <c r="R467" s="1030" t="s">
        <v>367</v>
      </c>
      <c r="S467" s="1030"/>
      <c r="T467" s="1030" t="s">
        <v>368</v>
      </c>
      <c r="U467" s="1031"/>
      <c r="V467" s="1028" t="s">
        <v>366</v>
      </c>
      <c r="W467" s="1030"/>
      <c r="X467" s="1030" t="s">
        <v>367</v>
      </c>
      <c r="Y467" s="1030"/>
      <c r="Z467" s="1030" t="s">
        <v>368</v>
      </c>
      <c r="AA467" s="1032"/>
      <c r="AB467" s="1029" t="s">
        <v>366</v>
      </c>
      <c r="AC467" s="1030"/>
      <c r="AD467" s="1030" t="s">
        <v>366</v>
      </c>
      <c r="AE467" s="1030"/>
      <c r="AF467" s="1030" t="s">
        <v>367</v>
      </c>
      <c r="AG467" s="1032"/>
      <c r="AH467" s="1171"/>
      <c r="AI467" s="1035"/>
      <c r="AJ467" s="1036"/>
      <c r="AK467" s="1035"/>
      <c r="AL467" s="1035"/>
      <c r="AM467" s="1036"/>
      <c r="AN467" s="1036"/>
      <c r="AO467" s="1036"/>
      <c r="AP467" s="2255" t="s">
        <v>1448</v>
      </c>
      <c r="AQ467" s="1501"/>
      <c r="AR467" s="1501"/>
      <c r="AS467" s="1036"/>
      <c r="AT467" s="1036"/>
      <c r="AU467" s="1036"/>
      <c r="AV467" s="1036"/>
      <c r="AW467" s="1036"/>
      <c r="AX467" s="1036"/>
      <c r="AY467" s="1037"/>
    </row>
    <row r="468" spans="2:51" ht="12.75" customHeight="1">
      <c r="B468" s="2108" t="str">
        <f>+$B$6</f>
        <v>事務所・店舗・百貨店</v>
      </c>
      <c r="C468" s="2258">
        <v>21389970</v>
      </c>
      <c r="D468" s="1083">
        <v>2000</v>
      </c>
      <c r="E468" s="1039">
        <v>1.2</v>
      </c>
      <c r="F468" s="1044">
        <v>1000</v>
      </c>
      <c r="G468" s="1039">
        <v>1</v>
      </c>
      <c r="H468" s="1590" t="s">
        <v>1380</v>
      </c>
      <c r="I468" s="1040" t="s">
        <v>1195</v>
      </c>
      <c r="J468" s="1083">
        <v>13</v>
      </c>
      <c r="K468" s="1039">
        <v>1.1100000000000001</v>
      </c>
      <c r="L468" s="1044">
        <v>8</v>
      </c>
      <c r="M468" s="1039">
        <v>1</v>
      </c>
      <c r="N468" s="1044">
        <v>5</v>
      </c>
      <c r="O468" s="1040">
        <v>0.93</v>
      </c>
      <c r="P468" s="1043">
        <v>210</v>
      </c>
      <c r="Q468" s="1039">
        <v>1.1200000000000001</v>
      </c>
      <c r="R468" s="1044">
        <v>180</v>
      </c>
      <c r="S468" s="1039">
        <v>1</v>
      </c>
      <c r="T468" s="1044">
        <v>120</v>
      </c>
      <c r="U468" s="1042">
        <v>0.85</v>
      </c>
      <c r="V468" s="1041" t="s">
        <v>666</v>
      </c>
      <c r="W468" s="1039">
        <v>1.3</v>
      </c>
      <c r="X468" s="1039" t="s">
        <v>654</v>
      </c>
      <c r="Y468" s="1039">
        <v>1</v>
      </c>
      <c r="Z468" s="1039" t="s">
        <v>382</v>
      </c>
      <c r="AA468" s="1040">
        <v>0.8</v>
      </c>
      <c r="AB468" s="1091" t="s">
        <v>655</v>
      </c>
      <c r="AC468" s="1039">
        <v>1.06</v>
      </c>
      <c r="AD468" s="1092" t="s">
        <v>656</v>
      </c>
      <c r="AE468" s="1039">
        <v>1.03</v>
      </c>
      <c r="AF468" s="1039" t="s">
        <v>730</v>
      </c>
      <c r="AG468" s="1040">
        <v>1</v>
      </c>
      <c r="AH468" s="1171"/>
      <c r="AI468" s="1035"/>
      <c r="AJ468" s="1036"/>
      <c r="AK468" s="1035"/>
      <c r="AL468" s="1035"/>
      <c r="AM468" s="1036"/>
      <c r="AN468" s="1036"/>
      <c r="AO468" s="1036"/>
      <c r="AP468" s="2003">
        <v>1068680</v>
      </c>
      <c r="AQ468" s="202"/>
      <c r="AR468" s="202"/>
      <c r="AS468" s="1036"/>
      <c r="AT468" s="1036"/>
      <c r="AU468" s="1036"/>
      <c r="AV468" s="1036"/>
      <c r="AW468" s="1036"/>
      <c r="AX468" s="1036"/>
      <c r="AY468" s="1037"/>
    </row>
    <row r="469" spans="2:51" ht="12.75" customHeight="1">
      <c r="B469" s="2109" t="str">
        <f>+$B$7</f>
        <v>住宅・アパート</v>
      </c>
      <c r="C469" s="1045">
        <v>21389970</v>
      </c>
      <c r="D469" s="1084">
        <v>2000</v>
      </c>
      <c r="E469" s="1047">
        <v>1.2</v>
      </c>
      <c r="F469" s="1055">
        <v>1000</v>
      </c>
      <c r="G469" s="1047">
        <v>1</v>
      </c>
      <c r="H469" s="1055" t="s">
        <v>1195</v>
      </c>
      <c r="I469" s="1048" t="s">
        <v>1195</v>
      </c>
      <c r="J469" s="1084">
        <v>13</v>
      </c>
      <c r="K469" s="1047">
        <v>1.1100000000000001</v>
      </c>
      <c r="L469" s="1055">
        <v>8</v>
      </c>
      <c r="M469" s="1047">
        <v>1</v>
      </c>
      <c r="N469" s="1055">
        <v>5</v>
      </c>
      <c r="O469" s="1048">
        <v>0.93</v>
      </c>
      <c r="P469" s="1054">
        <v>210</v>
      </c>
      <c r="Q469" s="1047">
        <v>1.1200000000000001</v>
      </c>
      <c r="R469" s="1055">
        <v>180</v>
      </c>
      <c r="S469" s="1047">
        <v>1</v>
      </c>
      <c r="T469" s="1055">
        <v>120</v>
      </c>
      <c r="U469" s="1053">
        <v>0.85</v>
      </c>
      <c r="V469" s="1056" t="s">
        <v>666</v>
      </c>
      <c r="W469" s="1047">
        <v>1.3</v>
      </c>
      <c r="X469" s="1047" t="s">
        <v>667</v>
      </c>
      <c r="Y469" s="1047">
        <v>1</v>
      </c>
      <c r="Z469" s="1047" t="s">
        <v>393</v>
      </c>
      <c r="AA469" s="1048">
        <v>0.8</v>
      </c>
      <c r="AB469" s="1050" t="s">
        <v>657</v>
      </c>
      <c r="AC469" s="1047">
        <v>1.06</v>
      </c>
      <c r="AD469" s="1051" t="s">
        <v>658</v>
      </c>
      <c r="AE469" s="1047">
        <v>1.03</v>
      </c>
      <c r="AF469" s="1047" t="s">
        <v>730</v>
      </c>
      <c r="AG469" s="1048">
        <v>1</v>
      </c>
      <c r="AH469" s="1171"/>
      <c r="AI469" s="1035"/>
      <c r="AJ469" s="1036"/>
      <c r="AK469" s="1035"/>
      <c r="AL469" s="1035"/>
      <c r="AM469" s="1036"/>
      <c r="AN469" s="1036"/>
      <c r="AO469" s="1036"/>
      <c r="AP469" s="2004">
        <v>1068680</v>
      </c>
      <c r="AQ469" s="202"/>
      <c r="AR469" s="202"/>
      <c r="AS469" s="1036"/>
      <c r="AT469" s="1036"/>
      <c r="AU469" s="1036"/>
      <c r="AV469" s="1036"/>
      <c r="AW469" s="1036"/>
      <c r="AX469" s="1036"/>
      <c r="AY469" s="1037"/>
    </row>
    <row r="470" spans="2:51" ht="12.75" customHeight="1">
      <c r="B470" s="2109" t="str">
        <f>+$B$8</f>
        <v>病院・ホテル</v>
      </c>
      <c r="C470" s="1045">
        <v>21389970</v>
      </c>
      <c r="D470" s="1084">
        <v>2000</v>
      </c>
      <c r="E470" s="1047">
        <v>1.2</v>
      </c>
      <c r="F470" s="1055">
        <v>1000</v>
      </c>
      <c r="G470" s="1047">
        <v>1</v>
      </c>
      <c r="H470" s="1055" t="s">
        <v>1195</v>
      </c>
      <c r="I470" s="1048" t="s">
        <v>1195</v>
      </c>
      <c r="J470" s="1084">
        <v>13</v>
      </c>
      <c r="K470" s="1047">
        <v>1.1100000000000001</v>
      </c>
      <c r="L470" s="1055">
        <v>8</v>
      </c>
      <c r="M470" s="1047">
        <v>1</v>
      </c>
      <c r="N470" s="1055">
        <v>5</v>
      </c>
      <c r="O470" s="1048">
        <v>0.93</v>
      </c>
      <c r="P470" s="1054">
        <v>210</v>
      </c>
      <c r="Q470" s="1047">
        <v>1.1200000000000001</v>
      </c>
      <c r="R470" s="1055">
        <v>180</v>
      </c>
      <c r="S470" s="1047">
        <v>1</v>
      </c>
      <c r="T470" s="1055">
        <v>120</v>
      </c>
      <c r="U470" s="1053">
        <v>0.85</v>
      </c>
      <c r="V470" s="1056" t="s">
        <v>666</v>
      </c>
      <c r="W470" s="1047">
        <v>1.3</v>
      </c>
      <c r="X470" s="1047" t="s">
        <v>667</v>
      </c>
      <c r="Y470" s="1047">
        <v>1</v>
      </c>
      <c r="Z470" s="1047" t="s">
        <v>393</v>
      </c>
      <c r="AA470" s="1048">
        <v>0.8</v>
      </c>
      <c r="AB470" s="1050" t="s">
        <v>657</v>
      </c>
      <c r="AC470" s="1047">
        <v>1.06</v>
      </c>
      <c r="AD470" s="1051" t="s">
        <v>658</v>
      </c>
      <c r="AE470" s="1047">
        <v>1.03</v>
      </c>
      <c r="AF470" s="1047" t="s">
        <v>730</v>
      </c>
      <c r="AG470" s="1048">
        <v>1</v>
      </c>
      <c r="AH470" s="1171"/>
      <c r="AI470" s="1035"/>
      <c r="AJ470" s="1036"/>
      <c r="AK470" s="1035"/>
      <c r="AL470" s="1035"/>
      <c r="AM470" s="1036"/>
      <c r="AN470" s="1036"/>
      <c r="AO470" s="1036"/>
      <c r="AP470" s="2004">
        <v>1068680</v>
      </c>
      <c r="AQ470" s="202"/>
      <c r="AR470" s="202"/>
      <c r="AS470" s="1036"/>
      <c r="AT470" s="1036"/>
      <c r="AU470" s="1036"/>
      <c r="AV470" s="1036"/>
      <c r="AW470" s="1036"/>
      <c r="AX470" s="1036"/>
      <c r="AY470" s="1037"/>
    </row>
    <row r="471" spans="2:51" ht="12.75" customHeight="1">
      <c r="B471" s="2109" t="str">
        <f>+$B$9</f>
        <v>工場・倉庫・市場</v>
      </c>
      <c r="C471" s="1045">
        <v>21389970</v>
      </c>
      <c r="D471" s="1084">
        <v>2000</v>
      </c>
      <c r="E471" s="1047">
        <v>1.2</v>
      </c>
      <c r="F471" s="1055">
        <v>1000</v>
      </c>
      <c r="G471" s="1047">
        <v>1</v>
      </c>
      <c r="H471" s="1055" t="s">
        <v>1195</v>
      </c>
      <c r="I471" s="1048" t="s">
        <v>1195</v>
      </c>
      <c r="J471" s="1084">
        <v>13</v>
      </c>
      <c r="K471" s="1047">
        <v>1.1100000000000001</v>
      </c>
      <c r="L471" s="1055">
        <v>8</v>
      </c>
      <c r="M471" s="1047">
        <v>1</v>
      </c>
      <c r="N471" s="1055">
        <v>5</v>
      </c>
      <c r="O471" s="1048">
        <v>0.93</v>
      </c>
      <c r="P471" s="1054">
        <v>210</v>
      </c>
      <c r="Q471" s="1047">
        <v>1.1200000000000001</v>
      </c>
      <c r="R471" s="1055">
        <v>180</v>
      </c>
      <c r="S471" s="1047">
        <v>1</v>
      </c>
      <c r="T471" s="1055">
        <v>120</v>
      </c>
      <c r="U471" s="1053">
        <v>0.85</v>
      </c>
      <c r="V471" s="1056" t="s">
        <v>666</v>
      </c>
      <c r="W471" s="1047">
        <v>1.3</v>
      </c>
      <c r="X471" s="1047" t="s">
        <v>667</v>
      </c>
      <c r="Y471" s="1047">
        <v>1</v>
      </c>
      <c r="Z471" s="1047" t="s">
        <v>393</v>
      </c>
      <c r="AA471" s="1048">
        <v>0.8</v>
      </c>
      <c r="AB471" s="1050" t="s">
        <v>657</v>
      </c>
      <c r="AC471" s="1047">
        <v>1.06</v>
      </c>
      <c r="AD471" s="1051" t="s">
        <v>658</v>
      </c>
      <c r="AE471" s="1047">
        <v>1.03</v>
      </c>
      <c r="AF471" s="1047" t="s">
        <v>730</v>
      </c>
      <c r="AG471" s="1048">
        <v>1</v>
      </c>
      <c r="AH471" s="1171"/>
      <c r="AI471" s="1035"/>
      <c r="AJ471" s="1036"/>
      <c r="AK471" s="1035"/>
      <c r="AL471" s="1035"/>
      <c r="AM471" s="1036"/>
      <c r="AN471" s="1036"/>
      <c r="AO471" s="1036"/>
      <c r="AP471" s="2004">
        <v>1068680</v>
      </c>
      <c r="AQ471" s="202"/>
      <c r="AR471" s="202"/>
      <c r="AS471" s="1036"/>
      <c r="AT471" s="1036"/>
      <c r="AU471" s="1036"/>
      <c r="AV471" s="1036"/>
      <c r="AW471" s="1036"/>
      <c r="AX471" s="1036"/>
      <c r="AY471" s="1037"/>
    </row>
    <row r="472" spans="2:51" ht="12.75" customHeight="1">
      <c r="B472" s="2110" t="str">
        <f>+$B$10</f>
        <v>劇場型建物</v>
      </c>
      <c r="C472" s="2463">
        <v>21389970</v>
      </c>
      <c r="D472" s="1085">
        <v>2000</v>
      </c>
      <c r="E472" s="1061">
        <v>1.2</v>
      </c>
      <c r="F472" s="1066">
        <v>1000</v>
      </c>
      <c r="G472" s="1061">
        <v>1</v>
      </c>
      <c r="H472" s="1066" t="s">
        <v>1195</v>
      </c>
      <c r="I472" s="1062" t="s">
        <v>1195</v>
      </c>
      <c r="J472" s="1085">
        <v>13</v>
      </c>
      <c r="K472" s="1061">
        <v>1.1100000000000001</v>
      </c>
      <c r="L472" s="1066">
        <v>8</v>
      </c>
      <c r="M472" s="1061">
        <v>1</v>
      </c>
      <c r="N472" s="1066">
        <v>5</v>
      </c>
      <c r="O472" s="1062">
        <v>0.93</v>
      </c>
      <c r="P472" s="1065">
        <v>210</v>
      </c>
      <c r="Q472" s="1061">
        <v>1.1200000000000001</v>
      </c>
      <c r="R472" s="1066">
        <v>180</v>
      </c>
      <c r="S472" s="1061">
        <v>1</v>
      </c>
      <c r="T472" s="1066">
        <v>120</v>
      </c>
      <c r="U472" s="1064">
        <v>0.85</v>
      </c>
      <c r="V472" s="1063" t="s">
        <v>666</v>
      </c>
      <c r="W472" s="1061">
        <v>1.3</v>
      </c>
      <c r="X472" s="1061" t="s">
        <v>667</v>
      </c>
      <c r="Y472" s="1061">
        <v>1</v>
      </c>
      <c r="Z472" s="1061" t="s">
        <v>393</v>
      </c>
      <c r="AA472" s="1062">
        <v>0.8</v>
      </c>
      <c r="AB472" s="1094" t="s">
        <v>657</v>
      </c>
      <c r="AC472" s="1061">
        <v>1.06</v>
      </c>
      <c r="AD472" s="1095" t="s">
        <v>658</v>
      </c>
      <c r="AE472" s="1061">
        <v>1.03</v>
      </c>
      <c r="AF472" s="1061" t="s">
        <v>730</v>
      </c>
      <c r="AG472" s="1062">
        <v>1</v>
      </c>
      <c r="AH472" s="1171"/>
      <c r="AI472" s="1035"/>
      <c r="AJ472" s="1089"/>
      <c r="AK472" s="1088"/>
      <c r="AL472" s="1035"/>
      <c r="AM472" s="1036"/>
      <c r="AN472" s="1036"/>
      <c r="AO472" s="1036"/>
      <c r="AP472" s="2057">
        <v>1068680</v>
      </c>
      <c r="AQ472" s="2253"/>
      <c r="AR472" s="1708"/>
      <c r="AS472" s="1036"/>
      <c r="AT472" s="1036"/>
      <c r="AU472" s="1036"/>
      <c r="AV472" s="1036"/>
      <c r="AW472" s="1036"/>
      <c r="AX472" s="1036"/>
      <c r="AY472" s="1037"/>
    </row>
    <row r="473" spans="2:51" ht="12.75" customHeight="1">
      <c r="B473" s="1008" t="s">
        <v>359</v>
      </c>
      <c r="C473" s="1121" t="s">
        <v>1101</v>
      </c>
      <c r="D473" s="1013" t="s">
        <v>1102</v>
      </c>
      <c r="E473" s="1015"/>
      <c r="F473" s="1015"/>
      <c r="G473" s="1015"/>
      <c r="H473" s="1015"/>
      <c r="I473" s="1017"/>
      <c r="J473" s="1013" t="s">
        <v>1103</v>
      </c>
      <c r="K473" s="1015"/>
      <c r="L473" s="1015"/>
      <c r="M473" s="1015"/>
      <c r="N473" s="1015"/>
      <c r="O473" s="1017"/>
      <c r="P473" s="1014" t="s">
        <v>1104</v>
      </c>
      <c r="Q473" s="1015"/>
      <c r="R473" s="1015"/>
      <c r="S473" s="1015"/>
      <c r="T473" s="1015"/>
      <c r="U473" s="1016"/>
      <c r="V473" s="1013" t="s">
        <v>1105</v>
      </c>
      <c r="W473" s="1015"/>
      <c r="X473" s="1015"/>
      <c r="Y473" s="1015"/>
      <c r="Z473" s="1015"/>
      <c r="AA473" s="1017"/>
      <c r="AB473" s="1014" t="s">
        <v>668</v>
      </c>
      <c r="AC473" s="1015"/>
      <c r="AD473" s="1015"/>
      <c r="AE473" s="1015"/>
      <c r="AF473" s="1015"/>
      <c r="AG473" s="1017"/>
      <c r="AH473" s="1020"/>
      <c r="AI473" s="1020"/>
      <c r="AJ473" s="1021"/>
      <c r="AK473" s="1020"/>
      <c r="AL473" s="1020"/>
      <c r="AM473" s="1021"/>
      <c r="AN473" s="1021"/>
      <c r="AO473" s="1021"/>
      <c r="AP473" s="2254" t="s">
        <v>274</v>
      </c>
      <c r="AQ473" s="2252"/>
      <c r="AR473" s="1446"/>
      <c r="AS473" s="1021"/>
      <c r="AT473" s="1021"/>
      <c r="AU473" s="1021"/>
      <c r="AV473" s="1021"/>
      <c r="AW473" s="1021"/>
      <c r="AX473" s="1021"/>
      <c r="AY473" s="1022"/>
    </row>
    <row r="474" spans="2:51" ht="12.75" customHeight="1">
      <c r="B474" s="1023"/>
      <c r="C474" s="1024" t="s">
        <v>669</v>
      </c>
      <c r="D474" s="1028" t="s">
        <v>366</v>
      </c>
      <c r="E474" s="1030"/>
      <c r="F474" s="1030" t="s">
        <v>367</v>
      </c>
      <c r="G474" s="1030"/>
      <c r="H474" s="1030" t="s">
        <v>368</v>
      </c>
      <c r="I474" s="1032"/>
      <c r="J474" s="1028" t="s">
        <v>366</v>
      </c>
      <c r="K474" s="1030"/>
      <c r="L474" s="1030" t="s">
        <v>367</v>
      </c>
      <c r="M474" s="1030"/>
      <c r="N474" s="1030" t="s">
        <v>368</v>
      </c>
      <c r="O474" s="1032"/>
      <c r="P474" s="1029" t="s">
        <v>366</v>
      </c>
      <c r="Q474" s="1030"/>
      <c r="R474" s="1030" t="s">
        <v>367</v>
      </c>
      <c r="S474" s="1030"/>
      <c r="T474" s="1030" t="s">
        <v>368</v>
      </c>
      <c r="U474" s="1031"/>
      <c r="V474" s="1028" t="s">
        <v>366</v>
      </c>
      <c r="W474" s="1030"/>
      <c r="X474" s="1030" t="s">
        <v>367</v>
      </c>
      <c r="Y474" s="1030"/>
      <c r="Z474" s="1030" t="s">
        <v>368</v>
      </c>
      <c r="AA474" s="1032"/>
      <c r="AB474" s="1029" t="s">
        <v>366</v>
      </c>
      <c r="AC474" s="1030"/>
      <c r="AD474" s="1030" t="s">
        <v>366</v>
      </c>
      <c r="AE474" s="1030"/>
      <c r="AF474" s="1030" t="s">
        <v>367</v>
      </c>
      <c r="AG474" s="1032"/>
      <c r="AH474" s="1501" t="s">
        <v>1379</v>
      </c>
      <c r="AI474" s="1035"/>
      <c r="AJ474" s="1036"/>
      <c r="AK474" s="1501"/>
      <c r="AL474" s="1035"/>
      <c r="AM474" s="1036"/>
      <c r="AN474" s="1036"/>
      <c r="AO474" s="1036"/>
      <c r="AP474" s="2255" t="s">
        <v>1448</v>
      </c>
      <c r="AQ474" s="1501"/>
      <c r="AR474" s="1501"/>
      <c r="AS474" s="1036"/>
      <c r="AT474" s="1036"/>
      <c r="AU474" s="1036"/>
      <c r="AV474" s="1036"/>
      <c r="AW474" s="1036"/>
      <c r="AX474" s="1036"/>
      <c r="AY474" s="1037"/>
    </row>
    <row r="475" spans="2:51" ht="12.75" customHeight="1">
      <c r="B475" s="2108" t="str">
        <f>+$B$6</f>
        <v>事務所・店舗・百貨店</v>
      </c>
      <c r="C475" s="2258">
        <v>29945960</v>
      </c>
      <c r="D475" s="1083">
        <v>2000</v>
      </c>
      <c r="E475" s="1039">
        <v>1.2</v>
      </c>
      <c r="F475" s="1044">
        <v>1000</v>
      </c>
      <c r="G475" s="1039">
        <v>1</v>
      </c>
      <c r="H475" s="1044" t="s">
        <v>1195</v>
      </c>
      <c r="I475" s="1040" t="s">
        <v>1195</v>
      </c>
      <c r="J475" s="1083">
        <v>20</v>
      </c>
      <c r="K475" s="1039">
        <v>1.1000000000000001</v>
      </c>
      <c r="L475" s="1044">
        <v>15</v>
      </c>
      <c r="M475" s="1039">
        <v>1</v>
      </c>
      <c r="N475" s="1044" t="s">
        <v>1195</v>
      </c>
      <c r="O475" s="1040" t="s">
        <v>1195</v>
      </c>
      <c r="P475" s="1043">
        <v>300</v>
      </c>
      <c r="Q475" s="1039">
        <v>1.0900000000000001</v>
      </c>
      <c r="R475" s="1044">
        <v>240</v>
      </c>
      <c r="S475" s="1039">
        <v>1</v>
      </c>
      <c r="T475" s="1044" t="s">
        <v>1195</v>
      </c>
      <c r="U475" s="1042" t="s">
        <v>1195</v>
      </c>
      <c r="V475" s="1041" t="s">
        <v>666</v>
      </c>
      <c r="W475" s="1039">
        <v>1.3</v>
      </c>
      <c r="X475" s="1039" t="s">
        <v>667</v>
      </c>
      <c r="Y475" s="1039">
        <v>1</v>
      </c>
      <c r="Z475" s="1039" t="s">
        <v>393</v>
      </c>
      <c r="AA475" s="1040">
        <v>0.8</v>
      </c>
      <c r="AB475" s="1091" t="s">
        <v>657</v>
      </c>
      <c r="AC475" s="1039">
        <v>1.06</v>
      </c>
      <c r="AD475" s="1092" t="s">
        <v>658</v>
      </c>
      <c r="AE475" s="1039">
        <v>1.03</v>
      </c>
      <c r="AF475" s="1039" t="s">
        <v>730</v>
      </c>
      <c r="AG475" s="1040">
        <v>1</v>
      </c>
      <c r="AH475" s="1035"/>
      <c r="AI475" s="1035"/>
      <c r="AJ475" s="1036"/>
      <c r="AK475" s="1035"/>
      <c r="AL475" s="1035"/>
      <c r="AM475" s="1036"/>
      <c r="AN475" s="1036"/>
      <c r="AO475" s="1036"/>
      <c r="AP475" s="2003">
        <v>1068680</v>
      </c>
      <c r="AQ475" s="1709"/>
      <c r="AR475" s="1709"/>
      <c r="AS475" s="1036"/>
      <c r="AT475" s="1036"/>
      <c r="AU475" s="1036"/>
      <c r="AV475" s="1036"/>
      <c r="AW475" s="1036"/>
      <c r="AX475" s="1036"/>
      <c r="AY475" s="1037"/>
    </row>
    <row r="476" spans="2:51" ht="12.75" customHeight="1">
      <c r="B476" s="2109" t="str">
        <f>+$B$7</f>
        <v>住宅・アパート</v>
      </c>
      <c r="C476" s="1045">
        <v>29945960</v>
      </c>
      <c r="D476" s="1084">
        <v>2000</v>
      </c>
      <c r="E476" s="1047">
        <v>1.2</v>
      </c>
      <c r="F476" s="1055">
        <v>1000</v>
      </c>
      <c r="G476" s="1047">
        <v>1</v>
      </c>
      <c r="H476" s="1055" t="s">
        <v>1195</v>
      </c>
      <c r="I476" s="1048" t="s">
        <v>1195</v>
      </c>
      <c r="J476" s="1084">
        <v>20</v>
      </c>
      <c r="K476" s="1047">
        <v>1.1000000000000001</v>
      </c>
      <c r="L476" s="1055">
        <v>15</v>
      </c>
      <c r="M476" s="1047">
        <v>1</v>
      </c>
      <c r="N476" s="1055" t="s">
        <v>1195</v>
      </c>
      <c r="O476" s="1048" t="s">
        <v>1195</v>
      </c>
      <c r="P476" s="1054">
        <v>300</v>
      </c>
      <c r="Q476" s="1047">
        <v>1.0900000000000001</v>
      </c>
      <c r="R476" s="1055">
        <v>240</v>
      </c>
      <c r="S476" s="1047">
        <v>1</v>
      </c>
      <c r="T476" s="1055" t="s">
        <v>1195</v>
      </c>
      <c r="U476" s="1053" t="s">
        <v>1195</v>
      </c>
      <c r="V476" s="1056" t="s">
        <v>666</v>
      </c>
      <c r="W476" s="1047">
        <v>1.3</v>
      </c>
      <c r="X476" s="1047" t="s">
        <v>667</v>
      </c>
      <c r="Y476" s="1047">
        <v>1</v>
      </c>
      <c r="Z476" s="1047" t="s">
        <v>393</v>
      </c>
      <c r="AA476" s="1048">
        <v>0.8</v>
      </c>
      <c r="AB476" s="1050" t="s">
        <v>657</v>
      </c>
      <c r="AC476" s="1047">
        <v>1.06</v>
      </c>
      <c r="AD476" s="1051" t="s">
        <v>658</v>
      </c>
      <c r="AE476" s="1047">
        <v>1.03</v>
      </c>
      <c r="AF476" s="1047" t="s">
        <v>730</v>
      </c>
      <c r="AG476" s="1048">
        <v>1</v>
      </c>
      <c r="AH476" s="1035"/>
      <c r="AI476" s="1035"/>
      <c r="AJ476" s="1036"/>
      <c r="AK476" s="1035"/>
      <c r="AL476" s="1035"/>
      <c r="AM476" s="1036"/>
      <c r="AN476" s="1036"/>
      <c r="AO476" s="1036"/>
      <c r="AP476" s="2004">
        <v>1068680</v>
      </c>
      <c r="AQ476" s="1709"/>
      <c r="AR476" s="1709"/>
      <c r="AS476" s="1036"/>
      <c r="AT476" s="1036"/>
      <c r="AU476" s="1036"/>
      <c r="AV476" s="1036"/>
      <c r="AW476" s="1036"/>
      <c r="AX476" s="1036"/>
      <c r="AY476" s="1037"/>
    </row>
    <row r="477" spans="2:51" ht="12.75" customHeight="1">
      <c r="B477" s="2109" t="str">
        <f>+$B$8</f>
        <v>病院・ホテル</v>
      </c>
      <c r="C477" s="1045">
        <v>29945960</v>
      </c>
      <c r="D477" s="1084">
        <v>2000</v>
      </c>
      <c r="E477" s="1047">
        <v>1.2</v>
      </c>
      <c r="F477" s="1055">
        <v>1000</v>
      </c>
      <c r="G477" s="1047">
        <v>1</v>
      </c>
      <c r="H477" s="1055" t="s">
        <v>1195</v>
      </c>
      <c r="I477" s="1048" t="s">
        <v>1195</v>
      </c>
      <c r="J477" s="1084">
        <v>20</v>
      </c>
      <c r="K477" s="1047">
        <v>1.1000000000000001</v>
      </c>
      <c r="L477" s="1055">
        <v>15</v>
      </c>
      <c r="M477" s="1047">
        <v>1</v>
      </c>
      <c r="N477" s="1055" t="s">
        <v>1195</v>
      </c>
      <c r="O477" s="1048" t="s">
        <v>1195</v>
      </c>
      <c r="P477" s="1054">
        <v>300</v>
      </c>
      <c r="Q477" s="1047">
        <v>1.0900000000000001</v>
      </c>
      <c r="R477" s="1055">
        <v>240</v>
      </c>
      <c r="S477" s="1047">
        <v>1</v>
      </c>
      <c r="T477" s="1055" t="s">
        <v>1195</v>
      </c>
      <c r="U477" s="1053" t="s">
        <v>1195</v>
      </c>
      <c r="V477" s="1056" t="s">
        <v>666</v>
      </c>
      <c r="W477" s="1047">
        <v>1.3</v>
      </c>
      <c r="X477" s="1047" t="s">
        <v>667</v>
      </c>
      <c r="Y477" s="1047">
        <v>1</v>
      </c>
      <c r="Z477" s="1047" t="s">
        <v>393</v>
      </c>
      <c r="AA477" s="1048">
        <v>0.8</v>
      </c>
      <c r="AB477" s="1050" t="s">
        <v>657</v>
      </c>
      <c r="AC477" s="1047">
        <v>1.06</v>
      </c>
      <c r="AD477" s="1051" t="s">
        <v>658</v>
      </c>
      <c r="AE477" s="1047">
        <v>1.03</v>
      </c>
      <c r="AF477" s="1047" t="s">
        <v>730</v>
      </c>
      <c r="AG477" s="1048">
        <v>1</v>
      </c>
      <c r="AH477" s="1035"/>
      <c r="AI477" s="1035"/>
      <c r="AJ477" s="1036"/>
      <c r="AK477" s="1035"/>
      <c r="AL477" s="1035"/>
      <c r="AM477" s="1036"/>
      <c r="AN477" s="1036"/>
      <c r="AO477" s="1036"/>
      <c r="AP477" s="2004">
        <v>1068680</v>
      </c>
      <c r="AQ477" s="1709"/>
      <c r="AR477" s="1709"/>
      <c r="AS477" s="1036"/>
      <c r="AT477" s="1036"/>
      <c r="AU477" s="1036"/>
      <c r="AV477" s="1036"/>
      <c r="AW477" s="1036"/>
      <c r="AX477" s="1036"/>
      <c r="AY477" s="1037"/>
    </row>
    <row r="478" spans="2:51" ht="12.75" customHeight="1">
      <c r="B478" s="2109" t="str">
        <f>+$B$9</f>
        <v>工場・倉庫・市場</v>
      </c>
      <c r="C478" s="2119">
        <f>+C475</f>
        <v>29945960</v>
      </c>
      <c r="D478" s="2220">
        <v>2000</v>
      </c>
      <c r="E478" s="2121">
        <v>1.2</v>
      </c>
      <c r="F478" s="2122">
        <v>1000</v>
      </c>
      <c r="G478" s="2121">
        <v>1</v>
      </c>
      <c r="H478" s="2122" t="s">
        <v>1195</v>
      </c>
      <c r="I478" s="2123" t="s">
        <v>1195</v>
      </c>
      <c r="J478" s="2220">
        <v>20</v>
      </c>
      <c r="K478" s="2121">
        <v>1.1000000000000001</v>
      </c>
      <c r="L478" s="2122">
        <v>15</v>
      </c>
      <c r="M478" s="2121">
        <v>1</v>
      </c>
      <c r="N478" s="2122" t="s">
        <v>1195</v>
      </c>
      <c r="O478" s="2123" t="s">
        <v>1195</v>
      </c>
      <c r="P478" s="2120">
        <v>300</v>
      </c>
      <c r="Q478" s="2121">
        <v>1.0900000000000001</v>
      </c>
      <c r="R478" s="2122">
        <v>240</v>
      </c>
      <c r="S478" s="2121">
        <v>1</v>
      </c>
      <c r="T478" s="2122" t="s">
        <v>1195</v>
      </c>
      <c r="U478" s="2135" t="s">
        <v>1195</v>
      </c>
      <c r="V478" s="2124" t="s">
        <v>666</v>
      </c>
      <c r="W478" s="2121">
        <v>1.3</v>
      </c>
      <c r="X478" s="2121" t="s">
        <v>667</v>
      </c>
      <c r="Y478" s="2121">
        <v>1</v>
      </c>
      <c r="Z478" s="2121" t="s">
        <v>393</v>
      </c>
      <c r="AA478" s="2123">
        <v>0.8</v>
      </c>
      <c r="AB478" s="2138" t="s">
        <v>657</v>
      </c>
      <c r="AC478" s="2121">
        <v>1.06</v>
      </c>
      <c r="AD478" s="2139" t="s">
        <v>658</v>
      </c>
      <c r="AE478" s="2121">
        <v>1.03</v>
      </c>
      <c r="AF478" s="2121" t="s">
        <v>730</v>
      </c>
      <c r="AG478" s="2123">
        <v>1</v>
      </c>
      <c r="AH478" s="1035"/>
      <c r="AI478" s="1035"/>
      <c r="AJ478" s="1036"/>
      <c r="AK478" s="1035"/>
      <c r="AL478" s="1035"/>
      <c r="AM478" s="1036"/>
      <c r="AN478" s="1036"/>
      <c r="AO478" s="1036"/>
      <c r="AP478" s="2208">
        <v>1068680</v>
      </c>
      <c r="AQ478" s="1709"/>
      <c r="AR478" s="1709"/>
      <c r="AS478" s="1036"/>
      <c r="AT478" s="1036"/>
      <c r="AU478" s="1036"/>
      <c r="AV478" s="1036"/>
      <c r="AW478" s="1036"/>
      <c r="AX478" s="1036"/>
      <c r="AY478" s="1037"/>
    </row>
    <row r="479" spans="2:51" ht="12.75" customHeight="1">
      <c r="B479" s="2110" t="str">
        <f>+$B$10</f>
        <v>劇場型建物</v>
      </c>
      <c r="C479" s="2158">
        <f>+C475</f>
        <v>29945960</v>
      </c>
      <c r="D479" s="2221">
        <v>2000</v>
      </c>
      <c r="E479" s="2162">
        <v>1.2</v>
      </c>
      <c r="F479" s="2222">
        <v>1000</v>
      </c>
      <c r="G479" s="2162">
        <v>1</v>
      </c>
      <c r="H479" s="2222" t="s">
        <v>1195</v>
      </c>
      <c r="I479" s="2165" t="s">
        <v>1195</v>
      </c>
      <c r="J479" s="2223">
        <v>20</v>
      </c>
      <c r="K479" s="2127">
        <v>1.1000000000000001</v>
      </c>
      <c r="L479" s="2128">
        <v>15</v>
      </c>
      <c r="M479" s="2127">
        <v>1</v>
      </c>
      <c r="N479" s="2128" t="s">
        <v>1195</v>
      </c>
      <c r="O479" s="2129" t="s">
        <v>1195</v>
      </c>
      <c r="P479" s="2126">
        <v>300</v>
      </c>
      <c r="Q479" s="2127">
        <v>1.0900000000000001</v>
      </c>
      <c r="R479" s="2128">
        <v>240</v>
      </c>
      <c r="S479" s="2127">
        <v>1</v>
      </c>
      <c r="T479" s="2128" t="s">
        <v>1195</v>
      </c>
      <c r="U479" s="2181" t="s">
        <v>1195</v>
      </c>
      <c r="V479" s="2130" t="s">
        <v>666</v>
      </c>
      <c r="W479" s="2127">
        <v>1.3</v>
      </c>
      <c r="X479" s="2127" t="s">
        <v>667</v>
      </c>
      <c r="Y479" s="2127">
        <v>1</v>
      </c>
      <c r="Z479" s="2127" t="s">
        <v>393</v>
      </c>
      <c r="AA479" s="2129">
        <v>0.8</v>
      </c>
      <c r="AB479" s="2211" t="s">
        <v>657</v>
      </c>
      <c r="AC479" s="2127">
        <v>1.06</v>
      </c>
      <c r="AD479" s="2212" t="s">
        <v>658</v>
      </c>
      <c r="AE479" s="2127">
        <v>1.03</v>
      </c>
      <c r="AF479" s="2127" t="s">
        <v>730</v>
      </c>
      <c r="AG479" s="2129">
        <v>1</v>
      </c>
      <c r="AH479" s="1035"/>
      <c r="AI479" s="1035"/>
      <c r="AJ479" s="1036"/>
      <c r="AK479" s="1035"/>
      <c r="AL479" s="1035"/>
      <c r="AM479" s="1036"/>
      <c r="AN479" s="1036"/>
      <c r="AO479" s="1036"/>
      <c r="AP479" s="2257">
        <v>1068680</v>
      </c>
      <c r="AQ479" s="2256"/>
      <c r="AR479" s="1710"/>
      <c r="AS479" s="1036"/>
      <c r="AT479" s="1036"/>
      <c r="AU479" s="1036"/>
      <c r="AV479" s="1036"/>
      <c r="AW479" s="1036"/>
      <c r="AX479" s="1036"/>
      <c r="AY479" s="1037"/>
    </row>
    <row r="480" spans="2:51" ht="12.75" customHeight="1">
      <c r="B480" s="1008" t="s">
        <v>359</v>
      </c>
      <c r="C480" s="1121" t="s">
        <v>670</v>
      </c>
      <c r="D480" s="1014" t="s">
        <v>671</v>
      </c>
      <c r="E480" s="1015"/>
      <c r="F480" s="1015"/>
      <c r="G480" s="1015"/>
      <c r="H480" s="1015"/>
      <c r="I480" s="1016"/>
      <c r="J480" s="1013" t="s">
        <v>672</v>
      </c>
      <c r="K480" s="1015"/>
      <c r="L480" s="1015"/>
      <c r="M480" s="1015"/>
      <c r="N480" s="1015"/>
      <c r="O480" s="1017"/>
      <c r="P480" s="1014" t="s">
        <v>673</v>
      </c>
      <c r="Q480" s="1015"/>
      <c r="R480" s="1015"/>
      <c r="S480" s="1015"/>
      <c r="T480" s="1015"/>
      <c r="U480" s="1017"/>
      <c r="V480" s="1170"/>
      <c r="W480" s="1020"/>
      <c r="X480" s="1020"/>
      <c r="Y480" s="1020"/>
      <c r="Z480" s="1020"/>
      <c r="AA480" s="1020"/>
      <c r="AB480" s="1020"/>
      <c r="AC480" s="1020"/>
      <c r="AD480" s="1020"/>
      <c r="AE480" s="1020"/>
      <c r="AF480" s="1020"/>
      <c r="AG480" s="1020"/>
      <c r="AH480" s="1020"/>
      <c r="AI480" s="1020"/>
      <c r="AJ480" s="1021"/>
      <c r="AK480" s="1021"/>
      <c r="AL480" s="1021"/>
      <c r="AM480" s="1021"/>
      <c r="AN480" s="1021"/>
      <c r="AO480" s="1021"/>
      <c r="AP480" s="1021"/>
      <c r="AQ480" s="1021"/>
      <c r="AR480" s="1021"/>
      <c r="AS480" s="1021"/>
      <c r="AT480" s="1021"/>
      <c r="AU480" s="1021"/>
      <c r="AV480" s="1021"/>
      <c r="AW480" s="1021"/>
      <c r="AX480" s="1021"/>
      <c r="AY480" s="1022"/>
    </row>
    <row r="481" spans="2:51" ht="12.75" customHeight="1">
      <c r="B481" s="1023"/>
      <c r="C481" s="1024" t="s">
        <v>674</v>
      </c>
      <c r="D481" s="1029" t="s">
        <v>366</v>
      </c>
      <c r="E481" s="1030"/>
      <c r="F481" s="1030" t="s">
        <v>367</v>
      </c>
      <c r="G481" s="1030"/>
      <c r="H481" s="1030" t="s">
        <v>368</v>
      </c>
      <c r="I481" s="1031"/>
      <c r="J481" s="1028" t="s">
        <v>366</v>
      </c>
      <c r="K481" s="1030"/>
      <c r="L481" s="1030" t="s">
        <v>367</v>
      </c>
      <c r="M481" s="1030"/>
      <c r="N481" s="1030" t="s">
        <v>368</v>
      </c>
      <c r="O481" s="1032"/>
      <c r="P481" s="1029" t="s">
        <v>366</v>
      </c>
      <c r="Q481" s="1030"/>
      <c r="R481" s="1030" t="s">
        <v>367</v>
      </c>
      <c r="S481" s="1030"/>
      <c r="T481" s="1030" t="s">
        <v>368</v>
      </c>
      <c r="U481" s="1032"/>
      <c r="V481" s="1589" t="s">
        <v>1335</v>
      </c>
      <c r="W481" s="1035"/>
      <c r="X481" s="1035"/>
      <c r="Y481" s="1035"/>
      <c r="Z481" s="1035"/>
      <c r="AA481" s="1035"/>
      <c r="AB481" s="1035"/>
      <c r="AC481" s="1035"/>
      <c r="AD481" s="1035"/>
      <c r="AE481" s="1035"/>
      <c r="AF481" s="1035"/>
      <c r="AG481" s="1035"/>
      <c r="AH481" s="1035"/>
      <c r="AI481" s="1035"/>
      <c r="AJ481" s="1036"/>
      <c r="AK481" s="1036"/>
      <c r="AL481" s="1036"/>
      <c r="AM481" s="1036"/>
      <c r="AN481" s="1036"/>
      <c r="AO481" s="1036"/>
      <c r="AP481" s="1036"/>
      <c r="AQ481" s="1036"/>
      <c r="AR481" s="1036"/>
      <c r="AS481" s="1036"/>
      <c r="AT481" s="1036"/>
      <c r="AU481" s="1036"/>
      <c r="AV481" s="1036"/>
      <c r="AW481" s="1036"/>
      <c r="AX481" s="1036"/>
      <c r="AY481" s="1037"/>
    </row>
    <row r="482" spans="2:51" ht="12.75" customHeight="1">
      <c r="B482" s="2108" t="str">
        <f>+$B$6</f>
        <v>事務所・店舗・百貨店</v>
      </c>
      <c r="C482" s="2141">
        <f>+C483</f>
        <v>1788000</v>
      </c>
      <c r="D482" s="2224">
        <v>200</v>
      </c>
      <c r="E482" s="2136">
        <v>1.1000000000000001</v>
      </c>
      <c r="F482" s="2225">
        <v>150</v>
      </c>
      <c r="G482" s="2136">
        <v>1</v>
      </c>
      <c r="H482" s="2136" t="s">
        <v>1195</v>
      </c>
      <c r="I482" s="2180" t="s">
        <v>1195</v>
      </c>
      <c r="J482" s="2226">
        <v>3</v>
      </c>
      <c r="K482" s="2136">
        <v>1.1000000000000001</v>
      </c>
      <c r="L482" s="2225">
        <v>2</v>
      </c>
      <c r="M482" s="2136">
        <v>1</v>
      </c>
      <c r="N482" s="2136" t="s">
        <v>1195</v>
      </c>
      <c r="O482" s="2137" t="s">
        <v>1195</v>
      </c>
      <c r="P482" s="2153" t="s">
        <v>381</v>
      </c>
      <c r="Q482" s="2136">
        <v>1.2</v>
      </c>
      <c r="R482" s="2136" t="s">
        <v>375</v>
      </c>
      <c r="S482" s="2136">
        <v>1</v>
      </c>
      <c r="T482" s="2136" t="s">
        <v>382</v>
      </c>
      <c r="U482" s="2137">
        <v>0.7</v>
      </c>
      <c r="V482" s="1171"/>
      <c r="W482" s="1035"/>
      <c r="X482" s="1035"/>
      <c r="Y482" s="1035"/>
      <c r="Z482" s="1035"/>
      <c r="AA482" s="1035"/>
      <c r="AB482" s="1035"/>
      <c r="AC482" s="1035"/>
      <c r="AD482" s="1035"/>
      <c r="AE482" s="1035"/>
      <c r="AF482" s="1035"/>
      <c r="AG482" s="1035"/>
      <c r="AH482" s="1035"/>
      <c r="AI482" s="1035"/>
      <c r="AJ482" s="1036"/>
      <c r="AK482" s="1036"/>
      <c r="AL482" s="1036"/>
      <c r="AM482" s="1036"/>
      <c r="AN482" s="1036"/>
      <c r="AO482" s="1036"/>
      <c r="AP482" s="1036"/>
      <c r="AQ482" s="1036"/>
      <c r="AR482" s="1036"/>
      <c r="AS482" s="1036"/>
      <c r="AT482" s="1036"/>
      <c r="AU482" s="1036"/>
      <c r="AV482" s="1036"/>
      <c r="AW482" s="1036"/>
      <c r="AX482" s="1036"/>
      <c r="AY482" s="1037"/>
    </row>
    <row r="483" spans="2:51" ht="12.75" customHeight="1">
      <c r="B483" s="2109" t="str">
        <f>+$B$7</f>
        <v>住宅・アパート</v>
      </c>
      <c r="C483" s="1045">
        <v>1788000</v>
      </c>
      <c r="D483" s="1054">
        <v>200</v>
      </c>
      <c r="E483" s="1047">
        <v>1.1000000000000001</v>
      </c>
      <c r="F483" s="1055">
        <v>150</v>
      </c>
      <c r="G483" s="1047">
        <v>1</v>
      </c>
      <c r="H483" s="1047" t="s">
        <v>1195</v>
      </c>
      <c r="I483" s="1053" t="s">
        <v>1195</v>
      </c>
      <c r="J483" s="1084">
        <v>3</v>
      </c>
      <c r="K483" s="1047">
        <v>1.1000000000000001</v>
      </c>
      <c r="L483" s="1055">
        <v>2</v>
      </c>
      <c r="M483" s="1047">
        <v>1</v>
      </c>
      <c r="N483" s="1047" t="s">
        <v>1195</v>
      </c>
      <c r="O483" s="1048" t="s">
        <v>1195</v>
      </c>
      <c r="P483" s="1046" t="s">
        <v>381</v>
      </c>
      <c r="Q483" s="1047">
        <v>1.2</v>
      </c>
      <c r="R483" s="1047" t="s">
        <v>375</v>
      </c>
      <c r="S483" s="1047">
        <v>1</v>
      </c>
      <c r="T483" s="1047" t="s">
        <v>382</v>
      </c>
      <c r="U483" s="1048">
        <v>0.7</v>
      </c>
      <c r="V483" s="1171"/>
      <c r="W483" s="1035"/>
      <c r="X483" s="1035"/>
      <c r="Y483" s="1035"/>
      <c r="Z483" s="1035"/>
      <c r="AA483" s="1035"/>
      <c r="AB483" s="1035"/>
      <c r="AC483" s="1035"/>
      <c r="AD483" s="1035"/>
      <c r="AE483" s="1035"/>
      <c r="AF483" s="1035"/>
      <c r="AG483" s="1035"/>
      <c r="AH483" s="1035"/>
      <c r="AI483" s="1035"/>
      <c r="AJ483" s="1036"/>
      <c r="AK483" s="1036"/>
      <c r="AL483" s="1036"/>
      <c r="AM483" s="1036"/>
      <c r="AN483" s="1036"/>
      <c r="AO483" s="1036"/>
      <c r="AP483" s="1036"/>
      <c r="AQ483" s="1036"/>
      <c r="AR483" s="1036"/>
      <c r="AS483" s="1036"/>
      <c r="AT483" s="1036"/>
      <c r="AU483" s="1036"/>
      <c r="AV483" s="1036"/>
      <c r="AW483" s="1036"/>
      <c r="AX483" s="1036"/>
      <c r="AY483" s="1037"/>
    </row>
    <row r="484" spans="2:51" ht="12.75" customHeight="1">
      <c r="B484" s="2109" t="str">
        <f>+$B$8</f>
        <v>病院・ホテル</v>
      </c>
      <c r="C484" s="2119">
        <f>+C483</f>
        <v>1788000</v>
      </c>
      <c r="D484" s="2120">
        <v>200</v>
      </c>
      <c r="E484" s="2121">
        <v>1.1000000000000001</v>
      </c>
      <c r="F484" s="2122">
        <v>150</v>
      </c>
      <c r="G484" s="2121">
        <v>1</v>
      </c>
      <c r="H484" s="2121" t="s">
        <v>1195</v>
      </c>
      <c r="I484" s="2135" t="s">
        <v>1195</v>
      </c>
      <c r="J484" s="2220">
        <v>3</v>
      </c>
      <c r="K484" s="2121">
        <v>1.1000000000000001</v>
      </c>
      <c r="L484" s="2122">
        <v>2</v>
      </c>
      <c r="M484" s="2121">
        <v>1</v>
      </c>
      <c r="N484" s="2121" t="s">
        <v>1195</v>
      </c>
      <c r="O484" s="2123" t="s">
        <v>1195</v>
      </c>
      <c r="P484" s="2131" t="s">
        <v>381</v>
      </c>
      <c r="Q484" s="2121">
        <v>1.2</v>
      </c>
      <c r="R484" s="2121" t="s">
        <v>375</v>
      </c>
      <c r="S484" s="2121">
        <v>1</v>
      </c>
      <c r="T484" s="2121" t="s">
        <v>382</v>
      </c>
      <c r="U484" s="2123">
        <v>0.7</v>
      </c>
      <c r="V484" s="1171"/>
      <c r="W484" s="1035"/>
      <c r="X484" s="1035"/>
      <c r="Y484" s="1035"/>
      <c r="Z484" s="1035"/>
      <c r="AA484" s="1035"/>
      <c r="AB484" s="1035"/>
      <c r="AC484" s="1035"/>
      <c r="AD484" s="1035"/>
      <c r="AE484" s="1035"/>
      <c r="AF484" s="1035"/>
      <c r="AG484" s="1035"/>
      <c r="AH484" s="1035"/>
      <c r="AI484" s="1035"/>
      <c r="AJ484" s="1036"/>
      <c r="AK484" s="1036"/>
      <c r="AL484" s="1036"/>
      <c r="AM484" s="1036"/>
      <c r="AN484" s="1036"/>
      <c r="AO484" s="1036"/>
      <c r="AP484" s="1036"/>
      <c r="AQ484" s="1036"/>
      <c r="AR484" s="1036"/>
      <c r="AS484" s="1036"/>
      <c r="AT484" s="1036"/>
      <c r="AU484" s="1036"/>
      <c r="AV484" s="1036"/>
      <c r="AW484" s="1036"/>
      <c r="AX484" s="1036"/>
      <c r="AY484" s="1037"/>
    </row>
    <row r="485" spans="2:51" ht="12.75" customHeight="1">
      <c r="B485" s="2109" t="str">
        <f>+$B$9</f>
        <v>工場・倉庫・市場</v>
      </c>
      <c r="C485" s="2119">
        <f>+C483</f>
        <v>1788000</v>
      </c>
      <c r="D485" s="2120">
        <v>200</v>
      </c>
      <c r="E485" s="2121">
        <v>1.1000000000000001</v>
      </c>
      <c r="F485" s="2122">
        <v>150</v>
      </c>
      <c r="G485" s="2121">
        <v>1</v>
      </c>
      <c r="H485" s="2121" t="s">
        <v>1195</v>
      </c>
      <c r="I485" s="2135" t="s">
        <v>1195</v>
      </c>
      <c r="J485" s="2220">
        <v>3</v>
      </c>
      <c r="K485" s="2121">
        <v>1.1000000000000001</v>
      </c>
      <c r="L485" s="2122">
        <v>2</v>
      </c>
      <c r="M485" s="2121">
        <v>1</v>
      </c>
      <c r="N485" s="2121" t="s">
        <v>1195</v>
      </c>
      <c r="O485" s="2123" t="s">
        <v>1195</v>
      </c>
      <c r="P485" s="2131" t="s">
        <v>381</v>
      </c>
      <c r="Q485" s="2121">
        <v>1.2</v>
      </c>
      <c r="R485" s="2121" t="s">
        <v>375</v>
      </c>
      <c r="S485" s="2121">
        <v>1</v>
      </c>
      <c r="T485" s="2121" t="s">
        <v>382</v>
      </c>
      <c r="U485" s="2123">
        <v>0.7</v>
      </c>
      <c r="V485" s="1171"/>
      <c r="W485" s="1035"/>
      <c r="X485" s="1035"/>
      <c r="Y485" s="1035"/>
      <c r="Z485" s="1035"/>
      <c r="AA485" s="1035"/>
      <c r="AB485" s="1035"/>
      <c r="AC485" s="1035"/>
      <c r="AD485" s="1035"/>
      <c r="AE485" s="1035"/>
      <c r="AF485" s="1035"/>
      <c r="AG485" s="1035"/>
      <c r="AH485" s="1035"/>
      <c r="AI485" s="1035"/>
      <c r="AJ485" s="1036"/>
      <c r="AK485" s="1036"/>
      <c r="AL485" s="1036"/>
      <c r="AM485" s="1036"/>
      <c r="AN485" s="1036"/>
      <c r="AO485" s="1036"/>
      <c r="AP485" s="1036"/>
      <c r="AQ485" s="1036"/>
      <c r="AR485" s="1036"/>
      <c r="AS485" s="1036"/>
      <c r="AT485" s="1036"/>
      <c r="AU485" s="1036"/>
      <c r="AV485" s="1036"/>
      <c r="AW485" s="1036"/>
      <c r="AX485" s="1036"/>
      <c r="AY485" s="1037"/>
    </row>
    <row r="486" spans="2:51" ht="12.75" customHeight="1">
      <c r="B486" s="2110" t="str">
        <f>+$B$10</f>
        <v>劇場型建物</v>
      </c>
      <c r="C486" s="2158">
        <f>+C483</f>
        <v>1788000</v>
      </c>
      <c r="D486" s="2126">
        <v>200</v>
      </c>
      <c r="E486" s="2127">
        <v>1.1000000000000001</v>
      </c>
      <c r="F486" s="2128">
        <v>150</v>
      </c>
      <c r="G486" s="2127">
        <v>1</v>
      </c>
      <c r="H486" s="2127" t="s">
        <v>1195</v>
      </c>
      <c r="I486" s="2181" t="s">
        <v>1195</v>
      </c>
      <c r="J486" s="2223">
        <v>3</v>
      </c>
      <c r="K486" s="2127">
        <v>1.1000000000000001</v>
      </c>
      <c r="L486" s="2128">
        <v>2</v>
      </c>
      <c r="M486" s="2127">
        <v>1</v>
      </c>
      <c r="N486" s="2127" t="s">
        <v>1195</v>
      </c>
      <c r="O486" s="2129" t="s">
        <v>1195</v>
      </c>
      <c r="P486" s="2159" t="s">
        <v>381</v>
      </c>
      <c r="Q486" s="2127">
        <v>1.2</v>
      </c>
      <c r="R486" s="2127" t="s">
        <v>375</v>
      </c>
      <c r="S486" s="2127">
        <v>1</v>
      </c>
      <c r="T486" s="2127" t="s">
        <v>382</v>
      </c>
      <c r="U486" s="2129">
        <v>0.7</v>
      </c>
      <c r="V486" s="1171"/>
      <c r="W486" s="1035"/>
      <c r="X486" s="1035"/>
      <c r="Y486" s="1035"/>
      <c r="Z486" s="1035"/>
      <c r="AA486" s="1035"/>
      <c r="AB486" s="1035"/>
      <c r="AC486" s="1035"/>
      <c r="AD486" s="1035"/>
      <c r="AE486" s="1035"/>
      <c r="AF486" s="1035"/>
      <c r="AG486" s="1035"/>
      <c r="AH486" s="1035"/>
      <c r="AI486" s="1035"/>
      <c r="AJ486" s="1036"/>
      <c r="AK486" s="1036"/>
      <c r="AL486" s="1036"/>
      <c r="AM486" s="1036"/>
      <c r="AN486" s="1036"/>
      <c r="AO486" s="1036"/>
      <c r="AP486" s="1036"/>
      <c r="AQ486" s="1036"/>
      <c r="AR486" s="1036"/>
      <c r="AS486" s="1036"/>
      <c r="AT486" s="1036"/>
      <c r="AU486" s="1036"/>
      <c r="AV486" s="1036"/>
      <c r="AW486" s="1036"/>
      <c r="AX486" s="1036"/>
      <c r="AY486" s="1037"/>
    </row>
    <row r="487" spans="2:51" ht="12.75" customHeight="1">
      <c r="B487" s="1008" t="s">
        <v>359</v>
      </c>
      <c r="C487" s="1121" t="s">
        <v>675</v>
      </c>
      <c r="D487" s="1014" t="s">
        <v>676</v>
      </c>
      <c r="E487" s="1015"/>
      <c r="F487" s="1015"/>
      <c r="G487" s="1015"/>
      <c r="H487" s="1015"/>
      <c r="I487" s="1016"/>
      <c r="J487" s="1013" t="s">
        <v>677</v>
      </c>
      <c r="K487" s="1015"/>
      <c r="L487" s="1015"/>
      <c r="M487" s="1015"/>
      <c r="N487" s="1015"/>
      <c r="O487" s="1017"/>
      <c r="P487" s="1014" t="s">
        <v>678</v>
      </c>
      <c r="Q487" s="1015"/>
      <c r="R487" s="1015"/>
      <c r="S487" s="1015"/>
      <c r="T487" s="1015"/>
      <c r="U487" s="1016"/>
      <c r="V487" s="1013" t="s">
        <v>679</v>
      </c>
      <c r="W487" s="1015"/>
      <c r="X487" s="1015"/>
      <c r="Y487" s="1015"/>
      <c r="Z487" s="1015"/>
      <c r="AA487" s="1017"/>
      <c r="AB487" s="1014" t="s">
        <v>680</v>
      </c>
      <c r="AC487" s="1015"/>
      <c r="AD487" s="1015"/>
      <c r="AE487" s="1015"/>
      <c r="AF487" s="1015"/>
      <c r="AG487" s="1017"/>
      <c r="AH487" s="1020"/>
      <c r="AI487" s="1020"/>
      <c r="AJ487" s="1021"/>
      <c r="AK487" s="1021"/>
      <c r="AL487" s="1021"/>
      <c r="AM487" s="1021"/>
      <c r="AN487" s="1021"/>
      <c r="AO487" s="1021"/>
      <c r="AP487" s="1021"/>
      <c r="AQ487" s="1021"/>
      <c r="AR487" s="1021"/>
      <c r="AS487" s="1021"/>
      <c r="AT487" s="1021"/>
      <c r="AU487" s="1021"/>
      <c r="AV487" s="1021"/>
      <c r="AW487" s="1021"/>
      <c r="AX487" s="1021"/>
      <c r="AY487" s="1022"/>
    </row>
    <row r="488" spans="2:51" ht="12.75" customHeight="1">
      <c r="B488" s="1023"/>
      <c r="C488" s="1024" t="s">
        <v>681</v>
      </c>
      <c r="D488" s="1029" t="s">
        <v>366</v>
      </c>
      <c r="E488" s="1030"/>
      <c r="F488" s="1030" t="s">
        <v>367</v>
      </c>
      <c r="G488" s="1030"/>
      <c r="H488" s="1030" t="s">
        <v>368</v>
      </c>
      <c r="I488" s="1031"/>
      <c r="J488" s="1028" t="s">
        <v>366</v>
      </c>
      <c r="K488" s="1030"/>
      <c r="L488" s="1030" t="s">
        <v>367</v>
      </c>
      <c r="M488" s="1030"/>
      <c r="N488" s="1030" t="s">
        <v>368</v>
      </c>
      <c r="O488" s="1032"/>
      <c r="P488" s="1029" t="s">
        <v>366</v>
      </c>
      <c r="Q488" s="1030"/>
      <c r="R488" s="1030" t="s">
        <v>367</v>
      </c>
      <c r="S488" s="1030"/>
      <c r="T488" s="1030" t="s">
        <v>368</v>
      </c>
      <c r="U488" s="1031"/>
      <c r="V488" s="1028" t="s">
        <v>366</v>
      </c>
      <c r="W488" s="1030"/>
      <c r="X488" s="1030" t="s">
        <v>367</v>
      </c>
      <c r="Y488" s="1030"/>
      <c r="Z488" s="1030" t="s">
        <v>368</v>
      </c>
      <c r="AA488" s="1032"/>
      <c r="AB488" s="1029" t="s">
        <v>366</v>
      </c>
      <c r="AC488" s="1030"/>
      <c r="AD488" s="1030" t="s">
        <v>366</v>
      </c>
      <c r="AE488" s="1030"/>
      <c r="AF488" s="1030" t="s">
        <v>367</v>
      </c>
      <c r="AG488" s="1032"/>
      <c r="AH488" s="1589" t="s">
        <v>1381</v>
      </c>
      <c r="AI488" s="1035"/>
      <c r="AJ488" s="1036"/>
      <c r="AK488" s="1036"/>
      <c r="AL488" s="1036"/>
      <c r="AM488" s="1036"/>
      <c r="AN488" s="1036"/>
      <c r="AO488" s="1036"/>
      <c r="AP488" s="1036"/>
      <c r="AQ488" s="1036"/>
      <c r="AR488" s="1036"/>
      <c r="AS488" s="1036"/>
      <c r="AT488" s="1036"/>
      <c r="AU488" s="1036"/>
      <c r="AV488" s="1036"/>
      <c r="AW488" s="1036"/>
      <c r="AX488" s="1036"/>
      <c r="AY488" s="1037"/>
    </row>
    <row r="489" spans="2:51" ht="12.75" customHeight="1">
      <c r="B489" s="2108" t="str">
        <f>+$B$6</f>
        <v>事務所・店舗・百貨店</v>
      </c>
      <c r="C489" s="2141">
        <f>+C491</f>
        <v>6792550</v>
      </c>
      <c r="D489" s="2155">
        <v>1000</v>
      </c>
      <c r="E489" s="2227">
        <v>1.05</v>
      </c>
      <c r="F489" s="2156">
        <v>750</v>
      </c>
      <c r="G489" s="2227">
        <v>1</v>
      </c>
      <c r="H489" s="2156" t="s">
        <v>1195</v>
      </c>
      <c r="I489" s="2157" t="s">
        <v>1195</v>
      </c>
      <c r="J489" s="2182">
        <v>13</v>
      </c>
      <c r="K489" s="2136">
        <v>1.24</v>
      </c>
      <c r="L489" s="2156">
        <v>8</v>
      </c>
      <c r="M489" s="2136">
        <v>1</v>
      </c>
      <c r="N489" s="2156">
        <v>5</v>
      </c>
      <c r="O489" s="2137">
        <v>0.85</v>
      </c>
      <c r="P489" s="2155">
        <v>105</v>
      </c>
      <c r="Q489" s="2136">
        <v>1.1599999999999999</v>
      </c>
      <c r="R489" s="2156">
        <v>60</v>
      </c>
      <c r="S489" s="2136">
        <v>1</v>
      </c>
      <c r="T489" s="2156">
        <v>45</v>
      </c>
      <c r="U489" s="2180">
        <v>0.95</v>
      </c>
      <c r="V489" s="2154" t="s">
        <v>666</v>
      </c>
      <c r="W489" s="2136">
        <v>1.1499999999999999</v>
      </c>
      <c r="X489" s="2136" t="s">
        <v>667</v>
      </c>
      <c r="Y489" s="2136">
        <v>1</v>
      </c>
      <c r="Z489" s="2136" t="s">
        <v>382</v>
      </c>
      <c r="AA489" s="2137">
        <v>0.9</v>
      </c>
      <c r="AB489" s="2228" t="s">
        <v>657</v>
      </c>
      <c r="AC489" s="2136">
        <v>1.03</v>
      </c>
      <c r="AD489" s="2205" t="s">
        <v>658</v>
      </c>
      <c r="AE489" s="2136">
        <v>1.02</v>
      </c>
      <c r="AF489" s="2136" t="s">
        <v>730</v>
      </c>
      <c r="AG489" s="2137">
        <v>1</v>
      </c>
      <c r="AH489" s="1035"/>
      <c r="AI489" s="1035"/>
      <c r="AJ489" s="1036"/>
      <c r="AK489" s="1036"/>
      <c r="AL489" s="1036"/>
      <c r="AM489" s="1036"/>
      <c r="AN489" s="1036"/>
      <c r="AO489" s="1036"/>
      <c r="AP489" s="1036"/>
      <c r="AQ489" s="1036"/>
      <c r="AR489" s="1036"/>
      <c r="AS489" s="1036"/>
      <c r="AT489" s="1036"/>
      <c r="AU489" s="1036"/>
      <c r="AV489" s="1036"/>
      <c r="AW489" s="1036"/>
      <c r="AX489" s="1036"/>
      <c r="AY489" s="1037"/>
    </row>
    <row r="490" spans="2:51" ht="12.75" customHeight="1">
      <c r="B490" s="2109" t="str">
        <f>+$B$7</f>
        <v>住宅・アパート</v>
      </c>
      <c r="C490" s="2119">
        <f>+C491</f>
        <v>6792550</v>
      </c>
      <c r="D490" s="2132">
        <v>1000</v>
      </c>
      <c r="E490" s="2229">
        <v>1.05</v>
      </c>
      <c r="F490" s="2133">
        <v>750</v>
      </c>
      <c r="G490" s="2229">
        <v>1</v>
      </c>
      <c r="H490" s="2133" t="s">
        <v>1195</v>
      </c>
      <c r="I490" s="2134" t="s">
        <v>1195</v>
      </c>
      <c r="J490" s="2183">
        <v>13</v>
      </c>
      <c r="K490" s="2121">
        <v>1.24</v>
      </c>
      <c r="L490" s="2133">
        <v>8</v>
      </c>
      <c r="M490" s="2121">
        <v>1</v>
      </c>
      <c r="N490" s="2133">
        <v>5</v>
      </c>
      <c r="O490" s="2123">
        <v>0.85</v>
      </c>
      <c r="P490" s="2132">
        <v>105</v>
      </c>
      <c r="Q490" s="2121">
        <v>1.1599999999999999</v>
      </c>
      <c r="R490" s="2133">
        <v>60</v>
      </c>
      <c r="S490" s="2121">
        <v>1</v>
      </c>
      <c r="T490" s="2133">
        <v>45</v>
      </c>
      <c r="U490" s="2135">
        <v>0.95</v>
      </c>
      <c r="V490" s="2124" t="s">
        <v>666</v>
      </c>
      <c r="W490" s="2121">
        <v>1.1499999999999999</v>
      </c>
      <c r="X490" s="2121" t="s">
        <v>667</v>
      </c>
      <c r="Y490" s="2121">
        <v>1</v>
      </c>
      <c r="Z490" s="2121" t="s">
        <v>382</v>
      </c>
      <c r="AA490" s="2123">
        <v>0.9</v>
      </c>
      <c r="AB490" s="2131" t="s">
        <v>657</v>
      </c>
      <c r="AC490" s="2121">
        <v>1.03</v>
      </c>
      <c r="AD490" s="2121" t="s">
        <v>658</v>
      </c>
      <c r="AE490" s="2121">
        <v>1.02</v>
      </c>
      <c r="AF490" s="2121" t="s">
        <v>730</v>
      </c>
      <c r="AG490" s="2123">
        <v>1</v>
      </c>
      <c r="AH490" s="1035"/>
      <c r="AI490" s="1035"/>
      <c r="AJ490" s="1036"/>
      <c r="AK490" s="1036"/>
      <c r="AL490" s="1036"/>
      <c r="AM490" s="1036"/>
      <c r="AN490" s="1036"/>
      <c r="AO490" s="1036"/>
      <c r="AP490" s="1036"/>
      <c r="AQ490" s="1036"/>
      <c r="AR490" s="1036"/>
      <c r="AS490" s="1036"/>
      <c r="AT490" s="1036"/>
      <c r="AU490" s="1036"/>
      <c r="AV490" s="1036"/>
      <c r="AW490" s="1036"/>
      <c r="AX490" s="1036"/>
      <c r="AY490" s="1037"/>
    </row>
    <row r="491" spans="2:51" ht="12.75" customHeight="1">
      <c r="B491" s="2109" t="str">
        <f>+$B$8</f>
        <v>病院・ホテル</v>
      </c>
      <c r="C491" s="1045">
        <v>6792550</v>
      </c>
      <c r="D491" s="1054">
        <v>1000</v>
      </c>
      <c r="E491" s="1047">
        <v>1.05</v>
      </c>
      <c r="F491" s="1055">
        <v>750</v>
      </c>
      <c r="G491" s="1047">
        <v>1</v>
      </c>
      <c r="H491" s="1055" t="s">
        <v>1195</v>
      </c>
      <c r="I491" s="1053" t="s">
        <v>1195</v>
      </c>
      <c r="J491" s="1130">
        <v>13</v>
      </c>
      <c r="K491" s="1047">
        <v>1.24</v>
      </c>
      <c r="L491" s="1108">
        <v>8</v>
      </c>
      <c r="M491" s="1047">
        <v>1</v>
      </c>
      <c r="N491" s="1108">
        <v>5</v>
      </c>
      <c r="O491" s="1048">
        <v>0.85</v>
      </c>
      <c r="P491" s="1107">
        <v>105</v>
      </c>
      <c r="Q491" s="1047">
        <v>1.1599999999999999</v>
      </c>
      <c r="R491" s="1108">
        <v>60</v>
      </c>
      <c r="S491" s="1047">
        <v>1</v>
      </c>
      <c r="T491" s="1108">
        <v>45</v>
      </c>
      <c r="U491" s="1053">
        <v>0.95</v>
      </c>
      <c r="V491" s="1056" t="s">
        <v>666</v>
      </c>
      <c r="W491" s="1047">
        <v>1.1499999999999999</v>
      </c>
      <c r="X491" s="1047" t="s">
        <v>667</v>
      </c>
      <c r="Y491" s="1047">
        <v>1</v>
      </c>
      <c r="Z491" s="1047" t="s">
        <v>382</v>
      </c>
      <c r="AA491" s="1048">
        <v>0.9</v>
      </c>
      <c r="AB491" s="1050" t="s">
        <v>657</v>
      </c>
      <c r="AC491" s="1047">
        <v>1.03</v>
      </c>
      <c r="AD491" s="1051" t="s">
        <v>658</v>
      </c>
      <c r="AE491" s="1047">
        <v>1.02</v>
      </c>
      <c r="AF491" s="1047" t="s">
        <v>730</v>
      </c>
      <c r="AG491" s="1048">
        <v>1</v>
      </c>
      <c r="AH491" s="1035"/>
      <c r="AI491" s="1035"/>
      <c r="AJ491" s="1036"/>
      <c r="AK491" s="1036"/>
      <c r="AL491" s="1036"/>
      <c r="AM491" s="1036"/>
      <c r="AN491" s="1036"/>
      <c r="AO491" s="1036"/>
      <c r="AP491" s="1036"/>
      <c r="AQ491" s="1036"/>
      <c r="AR491" s="1036"/>
      <c r="AS491" s="1036"/>
      <c r="AT491" s="1036"/>
      <c r="AU491" s="1036"/>
      <c r="AV491" s="1036"/>
      <c r="AW491" s="1036"/>
      <c r="AX491" s="1036"/>
      <c r="AY491" s="1037"/>
    </row>
    <row r="492" spans="2:51" ht="12.75" customHeight="1">
      <c r="B492" s="2109" t="str">
        <f>+$B$9</f>
        <v>工場・倉庫・市場</v>
      </c>
      <c r="C492" s="2119">
        <f>+C491</f>
        <v>6792550</v>
      </c>
      <c r="D492" s="2132">
        <v>1000</v>
      </c>
      <c r="E492" s="2229">
        <v>1.05</v>
      </c>
      <c r="F492" s="2133">
        <v>750</v>
      </c>
      <c r="G492" s="2229">
        <v>1</v>
      </c>
      <c r="H492" s="2133" t="s">
        <v>1195</v>
      </c>
      <c r="I492" s="2134" t="s">
        <v>1195</v>
      </c>
      <c r="J492" s="2183">
        <v>13</v>
      </c>
      <c r="K492" s="2121">
        <v>1.24</v>
      </c>
      <c r="L492" s="2133">
        <v>8</v>
      </c>
      <c r="M492" s="2121">
        <v>1</v>
      </c>
      <c r="N492" s="2133">
        <v>5</v>
      </c>
      <c r="O492" s="2123">
        <v>0.85</v>
      </c>
      <c r="P492" s="2132">
        <v>105</v>
      </c>
      <c r="Q492" s="2121">
        <v>1.1599999999999999</v>
      </c>
      <c r="R492" s="2133">
        <v>60</v>
      </c>
      <c r="S492" s="2121">
        <v>1</v>
      </c>
      <c r="T492" s="2133">
        <v>45</v>
      </c>
      <c r="U492" s="2135">
        <v>0.95</v>
      </c>
      <c r="V492" s="2124" t="s">
        <v>666</v>
      </c>
      <c r="W492" s="2121">
        <v>1.1499999999999999</v>
      </c>
      <c r="X492" s="2121" t="s">
        <v>667</v>
      </c>
      <c r="Y492" s="2121">
        <v>1</v>
      </c>
      <c r="Z492" s="2121" t="s">
        <v>382</v>
      </c>
      <c r="AA492" s="2123">
        <v>0.9</v>
      </c>
      <c r="AB492" s="2131" t="s">
        <v>657</v>
      </c>
      <c r="AC492" s="2121">
        <v>1.03</v>
      </c>
      <c r="AD492" s="2121" t="s">
        <v>658</v>
      </c>
      <c r="AE492" s="2121">
        <v>1.02</v>
      </c>
      <c r="AF492" s="2121" t="s">
        <v>730</v>
      </c>
      <c r="AG492" s="2123">
        <v>1</v>
      </c>
      <c r="AH492" s="1035"/>
      <c r="AI492" s="1035"/>
      <c r="AJ492" s="1036"/>
      <c r="AK492" s="1036"/>
      <c r="AL492" s="1036"/>
      <c r="AM492" s="1036"/>
      <c r="AN492" s="1036"/>
      <c r="AO492" s="1036"/>
      <c r="AP492" s="1036"/>
      <c r="AQ492" s="1036"/>
      <c r="AR492" s="1036"/>
      <c r="AS492" s="1036"/>
      <c r="AT492" s="1036"/>
      <c r="AU492" s="1036"/>
      <c r="AV492" s="1036"/>
      <c r="AW492" s="1036"/>
      <c r="AX492" s="1036"/>
      <c r="AY492" s="1037"/>
    </row>
    <row r="493" spans="2:51" ht="12.75" customHeight="1">
      <c r="B493" s="2110" t="str">
        <f>+$B$10</f>
        <v>劇場型建物</v>
      </c>
      <c r="C493" s="2158">
        <f>+C491</f>
        <v>6792550</v>
      </c>
      <c r="D493" s="2230">
        <v>1000</v>
      </c>
      <c r="E493" s="2231">
        <v>1.05</v>
      </c>
      <c r="F493" s="2232">
        <v>750</v>
      </c>
      <c r="G493" s="2231">
        <v>1</v>
      </c>
      <c r="H493" s="2232" t="s">
        <v>1195</v>
      </c>
      <c r="I493" s="2233" t="s">
        <v>1195</v>
      </c>
      <c r="J493" s="2234">
        <v>13</v>
      </c>
      <c r="K493" s="2127">
        <v>1.24</v>
      </c>
      <c r="L493" s="2232">
        <v>8</v>
      </c>
      <c r="M493" s="2127">
        <v>1</v>
      </c>
      <c r="N493" s="2232">
        <v>5</v>
      </c>
      <c r="O493" s="2129">
        <v>0.85</v>
      </c>
      <c r="P493" s="2230">
        <v>105</v>
      </c>
      <c r="Q493" s="2127">
        <v>1.1599999999999999</v>
      </c>
      <c r="R493" s="2232">
        <v>60</v>
      </c>
      <c r="S493" s="2127">
        <v>1</v>
      </c>
      <c r="T493" s="2232">
        <v>45</v>
      </c>
      <c r="U493" s="2181">
        <v>0.95</v>
      </c>
      <c r="V493" s="2130" t="s">
        <v>666</v>
      </c>
      <c r="W493" s="2127">
        <v>1.1499999999999999</v>
      </c>
      <c r="X493" s="2127" t="s">
        <v>667</v>
      </c>
      <c r="Y493" s="2127">
        <v>1</v>
      </c>
      <c r="Z493" s="2127" t="s">
        <v>382</v>
      </c>
      <c r="AA493" s="2129">
        <v>0.9</v>
      </c>
      <c r="AB493" s="2159" t="s">
        <v>657</v>
      </c>
      <c r="AC493" s="2127">
        <v>1.03</v>
      </c>
      <c r="AD493" s="2127" t="s">
        <v>658</v>
      </c>
      <c r="AE493" s="2127">
        <v>1.02</v>
      </c>
      <c r="AF493" s="2127" t="s">
        <v>730</v>
      </c>
      <c r="AG493" s="2129">
        <v>1</v>
      </c>
      <c r="AH493" s="1035"/>
      <c r="AI493" s="1035"/>
      <c r="AJ493" s="1036"/>
      <c r="AK493" s="1036"/>
      <c r="AL493" s="1036"/>
      <c r="AM493" s="1036"/>
      <c r="AN493" s="1036"/>
      <c r="AO493" s="1036"/>
      <c r="AP493" s="1036"/>
      <c r="AQ493" s="1036"/>
      <c r="AR493" s="1036"/>
      <c r="AS493" s="1036"/>
      <c r="AT493" s="1036"/>
      <c r="AU493" s="1036"/>
      <c r="AV493" s="1036"/>
      <c r="AW493" s="1036"/>
      <c r="AX493" s="1036"/>
      <c r="AY493" s="1037"/>
    </row>
    <row r="494" spans="2:51" ht="12.75" customHeight="1">
      <c r="B494" s="1008" t="s">
        <v>359</v>
      </c>
      <c r="C494" s="1121" t="s">
        <v>682</v>
      </c>
      <c r="D494" s="1014" t="s">
        <v>683</v>
      </c>
      <c r="E494" s="1015"/>
      <c r="F494" s="1015"/>
      <c r="G494" s="1015"/>
      <c r="H494" s="1015"/>
      <c r="I494" s="1016"/>
      <c r="J494" s="1013" t="s">
        <v>684</v>
      </c>
      <c r="K494" s="1015"/>
      <c r="L494" s="1015"/>
      <c r="M494" s="1015"/>
      <c r="N494" s="1015"/>
      <c r="O494" s="1017"/>
      <c r="P494" s="1014" t="s">
        <v>685</v>
      </c>
      <c r="Q494" s="1015"/>
      <c r="R494" s="1015"/>
      <c r="S494" s="1015"/>
      <c r="T494" s="1015"/>
      <c r="U494" s="1016"/>
      <c r="V494" s="1013" t="s">
        <v>686</v>
      </c>
      <c r="W494" s="1015"/>
      <c r="X494" s="1015"/>
      <c r="Y494" s="1015"/>
      <c r="Z494" s="1015"/>
      <c r="AA494" s="1017"/>
      <c r="AB494" s="1170"/>
      <c r="AC494" s="1020"/>
      <c r="AD494" s="1020"/>
      <c r="AE494" s="1020"/>
      <c r="AF494" s="1020"/>
      <c r="AG494" s="1020"/>
      <c r="AH494" s="1020"/>
      <c r="AI494" s="1020"/>
      <c r="AJ494" s="1021"/>
      <c r="AK494" s="1021"/>
      <c r="AL494" s="1021"/>
      <c r="AM494" s="1021"/>
      <c r="AN494" s="1021"/>
      <c r="AO494" s="1021"/>
      <c r="AP494" s="2254" t="s">
        <v>274</v>
      </c>
      <c r="AQ494" s="2252"/>
      <c r="AR494" s="1446"/>
      <c r="AS494" s="1021"/>
      <c r="AT494" s="1021"/>
      <c r="AU494" s="1021"/>
      <c r="AV494" s="1021"/>
      <c r="AW494" s="1021"/>
      <c r="AX494" s="1021"/>
      <c r="AY494" s="1022"/>
    </row>
    <row r="495" spans="2:51" ht="12.75" customHeight="1">
      <c r="B495" s="1023"/>
      <c r="C495" s="1024" t="s">
        <v>687</v>
      </c>
      <c r="D495" s="1029" t="s">
        <v>366</v>
      </c>
      <c r="E495" s="1030"/>
      <c r="F495" s="1030" t="s">
        <v>367</v>
      </c>
      <c r="G495" s="1030"/>
      <c r="H495" s="1030" t="s">
        <v>368</v>
      </c>
      <c r="I495" s="1031"/>
      <c r="J495" s="1028" t="s">
        <v>366</v>
      </c>
      <c r="K495" s="1030"/>
      <c r="L495" s="1030" t="s">
        <v>367</v>
      </c>
      <c r="M495" s="1030"/>
      <c r="N495" s="1030" t="s">
        <v>368</v>
      </c>
      <c r="O495" s="1032"/>
      <c r="P495" s="1029" t="s">
        <v>366</v>
      </c>
      <c r="Q495" s="1030"/>
      <c r="R495" s="1030" t="s">
        <v>367</v>
      </c>
      <c r="S495" s="1030"/>
      <c r="T495" s="1030" t="s">
        <v>368</v>
      </c>
      <c r="U495" s="1031"/>
      <c r="V495" s="1028" t="s">
        <v>366</v>
      </c>
      <c r="W495" s="1030"/>
      <c r="X495" s="1030" t="s">
        <v>367</v>
      </c>
      <c r="Y495" s="1030"/>
      <c r="Z495" s="1030" t="s">
        <v>368</v>
      </c>
      <c r="AA495" s="1032"/>
      <c r="AB495" s="1171"/>
      <c r="AC495" s="1035"/>
      <c r="AD495" s="1035"/>
      <c r="AE495" s="1035"/>
      <c r="AF495" s="1035"/>
      <c r="AG495" s="1035"/>
      <c r="AH495" s="1035"/>
      <c r="AI495" s="1035"/>
      <c r="AJ495" s="1036"/>
      <c r="AK495" s="1036"/>
      <c r="AL495" s="1036"/>
      <c r="AM495" s="1036"/>
      <c r="AN495" s="1036"/>
      <c r="AO495" s="1036"/>
      <c r="AP495" s="2255" t="s">
        <v>1448</v>
      </c>
      <c r="AQ495" s="1528" t="s">
        <v>1449</v>
      </c>
      <c r="AR495" s="1501"/>
      <c r="AS495" s="1528"/>
      <c r="AT495" s="1036"/>
      <c r="AU495" s="1036"/>
      <c r="AV495" s="1036"/>
      <c r="AW495" s="1036"/>
      <c r="AX495" s="1036"/>
      <c r="AY495" s="1037"/>
    </row>
    <row r="496" spans="2:51" ht="12.75" customHeight="1">
      <c r="B496" s="2108" t="str">
        <f>+$B$6</f>
        <v>事務所・店舗・百貨店</v>
      </c>
      <c r="C496" s="2258">
        <v>9688700</v>
      </c>
      <c r="D496" s="1043">
        <v>4000</v>
      </c>
      <c r="E496" s="1039">
        <v>1.35</v>
      </c>
      <c r="F496" s="1044">
        <v>2000</v>
      </c>
      <c r="G496" s="1039">
        <v>1</v>
      </c>
      <c r="H496" s="1044">
        <v>1000</v>
      </c>
      <c r="I496" s="1042">
        <v>0.76</v>
      </c>
      <c r="J496" s="1083">
        <v>8</v>
      </c>
      <c r="K496" s="1039">
        <v>1.2</v>
      </c>
      <c r="L496" s="1044">
        <v>3</v>
      </c>
      <c r="M496" s="1039">
        <v>1</v>
      </c>
      <c r="N496" s="1044">
        <v>2</v>
      </c>
      <c r="O496" s="1040">
        <v>0.95</v>
      </c>
      <c r="P496" s="1043">
        <v>105</v>
      </c>
      <c r="Q496" s="1039">
        <v>1.31</v>
      </c>
      <c r="R496" s="1044">
        <v>60</v>
      </c>
      <c r="S496" s="1039">
        <v>1</v>
      </c>
      <c r="T496" s="1044">
        <v>45</v>
      </c>
      <c r="U496" s="1042">
        <v>0.95</v>
      </c>
      <c r="V496" s="1063" t="s">
        <v>688</v>
      </c>
      <c r="W496" s="1039">
        <v>1.2</v>
      </c>
      <c r="X496" s="1061" t="s">
        <v>667</v>
      </c>
      <c r="Y496" s="1039">
        <v>1</v>
      </c>
      <c r="Z496" s="1039" t="s">
        <v>382</v>
      </c>
      <c r="AA496" s="1040">
        <v>0.8</v>
      </c>
      <c r="AB496" s="1171"/>
      <c r="AC496" s="1035"/>
      <c r="AD496" s="1035"/>
      <c r="AE496" s="1035"/>
      <c r="AF496" s="1035"/>
      <c r="AG496" s="1035"/>
      <c r="AH496" s="1035"/>
      <c r="AI496" s="1035"/>
      <c r="AJ496" s="1036"/>
      <c r="AK496" s="1036"/>
      <c r="AL496" s="1036"/>
      <c r="AM496" s="1036"/>
      <c r="AN496" s="1036"/>
      <c r="AO496" s="1036"/>
      <c r="AP496" s="2258">
        <v>1068680</v>
      </c>
      <c r="AQ496" s="1709"/>
      <c r="AR496" s="1709"/>
      <c r="AS496" s="1036"/>
      <c r="AT496" s="1036"/>
      <c r="AU496" s="1036"/>
      <c r="AV496" s="1036"/>
      <c r="AW496" s="1036"/>
      <c r="AX496" s="1036"/>
      <c r="AY496" s="1037"/>
    </row>
    <row r="497" spans="2:51" ht="12.75" customHeight="1">
      <c r="B497" s="2109" t="str">
        <f>+$B$7</f>
        <v>住宅・アパート</v>
      </c>
      <c r="C497" s="1045">
        <v>9688700</v>
      </c>
      <c r="D497" s="1054">
        <v>4000</v>
      </c>
      <c r="E497" s="1047">
        <v>1.35</v>
      </c>
      <c r="F497" s="1055">
        <v>2000</v>
      </c>
      <c r="G497" s="1047">
        <v>1</v>
      </c>
      <c r="H497" s="1055">
        <v>1000</v>
      </c>
      <c r="I497" s="1053">
        <v>0.76</v>
      </c>
      <c r="J497" s="1084">
        <v>8</v>
      </c>
      <c r="K497" s="1047">
        <v>1.2</v>
      </c>
      <c r="L497" s="1055">
        <v>3</v>
      </c>
      <c r="M497" s="1047">
        <v>1</v>
      </c>
      <c r="N497" s="1055">
        <v>2</v>
      </c>
      <c r="O497" s="1048">
        <v>0.95</v>
      </c>
      <c r="P497" s="1054">
        <v>105</v>
      </c>
      <c r="Q497" s="1047">
        <v>1.31</v>
      </c>
      <c r="R497" s="1055">
        <v>60</v>
      </c>
      <c r="S497" s="1047">
        <v>1</v>
      </c>
      <c r="T497" s="1055">
        <v>45</v>
      </c>
      <c r="U497" s="1053">
        <v>0.95</v>
      </c>
      <c r="V497" s="1056" t="s">
        <v>688</v>
      </c>
      <c r="W497" s="1047">
        <v>1.2</v>
      </c>
      <c r="X497" s="1047" t="s">
        <v>667</v>
      </c>
      <c r="Y497" s="1047">
        <v>1</v>
      </c>
      <c r="Z497" s="1047" t="s">
        <v>393</v>
      </c>
      <c r="AA497" s="1048">
        <v>0.8</v>
      </c>
      <c r="AB497" s="1171"/>
      <c r="AC497" s="1035"/>
      <c r="AD497" s="1035"/>
      <c r="AE497" s="1035"/>
      <c r="AF497" s="1035"/>
      <c r="AG497" s="1035"/>
      <c r="AH497" s="1035"/>
      <c r="AI497" s="1035"/>
      <c r="AJ497" s="1036"/>
      <c r="AK497" s="1036"/>
      <c r="AL497" s="1036"/>
      <c r="AM497" s="1036"/>
      <c r="AN497" s="1036"/>
      <c r="AO497" s="1036"/>
      <c r="AP497" s="1045">
        <v>1068680</v>
      </c>
      <c r="AQ497" s="1709"/>
      <c r="AR497" s="1709"/>
      <c r="AS497" s="1036"/>
      <c r="AT497" s="1036"/>
      <c r="AU497" s="1036"/>
      <c r="AV497" s="1036"/>
      <c r="AW497" s="1036"/>
      <c r="AX497" s="1036"/>
      <c r="AY497" s="1037"/>
    </row>
    <row r="498" spans="2:51" ht="12.75" customHeight="1">
      <c r="B498" s="2109" t="str">
        <f>+$B$8</f>
        <v>病院・ホテル</v>
      </c>
      <c r="C498" s="1045">
        <v>9688700</v>
      </c>
      <c r="D498" s="1054">
        <v>4000</v>
      </c>
      <c r="E498" s="1047">
        <v>1.35</v>
      </c>
      <c r="F498" s="1055">
        <v>2000</v>
      </c>
      <c r="G498" s="1047">
        <v>1</v>
      </c>
      <c r="H498" s="1055">
        <v>1000</v>
      </c>
      <c r="I498" s="1053">
        <v>0.76</v>
      </c>
      <c r="J498" s="1084">
        <v>8</v>
      </c>
      <c r="K498" s="1047">
        <v>1.2</v>
      </c>
      <c r="L498" s="1055">
        <v>3</v>
      </c>
      <c r="M498" s="1047">
        <v>1</v>
      </c>
      <c r="N498" s="1055">
        <v>2</v>
      </c>
      <c r="O498" s="1048">
        <v>0.95</v>
      </c>
      <c r="P498" s="1054">
        <v>105</v>
      </c>
      <c r="Q498" s="1047">
        <v>1.31</v>
      </c>
      <c r="R498" s="1055">
        <v>60</v>
      </c>
      <c r="S498" s="1047">
        <v>1</v>
      </c>
      <c r="T498" s="1055">
        <v>45</v>
      </c>
      <c r="U498" s="1053">
        <v>0.95</v>
      </c>
      <c r="V498" s="1056" t="s">
        <v>688</v>
      </c>
      <c r="W498" s="1047">
        <v>1.2</v>
      </c>
      <c r="X498" s="1047" t="s">
        <v>667</v>
      </c>
      <c r="Y498" s="1047">
        <v>1</v>
      </c>
      <c r="Z498" s="1047" t="s">
        <v>393</v>
      </c>
      <c r="AA498" s="1048">
        <v>0.8</v>
      </c>
      <c r="AB498" s="1171"/>
      <c r="AC498" s="1035"/>
      <c r="AD498" s="1035"/>
      <c r="AE498" s="1035"/>
      <c r="AF498" s="1035"/>
      <c r="AG498" s="1035"/>
      <c r="AH498" s="1035"/>
      <c r="AI498" s="1035"/>
      <c r="AJ498" s="1036"/>
      <c r="AK498" s="1036"/>
      <c r="AL498" s="1036"/>
      <c r="AM498" s="1036"/>
      <c r="AN498" s="1036"/>
      <c r="AO498" s="1036"/>
      <c r="AP498" s="1045">
        <v>1068680</v>
      </c>
      <c r="AQ498" s="1709"/>
      <c r="AR498" s="1709"/>
      <c r="AS498" s="1036"/>
      <c r="AT498" s="1036"/>
      <c r="AU498" s="1036"/>
      <c r="AV498" s="1036"/>
      <c r="AW498" s="1036"/>
      <c r="AX498" s="1036"/>
      <c r="AY498" s="1037"/>
    </row>
    <row r="499" spans="2:51" ht="12.75" customHeight="1">
      <c r="B499" s="2109" t="str">
        <f>+$B$9</f>
        <v>工場・倉庫・市場</v>
      </c>
      <c r="C499" s="1045">
        <v>9688700</v>
      </c>
      <c r="D499" s="1054">
        <v>4000</v>
      </c>
      <c r="E499" s="1047">
        <v>1.35</v>
      </c>
      <c r="F499" s="1055">
        <v>2000</v>
      </c>
      <c r="G499" s="1047">
        <v>1</v>
      </c>
      <c r="H499" s="1055">
        <v>1000</v>
      </c>
      <c r="I499" s="1053">
        <v>0.76</v>
      </c>
      <c r="J499" s="1084">
        <v>8</v>
      </c>
      <c r="K499" s="1047">
        <v>1.2</v>
      </c>
      <c r="L499" s="1055">
        <v>3</v>
      </c>
      <c r="M499" s="1047">
        <v>1</v>
      </c>
      <c r="N499" s="1055">
        <v>2</v>
      </c>
      <c r="O499" s="1048">
        <v>0.95</v>
      </c>
      <c r="P499" s="1054">
        <v>105</v>
      </c>
      <c r="Q499" s="1047">
        <v>1.31</v>
      </c>
      <c r="R499" s="1055">
        <v>60</v>
      </c>
      <c r="S499" s="1047">
        <v>1</v>
      </c>
      <c r="T499" s="1055">
        <v>45</v>
      </c>
      <c r="U499" s="1053">
        <v>0.95</v>
      </c>
      <c r="V499" s="1056" t="s">
        <v>688</v>
      </c>
      <c r="W499" s="1047">
        <v>1.2</v>
      </c>
      <c r="X499" s="1047" t="s">
        <v>667</v>
      </c>
      <c r="Y499" s="1047">
        <v>1</v>
      </c>
      <c r="Z499" s="1047" t="s">
        <v>393</v>
      </c>
      <c r="AA499" s="1048">
        <v>0.8</v>
      </c>
      <c r="AB499" s="1171"/>
      <c r="AC499" s="1035"/>
      <c r="AD499" s="1035"/>
      <c r="AE499" s="1035"/>
      <c r="AF499" s="1035"/>
      <c r="AG499" s="1035"/>
      <c r="AH499" s="1035"/>
      <c r="AI499" s="1035"/>
      <c r="AJ499" s="1036"/>
      <c r="AK499" s="1036"/>
      <c r="AL499" s="1036"/>
      <c r="AM499" s="1036"/>
      <c r="AN499" s="1036"/>
      <c r="AO499" s="1036"/>
      <c r="AP499" s="1045">
        <v>1068680</v>
      </c>
      <c r="AQ499" s="1709"/>
      <c r="AR499" s="1709"/>
      <c r="AS499" s="1036"/>
      <c r="AT499" s="1036"/>
      <c r="AU499" s="1036"/>
      <c r="AV499" s="1036"/>
      <c r="AW499" s="1036"/>
      <c r="AX499" s="1036"/>
      <c r="AY499" s="1037"/>
    </row>
    <row r="500" spans="2:51" ht="12.75" customHeight="1">
      <c r="B500" s="2110" t="str">
        <f>+$B$10</f>
        <v>劇場型建物</v>
      </c>
      <c r="C500" s="2463">
        <v>9688700</v>
      </c>
      <c r="D500" s="1065">
        <v>4000</v>
      </c>
      <c r="E500" s="1061">
        <v>1.35</v>
      </c>
      <c r="F500" s="1066">
        <v>2000</v>
      </c>
      <c r="G500" s="1061">
        <v>1</v>
      </c>
      <c r="H500" s="1066">
        <v>1000</v>
      </c>
      <c r="I500" s="1064">
        <v>0.76</v>
      </c>
      <c r="J500" s="1085">
        <v>8</v>
      </c>
      <c r="K500" s="1061">
        <v>1.2</v>
      </c>
      <c r="L500" s="1066">
        <v>3</v>
      </c>
      <c r="M500" s="1061">
        <v>1</v>
      </c>
      <c r="N500" s="1066">
        <v>2</v>
      </c>
      <c r="O500" s="1062">
        <v>0.95</v>
      </c>
      <c r="P500" s="1065">
        <v>105</v>
      </c>
      <c r="Q500" s="1061">
        <v>1.31</v>
      </c>
      <c r="R500" s="1066">
        <v>60</v>
      </c>
      <c r="S500" s="1061">
        <v>1</v>
      </c>
      <c r="T500" s="1066">
        <v>45</v>
      </c>
      <c r="U500" s="1064">
        <v>0.95</v>
      </c>
      <c r="V500" s="1063" t="s">
        <v>688</v>
      </c>
      <c r="W500" s="1061">
        <v>1.2</v>
      </c>
      <c r="X500" s="1061" t="s">
        <v>667</v>
      </c>
      <c r="Y500" s="1061">
        <v>1</v>
      </c>
      <c r="Z500" s="1061" t="s">
        <v>393</v>
      </c>
      <c r="AA500" s="1062">
        <v>0.8</v>
      </c>
      <c r="AB500" s="1171"/>
      <c r="AC500" s="1035"/>
      <c r="AD500" s="1035"/>
      <c r="AE500" s="1035"/>
      <c r="AF500" s="1035"/>
      <c r="AG500" s="1035"/>
      <c r="AH500" s="1035"/>
      <c r="AI500" s="1035"/>
      <c r="AJ500" s="1036"/>
      <c r="AK500" s="1036"/>
      <c r="AL500" s="1036"/>
      <c r="AM500" s="1036"/>
      <c r="AN500" s="1036"/>
      <c r="AO500" s="1036"/>
      <c r="AP500" s="1102">
        <v>1068680</v>
      </c>
      <c r="AQ500" s="2256"/>
      <c r="AR500" s="1710"/>
      <c r="AS500" s="1036"/>
      <c r="AT500" s="1036"/>
      <c r="AU500" s="1036"/>
      <c r="AV500" s="1036"/>
      <c r="AW500" s="1036"/>
      <c r="AX500" s="1036"/>
      <c r="AY500" s="1037"/>
    </row>
    <row r="501" spans="2:51" ht="12.75" customHeight="1">
      <c r="B501" s="1008" t="s">
        <v>359</v>
      </c>
      <c r="C501" s="1121" t="s">
        <v>689</v>
      </c>
      <c r="D501" s="1014" t="s">
        <v>690</v>
      </c>
      <c r="E501" s="1015"/>
      <c r="F501" s="1015"/>
      <c r="G501" s="1015"/>
      <c r="H501" s="1015"/>
      <c r="I501" s="1016"/>
      <c r="J501" s="1013" t="s">
        <v>691</v>
      </c>
      <c r="K501" s="1015"/>
      <c r="L501" s="1015"/>
      <c r="M501" s="1015"/>
      <c r="N501" s="1015"/>
      <c r="O501" s="1017"/>
      <c r="P501" s="1014" t="s">
        <v>692</v>
      </c>
      <c r="Q501" s="1015"/>
      <c r="R501" s="1015"/>
      <c r="S501" s="1015"/>
      <c r="T501" s="1015"/>
      <c r="U501" s="1016"/>
      <c r="V501" s="1013" t="s">
        <v>693</v>
      </c>
      <c r="W501" s="1015"/>
      <c r="X501" s="1015"/>
      <c r="Y501" s="1015"/>
      <c r="Z501" s="1015"/>
      <c r="AA501" s="1017"/>
      <c r="AB501" s="1014" t="s">
        <v>694</v>
      </c>
      <c r="AC501" s="1015"/>
      <c r="AD501" s="1015"/>
      <c r="AE501" s="1015"/>
      <c r="AF501" s="1015"/>
      <c r="AG501" s="1017"/>
      <c r="AH501" s="1020"/>
      <c r="AI501" s="1020"/>
      <c r="AJ501" s="1021"/>
      <c r="AK501" s="1021"/>
      <c r="AL501" s="1021"/>
      <c r="AM501" s="1021"/>
      <c r="AN501" s="1021"/>
      <c r="AO501" s="1021"/>
      <c r="AP501" s="1021"/>
      <c r="AQ501" s="1021"/>
      <c r="AR501" s="1021"/>
      <c r="AS501" s="1021"/>
      <c r="AT501" s="1021"/>
      <c r="AU501" s="1021"/>
      <c r="AV501" s="1021"/>
      <c r="AW501" s="1021"/>
      <c r="AX501" s="1021"/>
      <c r="AY501" s="1022"/>
    </row>
    <row r="502" spans="2:51" ht="12.75" customHeight="1">
      <c r="B502" s="1023"/>
      <c r="C502" s="1024" t="s">
        <v>695</v>
      </c>
      <c r="D502" s="1029" t="s">
        <v>366</v>
      </c>
      <c r="E502" s="1030"/>
      <c r="F502" s="1030" t="s">
        <v>367</v>
      </c>
      <c r="G502" s="1030"/>
      <c r="H502" s="1030" t="s">
        <v>368</v>
      </c>
      <c r="I502" s="1031"/>
      <c r="J502" s="1028" t="s">
        <v>366</v>
      </c>
      <c r="K502" s="1030"/>
      <c r="L502" s="1030" t="s">
        <v>367</v>
      </c>
      <c r="M502" s="1030"/>
      <c r="N502" s="1030" t="s">
        <v>368</v>
      </c>
      <c r="O502" s="1032"/>
      <c r="P502" s="1029" t="s">
        <v>366</v>
      </c>
      <c r="Q502" s="1030"/>
      <c r="R502" s="1030" t="s">
        <v>367</v>
      </c>
      <c r="S502" s="1030"/>
      <c r="T502" s="1030" t="s">
        <v>368</v>
      </c>
      <c r="U502" s="1031"/>
      <c r="V502" s="1028" t="s">
        <v>366</v>
      </c>
      <c r="W502" s="1030"/>
      <c r="X502" s="1030" t="s">
        <v>367</v>
      </c>
      <c r="Y502" s="1030"/>
      <c r="Z502" s="1030" t="s">
        <v>368</v>
      </c>
      <c r="AA502" s="1032"/>
      <c r="AB502" s="1029" t="s">
        <v>366</v>
      </c>
      <c r="AC502" s="1030"/>
      <c r="AD502" s="1030" t="s">
        <v>367</v>
      </c>
      <c r="AE502" s="1030"/>
      <c r="AF502" s="1030" t="s">
        <v>368</v>
      </c>
      <c r="AG502" s="1032"/>
      <c r="AH502" s="1035"/>
      <c r="AI502" s="1035"/>
      <c r="AJ502" s="1036"/>
      <c r="AK502" s="1036"/>
      <c r="AL502" s="1036"/>
      <c r="AM502" s="1036"/>
      <c r="AN502" s="1036"/>
      <c r="AO502" s="1036"/>
      <c r="AP502" s="1036"/>
      <c r="AQ502" s="1036"/>
      <c r="AR502" s="1036"/>
      <c r="AS502" s="1036"/>
      <c r="AT502" s="1036"/>
      <c r="AU502" s="1036"/>
      <c r="AV502" s="1036"/>
      <c r="AW502" s="1036"/>
      <c r="AX502" s="1036"/>
      <c r="AY502" s="1037"/>
    </row>
    <row r="503" spans="2:51" ht="12.75" customHeight="1">
      <c r="B503" s="2108" t="str">
        <f>+$B$6</f>
        <v>事務所・店舗・百貨店</v>
      </c>
      <c r="C503" s="2258">
        <v>11610920</v>
      </c>
      <c r="D503" s="1043">
        <v>3000</v>
      </c>
      <c r="E503" s="1039">
        <v>1.0900000000000001</v>
      </c>
      <c r="F503" s="1044">
        <v>2500</v>
      </c>
      <c r="G503" s="1039">
        <v>1</v>
      </c>
      <c r="H503" s="1044">
        <v>2000</v>
      </c>
      <c r="I503" s="1042">
        <v>0.92</v>
      </c>
      <c r="J503" s="1083">
        <v>5</v>
      </c>
      <c r="K503" s="1039">
        <v>1.1499999999999999</v>
      </c>
      <c r="L503" s="1044">
        <v>2</v>
      </c>
      <c r="M503" s="1039">
        <v>1</v>
      </c>
      <c r="N503" s="1044"/>
      <c r="O503" s="1040"/>
      <c r="P503" s="1043">
        <v>45</v>
      </c>
      <c r="Q503" s="1039">
        <v>1.05</v>
      </c>
      <c r="R503" s="1044">
        <v>30</v>
      </c>
      <c r="S503" s="1039">
        <v>1</v>
      </c>
      <c r="T503" s="1044">
        <v>15</v>
      </c>
      <c r="U503" s="1042">
        <v>0.95</v>
      </c>
      <c r="V503" s="1041" t="s">
        <v>696</v>
      </c>
      <c r="W503" s="1039">
        <v>1.5</v>
      </c>
      <c r="X503" s="1039" t="s">
        <v>697</v>
      </c>
      <c r="Y503" s="1039">
        <v>1</v>
      </c>
      <c r="Z503" s="1039" t="s">
        <v>698</v>
      </c>
      <c r="AA503" s="1040">
        <v>0.95</v>
      </c>
      <c r="AB503" s="1063" t="s">
        <v>688</v>
      </c>
      <c r="AC503" s="1039">
        <v>1.1499999999999999</v>
      </c>
      <c r="AD503" s="1061" t="s">
        <v>667</v>
      </c>
      <c r="AE503" s="1039">
        <v>1</v>
      </c>
      <c r="AF503" s="1039" t="s">
        <v>382</v>
      </c>
      <c r="AG503" s="1040">
        <v>0.8</v>
      </c>
      <c r="AH503" s="1589" t="s">
        <v>1382</v>
      </c>
      <c r="AI503" s="1035"/>
      <c r="AJ503" s="1036"/>
      <c r="AK503" s="1036"/>
      <c r="AL503" s="1036"/>
      <c r="AM503" s="1036"/>
      <c r="AN503" s="1036"/>
      <c r="AO503" s="1036"/>
      <c r="AP503" s="1036"/>
      <c r="AQ503" s="1036"/>
      <c r="AR503" s="1036"/>
      <c r="AS503" s="1036"/>
      <c r="AT503" s="1036"/>
      <c r="AU503" s="1036"/>
      <c r="AV503" s="1036"/>
      <c r="AW503" s="1036"/>
      <c r="AX503" s="1036"/>
      <c r="AY503" s="1037"/>
    </row>
    <row r="504" spans="2:51" ht="12.75" customHeight="1">
      <c r="B504" s="2109" t="str">
        <f>+$B$7</f>
        <v>住宅・アパート</v>
      </c>
      <c r="C504" s="2119">
        <f>+C503</f>
        <v>11610920</v>
      </c>
      <c r="D504" s="2120">
        <v>3000</v>
      </c>
      <c r="E504" s="2121">
        <v>1.0900000000000001</v>
      </c>
      <c r="F504" s="2122">
        <v>2500</v>
      </c>
      <c r="G504" s="2121">
        <v>1</v>
      </c>
      <c r="H504" s="2122">
        <v>2000</v>
      </c>
      <c r="I504" s="2135">
        <v>0.92</v>
      </c>
      <c r="J504" s="2220">
        <v>5</v>
      </c>
      <c r="K504" s="2121">
        <v>1.1499999999999999</v>
      </c>
      <c r="L504" s="2122">
        <v>2</v>
      </c>
      <c r="M504" s="2121">
        <v>1</v>
      </c>
      <c r="N504" s="2122"/>
      <c r="O504" s="2123"/>
      <c r="P504" s="2120">
        <v>45</v>
      </c>
      <c r="Q504" s="2121">
        <v>1.05</v>
      </c>
      <c r="R504" s="2122">
        <v>30</v>
      </c>
      <c r="S504" s="2121">
        <v>1</v>
      </c>
      <c r="T504" s="2122">
        <v>15</v>
      </c>
      <c r="U504" s="2135">
        <v>0.95</v>
      </c>
      <c r="V504" s="2124" t="s">
        <v>699</v>
      </c>
      <c r="W504" s="2121">
        <v>1.5</v>
      </c>
      <c r="X504" s="2121" t="s">
        <v>700</v>
      </c>
      <c r="Y504" s="2121">
        <v>1</v>
      </c>
      <c r="Z504" s="2121" t="s">
        <v>701</v>
      </c>
      <c r="AA504" s="2123">
        <v>0.95</v>
      </c>
      <c r="AB504" s="2124" t="s">
        <v>688</v>
      </c>
      <c r="AC504" s="2121">
        <v>1.1499999999999999</v>
      </c>
      <c r="AD504" s="2121" t="s">
        <v>667</v>
      </c>
      <c r="AE504" s="2121">
        <v>1</v>
      </c>
      <c r="AF504" s="2121" t="s">
        <v>393</v>
      </c>
      <c r="AG504" s="2123">
        <v>0.8</v>
      </c>
      <c r="AH504" s="1035"/>
      <c r="AI504" s="1035"/>
      <c r="AJ504" s="1036"/>
      <c r="AK504" s="1036"/>
      <c r="AL504" s="1036"/>
      <c r="AM504" s="1036"/>
      <c r="AN504" s="1036"/>
      <c r="AO504" s="1036"/>
      <c r="AP504" s="1036"/>
      <c r="AQ504" s="1036"/>
      <c r="AR504" s="1036"/>
      <c r="AS504" s="1036"/>
      <c r="AT504" s="1036"/>
      <c r="AU504" s="1036"/>
      <c r="AV504" s="1036"/>
      <c r="AW504" s="1036"/>
      <c r="AX504" s="1036"/>
      <c r="AY504" s="1037"/>
    </row>
    <row r="505" spans="2:51" ht="12.75" customHeight="1">
      <c r="B505" s="2109" t="str">
        <f>+$B$8</f>
        <v>病院・ホテル</v>
      </c>
      <c r="C505" s="2119">
        <f>+C503</f>
        <v>11610920</v>
      </c>
      <c r="D505" s="2120">
        <v>3000</v>
      </c>
      <c r="E505" s="2121">
        <v>1.0900000000000001</v>
      </c>
      <c r="F505" s="2122">
        <v>2500</v>
      </c>
      <c r="G505" s="2121">
        <v>1</v>
      </c>
      <c r="H505" s="2122">
        <v>2000</v>
      </c>
      <c r="I505" s="2135">
        <v>0.92</v>
      </c>
      <c r="J505" s="2220">
        <v>5</v>
      </c>
      <c r="K505" s="2121">
        <v>1.1499999999999999</v>
      </c>
      <c r="L505" s="2122">
        <v>2</v>
      </c>
      <c r="M505" s="2121">
        <v>1</v>
      </c>
      <c r="N505" s="2122"/>
      <c r="O505" s="2123"/>
      <c r="P505" s="2120">
        <v>45</v>
      </c>
      <c r="Q505" s="2121">
        <v>1.05</v>
      </c>
      <c r="R505" s="2122">
        <v>30</v>
      </c>
      <c r="S505" s="2121">
        <v>1</v>
      </c>
      <c r="T505" s="2122">
        <v>15</v>
      </c>
      <c r="U505" s="2135">
        <v>0.95</v>
      </c>
      <c r="V505" s="2124" t="s">
        <v>699</v>
      </c>
      <c r="W505" s="2121">
        <v>1.5</v>
      </c>
      <c r="X505" s="2121" t="s">
        <v>700</v>
      </c>
      <c r="Y505" s="2121">
        <v>1</v>
      </c>
      <c r="Z505" s="2121" t="s">
        <v>701</v>
      </c>
      <c r="AA505" s="2123">
        <v>0.95</v>
      </c>
      <c r="AB505" s="2124" t="s">
        <v>688</v>
      </c>
      <c r="AC505" s="2121">
        <v>1.1499999999999999</v>
      </c>
      <c r="AD505" s="2121" t="s">
        <v>667</v>
      </c>
      <c r="AE505" s="2121">
        <v>1</v>
      </c>
      <c r="AF505" s="2121" t="s">
        <v>393</v>
      </c>
      <c r="AG505" s="2123">
        <v>0.8</v>
      </c>
      <c r="AH505" s="1035"/>
      <c r="AI505" s="1035"/>
      <c r="AJ505" s="1036"/>
      <c r="AK505" s="1036"/>
      <c r="AL505" s="1036"/>
      <c r="AM505" s="1036"/>
      <c r="AN505" s="1036"/>
      <c r="AO505" s="1036"/>
      <c r="AP505" s="1036"/>
      <c r="AQ505" s="1036"/>
      <c r="AR505" s="1036"/>
      <c r="AS505" s="1036"/>
      <c r="AT505" s="1036"/>
      <c r="AU505" s="1036"/>
      <c r="AV505" s="1036"/>
      <c r="AW505" s="1036"/>
      <c r="AX505" s="1036"/>
      <c r="AY505" s="1037"/>
    </row>
    <row r="506" spans="2:51" ht="12.75" customHeight="1">
      <c r="B506" s="2109" t="str">
        <f>+$B$9</f>
        <v>工場・倉庫・市場</v>
      </c>
      <c r="C506" s="2119">
        <f>+C503</f>
        <v>11610920</v>
      </c>
      <c r="D506" s="2120">
        <v>3000</v>
      </c>
      <c r="E506" s="2121">
        <v>1.0900000000000001</v>
      </c>
      <c r="F506" s="2122">
        <v>2500</v>
      </c>
      <c r="G506" s="2121">
        <v>1</v>
      </c>
      <c r="H506" s="2122">
        <v>2000</v>
      </c>
      <c r="I506" s="2135">
        <v>0.92</v>
      </c>
      <c r="J506" s="2220">
        <v>5</v>
      </c>
      <c r="K506" s="2121">
        <v>1.1499999999999999</v>
      </c>
      <c r="L506" s="2122">
        <v>2</v>
      </c>
      <c r="M506" s="2121">
        <v>1</v>
      </c>
      <c r="N506" s="2122"/>
      <c r="O506" s="2123"/>
      <c r="P506" s="2120">
        <v>45</v>
      </c>
      <c r="Q506" s="2121">
        <v>1.05</v>
      </c>
      <c r="R506" s="2122">
        <v>30</v>
      </c>
      <c r="S506" s="2121">
        <v>1</v>
      </c>
      <c r="T506" s="2122">
        <v>15</v>
      </c>
      <c r="U506" s="2135">
        <v>0.95</v>
      </c>
      <c r="V506" s="2124" t="s">
        <v>699</v>
      </c>
      <c r="W506" s="2121">
        <v>1.5</v>
      </c>
      <c r="X506" s="2121" t="s">
        <v>700</v>
      </c>
      <c r="Y506" s="2121">
        <v>1</v>
      </c>
      <c r="Z506" s="2121" t="s">
        <v>701</v>
      </c>
      <c r="AA506" s="2123">
        <v>0.95</v>
      </c>
      <c r="AB506" s="2124" t="s">
        <v>688</v>
      </c>
      <c r="AC506" s="2121">
        <v>1.1499999999999999</v>
      </c>
      <c r="AD506" s="2121" t="s">
        <v>667</v>
      </c>
      <c r="AE506" s="2121">
        <v>1</v>
      </c>
      <c r="AF506" s="2121" t="s">
        <v>393</v>
      </c>
      <c r="AG506" s="2123">
        <v>0.8</v>
      </c>
      <c r="AH506" s="1035"/>
      <c r="AI506" s="1035"/>
      <c r="AJ506" s="1036"/>
      <c r="AK506" s="1036"/>
      <c r="AL506" s="1036"/>
      <c r="AM506" s="1036"/>
      <c r="AN506" s="1036"/>
      <c r="AO506" s="1036"/>
      <c r="AP506" s="1036"/>
      <c r="AQ506" s="1036"/>
      <c r="AR506" s="1036"/>
      <c r="AS506" s="1036"/>
      <c r="AT506" s="1036"/>
      <c r="AU506" s="1036"/>
      <c r="AV506" s="1036"/>
      <c r="AW506" s="1036"/>
      <c r="AX506" s="1036"/>
      <c r="AY506" s="1037"/>
    </row>
    <row r="507" spans="2:51" ht="12.75" customHeight="1">
      <c r="B507" s="2110" t="str">
        <f>+$B$10</f>
        <v>劇場型建物</v>
      </c>
      <c r="C507" s="2158">
        <f>+C503</f>
        <v>11610920</v>
      </c>
      <c r="D507" s="2126">
        <v>3000</v>
      </c>
      <c r="E507" s="2127">
        <v>1.0900000000000001</v>
      </c>
      <c r="F507" s="2128">
        <v>2500</v>
      </c>
      <c r="G507" s="2127">
        <v>1</v>
      </c>
      <c r="H507" s="2128">
        <v>2000</v>
      </c>
      <c r="I507" s="2181">
        <v>0.92</v>
      </c>
      <c r="J507" s="2223">
        <v>5</v>
      </c>
      <c r="K507" s="2127">
        <v>1.1499999999999999</v>
      </c>
      <c r="L507" s="2128">
        <v>2</v>
      </c>
      <c r="M507" s="2127">
        <v>1</v>
      </c>
      <c r="N507" s="2128"/>
      <c r="O507" s="2129"/>
      <c r="P507" s="2126">
        <v>45</v>
      </c>
      <c r="Q507" s="2127">
        <v>1.05</v>
      </c>
      <c r="R507" s="2128">
        <v>30</v>
      </c>
      <c r="S507" s="2127">
        <v>1</v>
      </c>
      <c r="T507" s="2128">
        <v>15</v>
      </c>
      <c r="U507" s="2181">
        <v>0.95</v>
      </c>
      <c r="V507" s="2130" t="s">
        <v>699</v>
      </c>
      <c r="W507" s="2127">
        <v>1.5</v>
      </c>
      <c r="X507" s="2127" t="s">
        <v>700</v>
      </c>
      <c r="Y507" s="2127">
        <v>1</v>
      </c>
      <c r="Z507" s="2127" t="s">
        <v>701</v>
      </c>
      <c r="AA507" s="2129">
        <v>0.95</v>
      </c>
      <c r="AB507" s="2130" t="s">
        <v>688</v>
      </c>
      <c r="AC507" s="2127">
        <v>1.1499999999999999</v>
      </c>
      <c r="AD507" s="2127" t="s">
        <v>667</v>
      </c>
      <c r="AE507" s="2127">
        <v>1</v>
      </c>
      <c r="AF507" s="2127" t="s">
        <v>393</v>
      </c>
      <c r="AG507" s="2129">
        <v>0.8</v>
      </c>
      <c r="AH507" s="1035"/>
      <c r="AI507" s="1035"/>
      <c r="AJ507" s="1036"/>
      <c r="AK507" s="1036"/>
      <c r="AL507" s="1036"/>
      <c r="AM507" s="1036"/>
      <c r="AN507" s="1036"/>
      <c r="AO507" s="1036"/>
      <c r="AP507" s="1036"/>
      <c r="AQ507" s="1036"/>
      <c r="AR507" s="1036"/>
      <c r="AS507" s="1036"/>
      <c r="AT507" s="1036"/>
      <c r="AU507" s="1036"/>
      <c r="AV507" s="1036"/>
      <c r="AW507" s="1036"/>
      <c r="AX507" s="1036"/>
      <c r="AY507" s="1037"/>
    </row>
    <row r="508" spans="2:51" ht="12.75" customHeight="1">
      <c r="B508" s="1008" t="s">
        <v>359</v>
      </c>
      <c r="C508" s="1121" t="s">
        <v>702</v>
      </c>
      <c r="D508" s="1013" t="s">
        <v>703</v>
      </c>
      <c r="E508" s="1015"/>
      <c r="F508" s="1015"/>
      <c r="G508" s="1015"/>
      <c r="H508" s="1015"/>
      <c r="I508" s="1017"/>
      <c r="J508" s="1013" t="s">
        <v>704</v>
      </c>
      <c r="K508" s="1015"/>
      <c r="L508" s="1015"/>
      <c r="M508" s="1015"/>
      <c r="N508" s="1015"/>
      <c r="O508" s="1017"/>
      <c r="P508" s="1014" t="s">
        <v>705</v>
      </c>
      <c r="Q508" s="1015"/>
      <c r="R508" s="1015"/>
      <c r="S508" s="1015"/>
      <c r="T508" s="1015"/>
      <c r="U508" s="1016"/>
      <c r="V508" s="1103"/>
      <c r="W508" s="1098"/>
      <c r="X508" s="1098"/>
      <c r="Y508" s="1098"/>
      <c r="Z508" s="1098"/>
      <c r="AA508" s="1098"/>
      <c r="AB508" s="1172"/>
      <c r="AC508" s="1172"/>
      <c r="AD508" s="1172"/>
      <c r="AE508" s="1172"/>
      <c r="AF508" s="1172"/>
      <c r="AG508" s="1172"/>
      <c r="AH508" s="1020"/>
      <c r="AI508" s="1020"/>
      <c r="AJ508" s="1021"/>
      <c r="AK508" s="1021"/>
      <c r="AL508" s="1021"/>
      <c r="AM508" s="1021"/>
      <c r="AN508" s="1021"/>
      <c r="AO508" s="1021"/>
      <c r="AP508" s="1021"/>
      <c r="AQ508" s="1021"/>
      <c r="AR508" s="1021"/>
      <c r="AS508" s="1021"/>
      <c r="AT508" s="1021"/>
      <c r="AU508" s="1021"/>
      <c r="AV508" s="1021"/>
      <c r="AW508" s="1021"/>
      <c r="AX508" s="1021"/>
      <c r="AY508" s="1022"/>
    </row>
    <row r="509" spans="2:51" ht="12.75" customHeight="1">
      <c r="B509" s="1023"/>
      <c r="C509" s="1024" t="s">
        <v>706</v>
      </c>
      <c r="D509" s="1028" t="s">
        <v>366</v>
      </c>
      <c r="E509" s="1030"/>
      <c r="F509" s="1030" t="s">
        <v>367</v>
      </c>
      <c r="G509" s="1030"/>
      <c r="H509" s="1030" t="s">
        <v>368</v>
      </c>
      <c r="I509" s="1032"/>
      <c r="J509" s="1028" t="s">
        <v>366</v>
      </c>
      <c r="K509" s="1030"/>
      <c r="L509" s="1030" t="s">
        <v>367</v>
      </c>
      <c r="M509" s="1030"/>
      <c r="N509" s="1030" t="s">
        <v>368</v>
      </c>
      <c r="O509" s="1032"/>
      <c r="P509" s="1029" t="s">
        <v>366</v>
      </c>
      <c r="Q509" s="1030"/>
      <c r="R509" s="1030" t="s">
        <v>367</v>
      </c>
      <c r="S509" s="1030"/>
      <c r="T509" s="1030" t="s">
        <v>368</v>
      </c>
      <c r="U509" s="1031"/>
      <c r="V509" s="1079"/>
      <c r="W509" s="1080"/>
      <c r="X509" s="1080"/>
      <c r="Y509" s="1080"/>
      <c r="Z509" s="1080"/>
      <c r="AA509" s="1080"/>
      <c r="AB509" s="1173"/>
      <c r="AC509" s="1173"/>
      <c r="AD509" s="1173"/>
      <c r="AE509" s="1173"/>
      <c r="AF509" s="1173"/>
      <c r="AG509" s="1173"/>
      <c r="AH509" s="1035"/>
      <c r="AI509" s="1035"/>
      <c r="AJ509" s="1036"/>
      <c r="AK509" s="1036"/>
      <c r="AL509" s="1036"/>
      <c r="AM509" s="1036"/>
      <c r="AN509" s="1036"/>
      <c r="AO509" s="1036"/>
      <c r="AP509" s="1036"/>
      <c r="AQ509" s="1036"/>
      <c r="AR509" s="1036"/>
      <c r="AS509" s="1036"/>
      <c r="AT509" s="1036"/>
      <c r="AU509" s="1036"/>
      <c r="AV509" s="1036"/>
      <c r="AW509" s="1036"/>
      <c r="AX509" s="1036"/>
      <c r="AY509" s="1037"/>
    </row>
    <row r="510" spans="2:51" ht="12.75" customHeight="1">
      <c r="B510" s="2108" t="str">
        <f>+$B$6</f>
        <v>事務所・店舗・百貨店</v>
      </c>
      <c r="C510" s="2258">
        <v>8893720</v>
      </c>
      <c r="D510" s="1083">
        <v>3000</v>
      </c>
      <c r="E510" s="1039">
        <v>1.1499999999999999</v>
      </c>
      <c r="F510" s="1044">
        <v>2300</v>
      </c>
      <c r="G510" s="1039">
        <v>1</v>
      </c>
      <c r="H510" s="1044">
        <v>2000</v>
      </c>
      <c r="I510" s="1040">
        <v>0.9</v>
      </c>
      <c r="J510" s="1083">
        <v>30</v>
      </c>
      <c r="K510" s="1039">
        <v>1.05</v>
      </c>
      <c r="L510" s="1044">
        <v>20</v>
      </c>
      <c r="M510" s="1039">
        <v>1</v>
      </c>
      <c r="N510" s="1044">
        <v>10</v>
      </c>
      <c r="O510" s="1040">
        <v>0.95</v>
      </c>
      <c r="P510" s="1038" t="s">
        <v>688</v>
      </c>
      <c r="Q510" s="1039">
        <v>1.2</v>
      </c>
      <c r="R510" s="1039" t="s">
        <v>667</v>
      </c>
      <c r="S510" s="1039">
        <v>1</v>
      </c>
      <c r="T510" s="1039" t="s">
        <v>393</v>
      </c>
      <c r="U510" s="1042">
        <v>0.85</v>
      </c>
      <c r="V510" s="1589" t="s">
        <v>1382</v>
      </c>
      <c r="W510" s="1082"/>
      <c r="X510" s="1082"/>
      <c r="Y510" s="1082"/>
      <c r="Z510" s="1082"/>
      <c r="AA510" s="1082"/>
      <c r="AB510" s="1174"/>
      <c r="AC510" s="1174"/>
      <c r="AD510" s="1174"/>
      <c r="AE510" s="1174"/>
      <c r="AF510" s="1174"/>
      <c r="AG510" s="1174"/>
      <c r="AH510" s="1035"/>
      <c r="AI510" s="1035"/>
      <c r="AJ510" s="1036"/>
      <c r="AK510" s="1036"/>
      <c r="AL510" s="1036"/>
      <c r="AM510" s="1036"/>
      <c r="AN510" s="1036"/>
      <c r="AO510" s="1036"/>
      <c r="AP510" s="1036"/>
      <c r="AQ510" s="1036"/>
      <c r="AR510" s="1036"/>
      <c r="AS510" s="1036"/>
      <c r="AT510" s="1036"/>
      <c r="AU510" s="1036"/>
      <c r="AV510" s="1036"/>
      <c r="AW510" s="1036"/>
      <c r="AX510" s="1036"/>
      <c r="AY510" s="1037"/>
    </row>
    <row r="511" spans="2:51" ht="12.75" customHeight="1">
      <c r="B511" s="2109" t="str">
        <f>+$B$7</f>
        <v>住宅・アパート</v>
      </c>
      <c r="C511" s="2119">
        <f>+C510</f>
        <v>8893720</v>
      </c>
      <c r="D511" s="2220">
        <v>3000</v>
      </c>
      <c r="E511" s="2121">
        <v>1.1499999999999999</v>
      </c>
      <c r="F511" s="2122">
        <v>2300</v>
      </c>
      <c r="G511" s="2121">
        <v>1</v>
      </c>
      <c r="H511" s="2122">
        <v>2000</v>
      </c>
      <c r="I511" s="2123">
        <v>0.9</v>
      </c>
      <c r="J511" s="2220">
        <v>30</v>
      </c>
      <c r="K511" s="2121">
        <v>1.05</v>
      </c>
      <c r="L511" s="2122">
        <v>20</v>
      </c>
      <c r="M511" s="2121">
        <v>1</v>
      </c>
      <c r="N511" s="2122">
        <v>10</v>
      </c>
      <c r="O511" s="2123">
        <v>0.95</v>
      </c>
      <c r="P511" s="2131" t="s">
        <v>688</v>
      </c>
      <c r="Q511" s="2121">
        <v>1.2</v>
      </c>
      <c r="R511" s="2121" t="s">
        <v>667</v>
      </c>
      <c r="S511" s="2121">
        <v>1</v>
      </c>
      <c r="T511" s="2121" t="s">
        <v>393</v>
      </c>
      <c r="U511" s="2135">
        <v>0.85</v>
      </c>
      <c r="V511" s="1081"/>
      <c r="W511" s="1082"/>
      <c r="X511" s="1082"/>
      <c r="Y511" s="1082"/>
      <c r="Z511" s="1082"/>
      <c r="AA511" s="1082"/>
      <c r="AB511" s="1174"/>
      <c r="AC511" s="1174"/>
      <c r="AD511" s="1174"/>
      <c r="AE511" s="1174"/>
      <c r="AF511" s="1174"/>
      <c r="AG511" s="1174"/>
      <c r="AH511" s="1035"/>
      <c r="AI511" s="1035"/>
      <c r="AJ511" s="1036"/>
      <c r="AK511" s="1036"/>
      <c r="AL511" s="1036"/>
      <c r="AM511" s="1036"/>
      <c r="AN511" s="1036"/>
      <c r="AO511" s="1036"/>
      <c r="AP511" s="1036"/>
      <c r="AQ511" s="1036"/>
      <c r="AR511" s="1036"/>
      <c r="AS511" s="1036"/>
      <c r="AT511" s="1036"/>
      <c r="AU511" s="1036"/>
      <c r="AV511" s="1036"/>
      <c r="AW511" s="1036"/>
      <c r="AX511" s="1036"/>
      <c r="AY511" s="1037"/>
    </row>
    <row r="512" spans="2:51" ht="12.75" customHeight="1">
      <c r="B512" s="2109" t="str">
        <f>+$B$8</f>
        <v>病院・ホテル</v>
      </c>
      <c r="C512" s="2119">
        <f>+C510</f>
        <v>8893720</v>
      </c>
      <c r="D512" s="2220">
        <v>3000</v>
      </c>
      <c r="E512" s="2121">
        <v>1.1499999999999999</v>
      </c>
      <c r="F512" s="2122">
        <v>2300</v>
      </c>
      <c r="G512" s="2121">
        <v>1</v>
      </c>
      <c r="H512" s="2122">
        <v>2000</v>
      </c>
      <c r="I512" s="2123">
        <v>0.9</v>
      </c>
      <c r="J512" s="2220">
        <v>30</v>
      </c>
      <c r="K512" s="2121">
        <v>1.05</v>
      </c>
      <c r="L512" s="2122">
        <v>20</v>
      </c>
      <c r="M512" s="2121">
        <v>1</v>
      </c>
      <c r="N512" s="2122">
        <v>10</v>
      </c>
      <c r="O512" s="2123">
        <v>0.95</v>
      </c>
      <c r="P512" s="2131" t="s">
        <v>688</v>
      </c>
      <c r="Q512" s="2121">
        <v>1.2</v>
      </c>
      <c r="R512" s="2121" t="s">
        <v>667</v>
      </c>
      <c r="S512" s="2121">
        <v>1</v>
      </c>
      <c r="T512" s="2121" t="s">
        <v>393</v>
      </c>
      <c r="U512" s="2135">
        <v>0.85</v>
      </c>
      <c r="V512" s="1081"/>
      <c r="W512" s="1082"/>
      <c r="X512" s="1082"/>
      <c r="Y512" s="1082"/>
      <c r="Z512" s="1082"/>
      <c r="AA512" s="1082"/>
      <c r="AB512" s="1174"/>
      <c r="AC512" s="1174"/>
      <c r="AD512" s="1174"/>
      <c r="AE512" s="1174"/>
      <c r="AF512" s="1174"/>
      <c r="AG512" s="1174"/>
      <c r="AH512" s="1035"/>
      <c r="AI512" s="1035"/>
      <c r="AJ512" s="1036"/>
      <c r="AK512" s="1036"/>
      <c r="AL512" s="1036"/>
      <c r="AM512" s="1036"/>
      <c r="AN512" s="1036"/>
      <c r="AO512" s="1036"/>
      <c r="AP512" s="1036"/>
      <c r="AQ512" s="1036"/>
      <c r="AR512" s="1036"/>
      <c r="AS512" s="1036"/>
      <c r="AT512" s="1036"/>
      <c r="AU512" s="1036"/>
      <c r="AV512" s="1036"/>
      <c r="AW512" s="1036"/>
      <c r="AX512" s="1036"/>
      <c r="AY512" s="1037"/>
    </row>
    <row r="513" spans="2:51" ht="12.75" customHeight="1">
      <c r="B513" s="2109" t="str">
        <f>+$B$9</f>
        <v>工場・倉庫・市場</v>
      </c>
      <c r="C513" s="2119">
        <f>+C510</f>
        <v>8893720</v>
      </c>
      <c r="D513" s="2220">
        <v>3000</v>
      </c>
      <c r="E513" s="2121">
        <v>1.1499999999999999</v>
      </c>
      <c r="F513" s="2122">
        <v>2300</v>
      </c>
      <c r="G513" s="2121">
        <v>1</v>
      </c>
      <c r="H513" s="2122">
        <v>2000</v>
      </c>
      <c r="I513" s="2123">
        <v>0.9</v>
      </c>
      <c r="J513" s="2220">
        <v>30</v>
      </c>
      <c r="K513" s="2121">
        <v>1.05</v>
      </c>
      <c r="L513" s="2122">
        <v>20</v>
      </c>
      <c r="M513" s="2121">
        <v>1</v>
      </c>
      <c r="N513" s="2122">
        <v>10</v>
      </c>
      <c r="O513" s="2123">
        <v>0.95</v>
      </c>
      <c r="P513" s="2131" t="s">
        <v>688</v>
      </c>
      <c r="Q513" s="2121">
        <v>1.2</v>
      </c>
      <c r="R513" s="2121" t="s">
        <v>667</v>
      </c>
      <c r="S513" s="2121">
        <v>1</v>
      </c>
      <c r="T513" s="2121" t="s">
        <v>393</v>
      </c>
      <c r="U513" s="2135">
        <v>0.85</v>
      </c>
      <c r="V513" s="1081"/>
      <c r="W513" s="1082"/>
      <c r="X513" s="1082"/>
      <c r="Y513" s="1082"/>
      <c r="Z513" s="1082"/>
      <c r="AA513" s="1082"/>
      <c r="AB513" s="1174"/>
      <c r="AC513" s="1174"/>
      <c r="AD513" s="1174"/>
      <c r="AE513" s="1174"/>
      <c r="AF513" s="1174"/>
      <c r="AG513" s="1174"/>
      <c r="AH513" s="1035"/>
      <c r="AI513" s="1035"/>
      <c r="AJ513" s="1036"/>
      <c r="AK513" s="1036"/>
      <c r="AL513" s="1036"/>
      <c r="AM513" s="1036"/>
      <c r="AN513" s="1036"/>
      <c r="AO513" s="1036"/>
      <c r="AP513" s="1036"/>
      <c r="AQ513" s="1036"/>
      <c r="AR513" s="1036"/>
      <c r="AS513" s="1036"/>
      <c r="AT513" s="1036"/>
      <c r="AU513" s="1036"/>
      <c r="AV513" s="1036"/>
      <c r="AW513" s="1036"/>
      <c r="AX513" s="1036"/>
      <c r="AY513" s="1037"/>
    </row>
    <row r="514" spans="2:51" ht="12.75" customHeight="1">
      <c r="B514" s="2110" t="str">
        <f>+$B$10</f>
        <v>劇場型建物</v>
      </c>
      <c r="C514" s="2158">
        <f>+C510</f>
        <v>8893720</v>
      </c>
      <c r="D514" s="2223">
        <v>3000</v>
      </c>
      <c r="E514" s="2127">
        <v>1.1499999999999999</v>
      </c>
      <c r="F514" s="2128">
        <v>2300</v>
      </c>
      <c r="G514" s="2127">
        <v>1</v>
      </c>
      <c r="H514" s="2128">
        <v>2000</v>
      </c>
      <c r="I514" s="2129">
        <v>0.9</v>
      </c>
      <c r="J514" s="2223">
        <v>30</v>
      </c>
      <c r="K514" s="2127">
        <v>1.05</v>
      </c>
      <c r="L514" s="2128">
        <v>20</v>
      </c>
      <c r="M514" s="2127">
        <v>1</v>
      </c>
      <c r="N514" s="2128">
        <v>10</v>
      </c>
      <c r="O514" s="2129">
        <v>0.95</v>
      </c>
      <c r="P514" s="2159" t="s">
        <v>688</v>
      </c>
      <c r="Q514" s="2127">
        <v>1.2</v>
      </c>
      <c r="R514" s="2127" t="s">
        <v>667</v>
      </c>
      <c r="S514" s="2127">
        <v>1</v>
      </c>
      <c r="T514" s="2127" t="s">
        <v>393</v>
      </c>
      <c r="U514" s="2181">
        <v>0.85</v>
      </c>
      <c r="V514" s="1081"/>
      <c r="W514" s="1082"/>
      <c r="X514" s="1082"/>
      <c r="Y514" s="1082"/>
      <c r="Z514" s="1082"/>
      <c r="AA514" s="1082"/>
      <c r="AB514" s="1173"/>
      <c r="AC514" s="1173"/>
      <c r="AD514" s="1173"/>
      <c r="AE514" s="1173"/>
      <c r="AF514" s="1173"/>
      <c r="AG514" s="1173"/>
      <c r="AH514" s="1088"/>
      <c r="AI514" s="1035"/>
      <c r="AJ514" s="1036"/>
      <c r="AK514" s="1036"/>
      <c r="AL514" s="1036"/>
      <c r="AM514" s="1036"/>
      <c r="AN514" s="1036"/>
      <c r="AO514" s="1036"/>
      <c r="AP514" s="1036"/>
      <c r="AQ514" s="1036"/>
      <c r="AR514" s="1036"/>
      <c r="AS514" s="1036"/>
      <c r="AT514" s="1036"/>
      <c r="AU514" s="1036"/>
      <c r="AV514" s="1036"/>
      <c r="AW514" s="1036"/>
      <c r="AX514" s="1036"/>
      <c r="AY514" s="1037"/>
    </row>
    <row r="515" spans="2:51" ht="12.75" customHeight="1">
      <c r="B515" s="1008" t="s">
        <v>359</v>
      </c>
      <c r="C515" s="1121" t="s">
        <v>281</v>
      </c>
      <c r="D515" s="1014" t="s">
        <v>707</v>
      </c>
      <c r="E515" s="1015"/>
      <c r="F515" s="1015"/>
      <c r="G515" s="1015"/>
      <c r="H515" s="1015"/>
      <c r="I515" s="1016"/>
      <c r="J515" s="1013" t="s">
        <v>708</v>
      </c>
      <c r="K515" s="1015"/>
      <c r="L515" s="1015"/>
      <c r="M515" s="1015"/>
      <c r="N515" s="1015"/>
      <c r="O515" s="1017"/>
      <c r="P515" s="1014" t="s">
        <v>709</v>
      </c>
      <c r="Q515" s="1015"/>
      <c r="R515" s="1015"/>
      <c r="S515" s="1015"/>
      <c r="T515" s="1015"/>
      <c r="U515" s="1016"/>
      <c r="V515" s="1013" t="s">
        <v>710</v>
      </c>
      <c r="W515" s="1015"/>
      <c r="X515" s="1015"/>
      <c r="Y515" s="1015"/>
      <c r="Z515" s="1015"/>
      <c r="AA515" s="1017"/>
      <c r="AB515" s="1020"/>
      <c r="AC515" s="1020"/>
      <c r="AD515" s="1020"/>
      <c r="AE515" s="1020"/>
      <c r="AF515" s="1020"/>
      <c r="AG515" s="1020"/>
      <c r="AH515" s="1020"/>
      <c r="AI515" s="1020"/>
      <c r="AJ515" s="1021"/>
      <c r="AK515" s="1021"/>
      <c r="AL515" s="1021"/>
      <c r="AM515" s="1021"/>
      <c r="AN515" s="1021"/>
      <c r="AO515" s="1021"/>
      <c r="AP515" s="1021"/>
      <c r="AQ515" s="1021"/>
      <c r="AR515" s="1021"/>
      <c r="AS515" s="1021"/>
      <c r="AT515" s="1021"/>
      <c r="AU515" s="1021"/>
      <c r="AV515" s="1021"/>
      <c r="AW515" s="1021"/>
      <c r="AX515" s="1021"/>
      <c r="AY515" s="1022"/>
    </row>
    <row r="516" spans="2:51" ht="12.75" customHeight="1">
      <c r="B516" s="1023"/>
      <c r="C516" s="1024" t="s">
        <v>711</v>
      </c>
      <c r="D516" s="1029" t="s">
        <v>366</v>
      </c>
      <c r="E516" s="1030"/>
      <c r="F516" s="1030" t="s">
        <v>367</v>
      </c>
      <c r="G516" s="1030"/>
      <c r="H516" s="1030" t="s">
        <v>368</v>
      </c>
      <c r="I516" s="1031"/>
      <c r="J516" s="1028" t="s">
        <v>366</v>
      </c>
      <c r="K516" s="1030"/>
      <c r="L516" s="1030" t="s">
        <v>367</v>
      </c>
      <c r="M516" s="1030"/>
      <c r="N516" s="1030" t="s">
        <v>368</v>
      </c>
      <c r="O516" s="1032"/>
      <c r="P516" s="1029" t="s">
        <v>366</v>
      </c>
      <c r="Q516" s="1030"/>
      <c r="R516" s="1030" t="s">
        <v>367</v>
      </c>
      <c r="S516" s="1030"/>
      <c r="T516" s="1030" t="s">
        <v>368</v>
      </c>
      <c r="U516" s="1031"/>
      <c r="V516" s="1028" t="s">
        <v>366</v>
      </c>
      <c r="W516" s="1030"/>
      <c r="X516" s="1030" t="s">
        <v>367</v>
      </c>
      <c r="Y516" s="1030"/>
      <c r="Z516" s="1030" t="s">
        <v>368</v>
      </c>
      <c r="AA516" s="1032"/>
      <c r="AB516" s="1589" t="s">
        <v>1383</v>
      </c>
      <c r="AC516" s="1035"/>
      <c r="AD516" s="1035"/>
      <c r="AE516" s="1035"/>
      <c r="AF516" s="1035"/>
      <c r="AG516" s="1035"/>
      <c r="AH516" s="1035"/>
      <c r="AI516" s="1035"/>
      <c r="AJ516" s="1036"/>
      <c r="AK516" s="1036"/>
      <c r="AL516" s="1036"/>
      <c r="AM516" s="1036"/>
      <c r="AN516" s="1036"/>
      <c r="AO516" s="1036"/>
      <c r="AP516" s="1036"/>
      <c r="AQ516" s="1036"/>
      <c r="AR516" s="1036"/>
      <c r="AS516" s="1036"/>
      <c r="AT516" s="1036"/>
      <c r="AU516" s="1036"/>
      <c r="AV516" s="1036"/>
      <c r="AW516" s="1036"/>
      <c r="AX516" s="1036"/>
      <c r="AY516" s="1037"/>
    </row>
    <row r="517" spans="2:51" ht="12.75" customHeight="1">
      <c r="B517" s="2108" t="str">
        <f>+$B$6</f>
        <v>事務所・店舗・百貨店</v>
      </c>
      <c r="C517" s="2258">
        <v>643980</v>
      </c>
      <c r="D517" s="1043">
        <v>500</v>
      </c>
      <c r="E517" s="1039">
        <v>1.2</v>
      </c>
      <c r="F517" s="1044">
        <v>200</v>
      </c>
      <c r="G517" s="1039">
        <v>1</v>
      </c>
      <c r="H517" s="1044">
        <v>50</v>
      </c>
      <c r="I517" s="1042">
        <v>0.85</v>
      </c>
      <c r="J517" s="1083">
        <v>5</v>
      </c>
      <c r="K517" s="1039">
        <v>1.4</v>
      </c>
      <c r="L517" s="1044">
        <v>2</v>
      </c>
      <c r="M517" s="1039">
        <v>1</v>
      </c>
      <c r="N517" s="1590" t="s">
        <v>1380</v>
      </c>
      <c r="O517" s="1558" t="s">
        <v>1380</v>
      </c>
      <c r="P517" s="1569" t="s">
        <v>1380</v>
      </c>
      <c r="Q517" s="1470" t="s">
        <v>1380</v>
      </c>
      <c r="R517" s="1044">
        <v>30</v>
      </c>
      <c r="S517" s="1039">
        <v>1</v>
      </c>
      <c r="T517" s="1044">
        <v>25</v>
      </c>
      <c r="U517" s="1042">
        <v>0.95</v>
      </c>
      <c r="V517" s="1041" t="s">
        <v>713</v>
      </c>
      <c r="W517" s="1039">
        <v>1.3</v>
      </c>
      <c r="X517" s="1039" t="s">
        <v>714</v>
      </c>
      <c r="Y517" s="1039">
        <v>1</v>
      </c>
      <c r="Z517" s="1039" t="s">
        <v>715</v>
      </c>
      <c r="AA517" s="1040">
        <v>0.8</v>
      </c>
      <c r="AB517" s="1035"/>
      <c r="AC517" s="1035"/>
      <c r="AD517" s="1035"/>
      <c r="AE517" s="1035"/>
      <c r="AF517" s="1035"/>
      <c r="AG517" s="1035"/>
      <c r="AH517" s="1035"/>
      <c r="AI517" s="1035"/>
      <c r="AJ517" s="1036"/>
      <c r="AK517" s="1036"/>
      <c r="AL517" s="1036"/>
      <c r="AM517" s="1036"/>
      <c r="AN517" s="1036"/>
      <c r="AO517" s="1036"/>
      <c r="AP517" s="1036"/>
      <c r="AQ517" s="1036"/>
      <c r="AR517" s="1036"/>
      <c r="AS517" s="1036"/>
      <c r="AT517" s="1036"/>
      <c r="AU517" s="1036"/>
      <c r="AV517" s="1036"/>
      <c r="AW517" s="1036"/>
      <c r="AX517" s="1036"/>
      <c r="AY517" s="1037"/>
    </row>
    <row r="518" spans="2:51" ht="12.75" customHeight="1">
      <c r="B518" s="2109" t="str">
        <f>+$B$7</f>
        <v>住宅・アパート</v>
      </c>
      <c r="C518" s="2119">
        <f>+C517</f>
        <v>643980</v>
      </c>
      <c r="D518" s="2120">
        <v>500</v>
      </c>
      <c r="E518" s="2121">
        <v>1.2</v>
      </c>
      <c r="F518" s="2122">
        <v>200</v>
      </c>
      <c r="G518" s="2121">
        <v>1</v>
      </c>
      <c r="H518" s="2122">
        <v>50</v>
      </c>
      <c r="I518" s="2135">
        <v>0.85</v>
      </c>
      <c r="J518" s="2220">
        <v>5</v>
      </c>
      <c r="K518" s="2121">
        <v>1.4</v>
      </c>
      <c r="L518" s="2122">
        <v>2</v>
      </c>
      <c r="M518" s="2121">
        <v>1</v>
      </c>
      <c r="N518" s="2122" t="s">
        <v>1195</v>
      </c>
      <c r="O518" s="2123" t="s">
        <v>1195</v>
      </c>
      <c r="P518" s="2120" t="s">
        <v>1195</v>
      </c>
      <c r="Q518" s="2121" t="s">
        <v>1195</v>
      </c>
      <c r="R518" s="2122">
        <v>30</v>
      </c>
      <c r="S518" s="2121">
        <v>1</v>
      </c>
      <c r="T518" s="2122">
        <v>25</v>
      </c>
      <c r="U518" s="2135">
        <v>0.95</v>
      </c>
      <c r="V518" s="2124" t="s">
        <v>713</v>
      </c>
      <c r="W518" s="2121">
        <v>1.3</v>
      </c>
      <c r="X518" s="2121" t="s">
        <v>714</v>
      </c>
      <c r="Y518" s="2121">
        <v>1</v>
      </c>
      <c r="Z518" s="2121" t="s">
        <v>715</v>
      </c>
      <c r="AA518" s="2123">
        <v>0.8</v>
      </c>
      <c r="AB518" s="1035"/>
      <c r="AC518" s="1035"/>
      <c r="AD518" s="1035"/>
      <c r="AE518" s="1035"/>
      <c r="AF518" s="1035"/>
      <c r="AG518" s="1035"/>
      <c r="AH518" s="1035"/>
      <c r="AI518" s="1035"/>
      <c r="AJ518" s="1036"/>
      <c r="AK518" s="1036"/>
      <c r="AL518" s="1036"/>
      <c r="AM518" s="1036"/>
      <c r="AN518" s="1036"/>
      <c r="AO518" s="1036"/>
      <c r="AP518" s="1036"/>
      <c r="AQ518" s="1036"/>
      <c r="AR518" s="1036"/>
      <c r="AS518" s="1036"/>
      <c r="AT518" s="1036"/>
      <c r="AU518" s="1036"/>
      <c r="AV518" s="1036"/>
      <c r="AW518" s="1036"/>
      <c r="AX518" s="1036"/>
      <c r="AY518" s="1037"/>
    </row>
    <row r="519" spans="2:51" ht="12.75" customHeight="1">
      <c r="B519" s="2109" t="str">
        <f>+$B$8</f>
        <v>病院・ホテル</v>
      </c>
      <c r="C519" s="1045">
        <v>643980</v>
      </c>
      <c r="D519" s="1054">
        <v>500</v>
      </c>
      <c r="E519" s="1047">
        <v>1.2</v>
      </c>
      <c r="F519" s="1055">
        <v>200</v>
      </c>
      <c r="G519" s="1047">
        <v>1</v>
      </c>
      <c r="H519" s="1055">
        <v>50</v>
      </c>
      <c r="I519" s="1053">
        <v>0.85</v>
      </c>
      <c r="J519" s="1084">
        <v>5</v>
      </c>
      <c r="K519" s="1047">
        <v>1.4</v>
      </c>
      <c r="L519" s="1055">
        <v>2</v>
      </c>
      <c r="M519" s="1047">
        <v>1</v>
      </c>
      <c r="N519" s="1055" t="s">
        <v>1195</v>
      </c>
      <c r="O519" s="1048" t="s">
        <v>1195</v>
      </c>
      <c r="P519" s="1054" t="s">
        <v>1195</v>
      </c>
      <c r="Q519" s="1047" t="s">
        <v>1195</v>
      </c>
      <c r="R519" s="1055">
        <v>30</v>
      </c>
      <c r="S519" s="1047">
        <v>1</v>
      </c>
      <c r="T519" s="1055">
        <v>25</v>
      </c>
      <c r="U519" s="1053">
        <v>0.95</v>
      </c>
      <c r="V519" s="1056" t="s">
        <v>713</v>
      </c>
      <c r="W519" s="1047">
        <v>1.3</v>
      </c>
      <c r="X519" s="1047" t="s">
        <v>714</v>
      </c>
      <c r="Y519" s="1047">
        <v>1</v>
      </c>
      <c r="Z519" s="1047" t="s">
        <v>715</v>
      </c>
      <c r="AA519" s="1048">
        <v>0.8</v>
      </c>
      <c r="AB519" s="1035"/>
      <c r="AC519" s="1035"/>
      <c r="AD519" s="1035"/>
      <c r="AE519" s="1035"/>
      <c r="AF519" s="1035"/>
      <c r="AG519" s="1035"/>
      <c r="AH519" s="1035"/>
      <c r="AI519" s="1035"/>
      <c r="AJ519" s="1036"/>
      <c r="AK519" s="1036"/>
      <c r="AL519" s="1036"/>
      <c r="AM519" s="1036"/>
      <c r="AN519" s="1036"/>
      <c r="AO519" s="1036"/>
      <c r="AP519" s="1036"/>
      <c r="AQ519" s="1036"/>
      <c r="AR519" s="1036"/>
      <c r="AS519" s="1036"/>
      <c r="AT519" s="1036"/>
      <c r="AU519" s="1036"/>
      <c r="AV519" s="1036"/>
      <c r="AW519" s="1036"/>
      <c r="AX519" s="1036"/>
      <c r="AY519" s="1037"/>
    </row>
    <row r="520" spans="2:51" ht="12.75" customHeight="1">
      <c r="B520" s="2109" t="str">
        <f>+$B$9</f>
        <v>工場・倉庫・市場</v>
      </c>
      <c r="C520" s="2119">
        <f>+C517</f>
        <v>643980</v>
      </c>
      <c r="D520" s="2120">
        <v>500</v>
      </c>
      <c r="E520" s="2121">
        <v>1.2</v>
      </c>
      <c r="F520" s="2122">
        <v>200</v>
      </c>
      <c r="G520" s="2121">
        <v>1</v>
      </c>
      <c r="H520" s="2122">
        <v>50</v>
      </c>
      <c r="I520" s="2135">
        <v>0.85</v>
      </c>
      <c r="J520" s="2220">
        <v>5</v>
      </c>
      <c r="K520" s="2121">
        <v>1.4</v>
      </c>
      <c r="L520" s="2122">
        <v>2</v>
      </c>
      <c r="M520" s="2121">
        <v>1</v>
      </c>
      <c r="N520" s="2122" t="s">
        <v>1195</v>
      </c>
      <c r="O520" s="2123" t="s">
        <v>1195</v>
      </c>
      <c r="P520" s="2120" t="s">
        <v>1195</v>
      </c>
      <c r="Q520" s="2121" t="s">
        <v>1195</v>
      </c>
      <c r="R520" s="2122">
        <v>30</v>
      </c>
      <c r="S520" s="2121">
        <v>1</v>
      </c>
      <c r="T520" s="2122">
        <v>25</v>
      </c>
      <c r="U520" s="2135">
        <v>0.95</v>
      </c>
      <c r="V520" s="2124" t="s">
        <v>713</v>
      </c>
      <c r="W520" s="2121">
        <v>1.3</v>
      </c>
      <c r="X520" s="2121" t="s">
        <v>714</v>
      </c>
      <c r="Y520" s="2121">
        <v>1</v>
      </c>
      <c r="Z520" s="2121" t="s">
        <v>715</v>
      </c>
      <c r="AA520" s="2123">
        <v>0.8</v>
      </c>
      <c r="AB520" s="1035"/>
      <c r="AC520" s="1035"/>
      <c r="AD520" s="1035"/>
      <c r="AE520" s="1035"/>
      <c r="AF520" s="1035"/>
      <c r="AG520" s="1035"/>
      <c r="AH520" s="1035"/>
      <c r="AI520" s="1035"/>
      <c r="AJ520" s="1036"/>
      <c r="AK520" s="1036"/>
      <c r="AL520" s="1036"/>
      <c r="AM520" s="1036"/>
      <c r="AN520" s="1036"/>
      <c r="AO520" s="1036"/>
      <c r="AP520" s="1036"/>
      <c r="AQ520" s="1036"/>
      <c r="AR520" s="1036"/>
      <c r="AS520" s="1036"/>
      <c r="AT520" s="1036"/>
      <c r="AU520" s="1036"/>
      <c r="AV520" s="1036"/>
      <c r="AW520" s="1036"/>
      <c r="AX520" s="1036"/>
      <c r="AY520" s="1037"/>
    </row>
    <row r="521" spans="2:51" ht="12.75" customHeight="1">
      <c r="B521" s="2110" t="str">
        <f>+$B$10</f>
        <v>劇場型建物</v>
      </c>
      <c r="C521" s="2125">
        <f>+C517</f>
        <v>643980</v>
      </c>
      <c r="D521" s="2126">
        <v>500</v>
      </c>
      <c r="E521" s="2127">
        <v>1.2</v>
      </c>
      <c r="F521" s="2128">
        <v>200</v>
      </c>
      <c r="G521" s="2127">
        <v>1</v>
      </c>
      <c r="H521" s="2128">
        <v>50</v>
      </c>
      <c r="I521" s="2181">
        <v>0.85</v>
      </c>
      <c r="J521" s="2223">
        <v>5</v>
      </c>
      <c r="K521" s="2127">
        <v>1.4</v>
      </c>
      <c r="L521" s="2128">
        <v>2</v>
      </c>
      <c r="M521" s="2127">
        <v>1</v>
      </c>
      <c r="N521" s="2128" t="s">
        <v>1195</v>
      </c>
      <c r="O521" s="2129" t="s">
        <v>1195</v>
      </c>
      <c r="P521" s="2126" t="s">
        <v>1195</v>
      </c>
      <c r="Q521" s="2127" t="s">
        <v>1195</v>
      </c>
      <c r="R521" s="2128">
        <v>30</v>
      </c>
      <c r="S521" s="2127">
        <v>1</v>
      </c>
      <c r="T521" s="2128">
        <v>25</v>
      </c>
      <c r="U521" s="2181">
        <v>0.95</v>
      </c>
      <c r="V521" s="2130" t="s">
        <v>713</v>
      </c>
      <c r="W521" s="2127">
        <v>1.3</v>
      </c>
      <c r="X521" s="2127" t="s">
        <v>714</v>
      </c>
      <c r="Y521" s="2127">
        <v>1</v>
      </c>
      <c r="Z521" s="2127" t="s">
        <v>715</v>
      </c>
      <c r="AA521" s="2129">
        <v>0.8</v>
      </c>
      <c r="AB521" s="1035"/>
      <c r="AC521" s="1035"/>
      <c r="AD521" s="1035"/>
      <c r="AE521" s="1035"/>
      <c r="AF521" s="1035"/>
      <c r="AG521" s="1035"/>
      <c r="AH521" s="1035"/>
      <c r="AI521" s="1035"/>
      <c r="AJ521" s="1036"/>
      <c r="AK521" s="1036"/>
      <c r="AL521" s="1036"/>
      <c r="AM521" s="1036"/>
      <c r="AN521" s="1036"/>
      <c r="AO521" s="1036"/>
      <c r="AP521" s="1036"/>
      <c r="AQ521" s="1036"/>
      <c r="AR521" s="1036"/>
      <c r="AS521" s="1036"/>
      <c r="AT521" s="1036"/>
      <c r="AU521" s="1036"/>
      <c r="AV521" s="1036"/>
      <c r="AW521" s="1036"/>
      <c r="AX521" s="1036"/>
      <c r="AY521" s="1037"/>
    </row>
    <row r="522" spans="2:51" ht="12.75" customHeight="1">
      <c r="B522" s="1008" t="s">
        <v>359</v>
      </c>
      <c r="C522" s="1503" t="s">
        <v>1386</v>
      </c>
      <c r="D522" s="1481" t="s">
        <v>1390</v>
      </c>
      <c r="E522" s="1015"/>
      <c r="F522" s="1015"/>
      <c r="G522" s="1015"/>
      <c r="H522" s="1015"/>
      <c r="I522" s="1016"/>
      <c r="J522" s="1463" t="s">
        <v>1391</v>
      </c>
      <c r="K522" s="1015"/>
      <c r="L522" s="1015"/>
      <c r="M522" s="1015"/>
      <c r="N522" s="1015"/>
      <c r="O522" s="1017"/>
      <c r="P522" s="1456"/>
      <c r="Q522" s="1448"/>
      <c r="R522" s="1448"/>
      <c r="S522" s="1448"/>
      <c r="T522" s="1448"/>
      <c r="U522" s="1448"/>
      <c r="V522" s="1446"/>
      <c r="W522" s="1021"/>
      <c r="X522" s="1021"/>
      <c r="Y522" s="1021"/>
      <c r="Z522" s="1021"/>
      <c r="AA522" s="1021"/>
      <c r="AB522" s="1021"/>
      <c r="AC522" s="1021"/>
      <c r="AD522" s="1021"/>
      <c r="AE522" s="1021"/>
      <c r="AF522" s="1021"/>
      <c r="AG522" s="1021"/>
      <c r="AH522" s="1020"/>
      <c r="AI522" s="1020"/>
      <c r="AJ522" s="1021"/>
      <c r="AK522" s="1021"/>
      <c r="AL522" s="1021"/>
      <c r="AM522" s="1021"/>
      <c r="AN522" s="1021"/>
      <c r="AO522" s="1021"/>
      <c r="AP522" s="1021"/>
      <c r="AQ522" s="1021"/>
      <c r="AR522" s="1021"/>
      <c r="AS522" s="1021"/>
      <c r="AT522" s="1021"/>
      <c r="AU522" s="1021"/>
      <c r="AV522" s="1021"/>
      <c r="AW522" s="1021"/>
      <c r="AX522" s="1021"/>
      <c r="AY522" s="1022"/>
    </row>
    <row r="523" spans="2:51" ht="12.75" customHeight="1">
      <c r="B523" s="1023"/>
      <c r="C523" s="1024" t="s">
        <v>1388</v>
      </c>
      <c r="D523" s="1029" t="s">
        <v>366</v>
      </c>
      <c r="E523" s="1030"/>
      <c r="F523" s="1030" t="s">
        <v>367</v>
      </c>
      <c r="G523" s="1030"/>
      <c r="H523" s="1030" t="s">
        <v>368</v>
      </c>
      <c r="I523" s="1031"/>
      <c r="J523" s="1028" t="s">
        <v>366</v>
      </c>
      <c r="K523" s="1030"/>
      <c r="L523" s="1030" t="s">
        <v>367</v>
      </c>
      <c r="M523" s="1030"/>
      <c r="N523" s="1030" t="s">
        <v>368</v>
      </c>
      <c r="O523" s="1032"/>
      <c r="P523" s="1589" t="s">
        <v>1383</v>
      </c>
      <c r="Q523" s="1450"/>
      <c r="R523" s="1450"/>
      <c r="S523" s="1450"/>
      <c r="T523" s="1450"/>
      <c r="U523" s="1450"/>
      <c r="V523" s="1483"/>
      <c r="W523" s="1036"/>
      <c r="X523" s="1036"/>
      <c r="Y523" s="1036"/>
      <c r="Z523" s="1036"/>
      <c r="AA523" s="1036"/>
      <c r="AB523" s="1036"/>
      <c r="AC523" s="1036"/>
      <c r="AD523" s="1036"/>
      <c r="AE523" s="1036"/>
      <c r="AF523" s="1036"/>
      <c r="AG523" s="1036"/>
      <c r="AH523" s="1035"/>
      <c r="AI523" s="1035"/>
      <c r="AJ523" s="1036"/>
      <c r="AK523" s="1036"/>
      <c r="AL523" s="1036"/>
      <c r="AM523" s="1036"/>
      <c r="AN523" s="1036"/>
      <c r="AO523" s="1036"/>
      <c r="AP523" s="1036"/>
      <c r="AQ523" s="1036"/>
      <c r="AR523" s="1036"/>
      <c r="AS523" s="1036"/>
      <c r="AT523" s="1036"/>
      <c r="AU523" s="1036"/>
      <c r="AV523" s="1036"/>
      <c r="AW523" s="1036"/>
      <c r="AX523" s="1036"/>
      <c r="AY523" s="1037"/>
    </row>
    <row r="524" spans="2:51" ht="12.75" customHeight="1">
      <c r="B524" s="2108" t="str">
        <f>+$B$6</f>
        <v>事務所・店舗・百貨店</v>
      </c>
      <c r="C524" s="2258">
        <v>9095460</v>
      </c>
      <c r="D524" s="1038" t="s">
        <v>716</v>
      </c>
      <c r="E524" s="1039">
        <v>1.05</v>
      </c>
      <c r="F524" s="1039" t="s">
        <v>717</v>
      </c>
      <c r="G524" s="1039">
        <v>1</v>
      </c>
      <c r="H524" s="1470" t="s">
        <v>1380</v>
      </c>
      <c r="I524" s="1042" t="s">
        <v>1195</v>
      </c>
      <c r="J524" s="1165">
        <v>5</v>
      </c>
      <c r="K524" s="1039">
        <v>1.1000000000000001</v>
      </c>
      <c r="L524" s="1092">
        <v>4</v>
      </c>
      <c r="M524" s="1039">
        <v>1</v>
      </c>
      <c r="N524" s="1092">
        <v>3</v>
      </c>
      <c r="O524" s="1040">
        <v>0.9</v>
      </c>
      <c r="P524" s="1457"/>
      <c r="Q524" s="1452"/>
      <c r="R524" s="1452"/>
      <c r="S524" s="1452"/>
      <c r="T524" s="1452"/>
      <c r="U524" s="1452"/>
      <c r="V524" s="1483"/>
      <c r="W524" s="1036"/>
      <c r="X524" s="1036"/>
      <c r="Y524" s="1036"/>
      <c r="Z524" s="1036"/>
      <c r="AA524" s="1036"/>
      <c r="AB524" s="1036"/>
      <c r="AC524" s="1036"/>
      <c r="AD524" s="1036"/>
      <c r="AE524" s="1036"/>
      <c r="AF524" s="1036"/>
      <c r="AG524" s="1036"/>
      <c r="AH524" s="1035"/>
      <c r="AI524" s="1035"/>
      <c r="AJ524" s="1036"/>
      <c r="AK524" s="1036"/>
      <c r="AL524" s="1036"/>
      <c r="AM524" s="1036"/>
      <c r="AN524" s="1036"/>
      <c r="AO524" s="1036"/>
      <c r="AP524" s="1036"/>
      <c r="AQ524" s="1036"/>
      <c r="AR524" s="1036"/>
      <c r="AS524" s="1036"/>
      <c r="AT524" s="1036"/>
      <c r="AU524" s="1036"/>
      <c r="AV524" s="1036"/>
      <c r="AW524" s="1036"/>
      <c r="AX524" s="1036"/>
      <c r="AY524" s="1037"/>
    </row>
    <row r="525" spans="2:51" ht="12.75" customHeight="1">
      <c r="B525" s="2109" t="str">
        <f>+$B$7</f>
        <v>住宅・アパート</v>
      </c>
      <c r="C525" s="2119">
        <f>+C524</f>
        <v>9095460</v>
      </c>
      <c r="D525" s="2131" t="s">
        <v>716</v>
      </c>
      <c r="E525" s="2121">
        <v>1.05</v>
      </c>
      <c r="F525" s="2121" t="s">
        <v>717</v>
      </c>
      <c r="G525" s="2121">
        <v>1</v>
      </c>
      <c r="H525" s="2121" t="s">
        <v>1195</v>
      </c>
      <c r="I525" s="2135" t="s">
        <v>1195</v>
      </c>
      <c r="J525" s="2210">
        <v>5</v>
      </c>
      <c r="K525" s="2121">
        <v>1.1000000000000001</v>
      </c>
      <c r="L525" s="2139">
        <v>4</v>
      </c>
      <c r="M525" s="2121">
        <v>1</v>
      </c>
      <c r="N525" s="2139">
        <v>3</v>
      </c>
      <c r="O525" s="2123">
        <v>0.9</v>
      </c>
      <c r="P525" s="1457"/>
      <c r="Q525" s="1452"/>
      <c r="R525" s="1452"/>
      <c r="S525" s="1452"/>
      <c r="T525" s="1452"/>
      <c r="U525" s="1452"/>
      <c r="V525" s="1483"/>
      <c r="W525" s="1036"/>
      <c r="X525" s="1036"/>
      <c r="Y525" s="1036"/>
      <c r="Z525" s="1036"/>
      <c r="AA525" s="1036"/>
      <c r="AB525" s="1036"/>
      <c r="AC525" s="1036"/>
      <c r="AD525" s="1036"/>
      <c r="AE525" s="1036"/>
      <c r="AF525" s="1036"/>
      <c r="AG525" s="1036"/>
      <c r="AH525" s="1035"/>
      <c r="AI525" s="1035"/>
      <c r="AJ525" s="1036"/>
      <c r="AK525" s="1036"/>
      <c r="AL525" s="1036"/>
      <c r="AM525" s="1036"/>
      <c r="AN525" s="1036"/>
      <c r="AO525" s="1036"/>
      <c r="AP525" s="1036"/>
      <c r="AQ525" s="1036"/>
      <c r="AR525" s="1036"/>
      <c r="AS525" s="1036"/>
      <c r="AT525" s="1036"/>
      <c r="AU525" s="1036"/>
      <c r="AV525" s="1036"/>
      <c r="AW525" s="1036"/>
      <c r="AX525" s="1036"/>
      <c r="AY525" s="1037"/>
    </row>
    <row r="526" spans="2:51" ht="12.75" customHeight="1">
      <c r="B526" s="2109" t="str">
        <f>+$B$8</f>
        <v>病院・ホテル</v>
      </c>
      <c r="C526" s="1045">
        <v>9095460</v>
      </c>
      <c r="D526" s="1046" t="s">
        <v>716</v>
      </c>
      <c r="E526" s="1047">
        <v>1.05</v>
      </c>
      <c r="F526" s="1047" t="s">
        <v>717</v>
      </c>
      <c r="G526" s="1047">
        <v>1</v>
      </c>
      <c r="H526" s="1047" t="s">
        <v>1195</v>
      </c>
      <c r="I526" s="1053" t="s">
        <v>1195</v>
      </c>
      <c r="J526" s="1049">
        <v>5</v>
      </c>
      <c r="K526" s="1047">
        <v>1.1000000000000001</v>
      </c>
      <c r="L526" s="1051">
        <v>4</v>
      </c>
      <c r="M526" s="1047">
        <v>1</v>
      </c>
      <c r="N526" s="1051">
        <v>3</v>
      </c>
      <c r="O526" s="1048">
        <v>0.9</v>
      </c>
      <c r="P526" s="1457"/>
      <c r="Q526" s="1452"/>
      <c r="R526" s="1452"/>
      <c r="S526" s="1452"/>
      <c r="T526" s="1452"/>
      <c r="U526" s="1452"/>
      <c r="V526" s="1483"/>
      <c r="W526" s="1036"/>
      <c r="X526" s="1036"/>
      <c r="Y526" s="1036"/>
      <c r="Z526" s="1036"/>
      <c r="AA526" s="1036"/>
      <c r="AB526" s="1036"/>
      <c r="AC526" s="1036"/>
      <c r="AD526" s="1036"/>
      <c r="AE526" s="1036"/>
      <c r="AF526" s="1036"/>
      <c r="AG526" s="1036"/>
      <c r="AH526" s="1035"/>
      <c r="AI526" s="1035"/>
      <c r="AJ526" s="1036"/>
      <c r="AK526" s="1036"/>
      <c r="AL526" s="1036"/>
      <c r="AM526" s="1036"/>
      <c r="AN526" s="1036"/>
      <c r="AO526" s="1036"/>
      <c r="AP526" s="1036"/>
      <c r="AQ526" s="1036"/>
      <c r="AR526" s="1036"/>
      <c r="AS526" s="1036"/>
      <c r="AT526" s="1036"/>
      <c r="AU526" s="1036"/>
      <c r="AV526" s="1036"/>
      <c r="AW526" s="1036"/>
      <c r="AX526" s="1036"/>
      <c r="AY526" s="1037"/>
    </row>
    <row r="527" spans="2:51" ht="12.75" customHeight="1">
      <c r="B527" s="2109" t="str">
        <f>+$B$9</f>
        <v>工場・倉庫・市場</v>
      </c>
      <c r="C527" s="2119">
        <f>+C524</f>
        <v>9095460</v>
      </c>
      <c r="D527" s="2131" t="s">
        <v>716</v>
      </c>
      <c r="E527" s="2121">
        <v>1.05</v>
      </c>
      <c r="F527" s="2121" t="s">
        <v>717</v>
      </c>
      <c r="G527" s="2121">
        <v>1</v>
      </c>
      <c r="H527" s="2121" t="s">
        <v>1195</v>
      </c>
      <c r="I527" s="2135" t="s">
        <v>1195</v>
      </c>
      <c r="J527" s="2210">
        <v>5</v>
      </c>
      <c r="K527" s="2121">
        <v>1.1000000000000001</v>
      </c>
      <c r="L527" s="2139">
        <v>4</v>
      </c>
      <c r="M527" s="2121">
        <v>1</v>
      </c>
      <c r="N527" s="2139">
        <v>3</v>
      </c>
      <c r="O527" s="2123">
        <v>0.9</v>
      </c>
      <c r="P527" s="1457"/>
      <c r="Q527" s="1452"/>
      <c r="R527" s="1452"/>
      <c r="S527" s="1452"/>
      <c r="T527" s="1452"/>
      <c r="U527" s="1452"/>
      <c r="V527" s="1483"/>
      <c r="W527" s="1036"/>
      <c r="X527" s="1036"/>
      <c r="Y527" s="1036"/>
      <c r="Z527" s="1036"/>
      <c r="AA527" s="1036"/>
      <c r="AB527" s="1036"/>
      <c r="AC527" s="1036"/>
      <c r="AD527" s="1036"/>
      <c r="AE527" s="1036"/>
      <c r="AF527" s="1036"/>
      <c r="AG527" s="1036"/>
      <c r="AH527" s="1035"/>
      <c r="AI527" s="1035"/>
      <c r="AJ527" s="1036"/>
      <c r="AK527" s="1036"/>
      <c r="AL527" s="1036"/>
      <c r="AM527" s="1036"/>
      <c r="AN527" s="1036"/>
      <c r="AO527" s="1036"/>
      <c r="AP527" s="1036"/>
      <c r="AQ527" s="1036"/>
      <c r="AR527" s="1036"/>
      <c r="AS527" s="1036"/>
      <c r="AT527" s="1036"/>
      <c r="AU527" s="1036"/>
      <c r="AV527" s="1036"/>
      <c r="AW527" s="1036"/>
      <c r="AX527" s="1036"/>
      <c r="AY527" s="1037"/>
    </row>
    <row r="528" spans="2:51" ht="12.75" customHeight="1">
      <c r="B528" s="2110" t="str">
        <f>+$B$10</f>
        <v>劇場型建物</v>
      </c>
      <c r="C528" s="2125">
        <f>+C524</f>
        <v>9095460</v>
      </c>
      <c r="D528" s="2159" t="s">
        <v>716</v>
      </c>
      <c r="E528" s="2127">
        <v>1.05</v>
      </c>
      <c r="F528" s="2127" t="s">
        <v>717</v>
      </c>
      <c r="G528" s="2127">
        <v>1</v>
      </c>
      <c r="H528" s="2127" t="s">
        <v>1195</v>
      </c>
      <c r="I528" s="2181" t="s">
        <v>1195</v>
      </c>
      <c r="J528" s="2214">
        <v>5</v>
      </c>
      <c r="K528" s="2127">
        <v>1.1000000000000001</v>
      </c>
      <c r="L528" s="2212">
        <v>4</v>
      </c>
      <c r="M528" s="2127">
        <v>1</v>
      </c>
      <c r="N528" s="2212">
        <v>3</v>
      </c>
      <c r="O528" s="2129">
        <v>0.9</v>
      </c>
      <c r="P528" s="1457"/>
      <c r="Q528" s="1452"/>
      <c r="R528" s="1452"/>
      <c r="S528" s="1452"/>
      <c r="T528" s="1452"/>
      <c r="U528" s="1452"/>
      <c r="V528" s="1483"/>
      <c r="W528" s="1036"/>
      <c r="X528" s="1036"/>
      <c r="Y528" s="1036"/>
      <c r="Z528" s="1036"/>
      <c r="AA528" s="1036"/>
      <c r="AB528" s="1036"/>
      <c r="AC528" s="1036"/>
      <c r="AD528" s="1036"/>
      <c r="AE528" s="1036"/>
      <c r="AF528" s="1036"/>
      <c r="AG528" s="1036"/>
      <c r="AH528" s="1035"/>
      <c r="AI528" s="1035"/>
      <c r="AJ528" s="1036"/>
      <c r="AK528" s="1036"/>
      <c r="AL528" s="1036"/>
      <c r="AM528" s="1036"/>
      <c r="AN528" s="1036"/>
      <c r="AO528" s="1036"/>
      <c r="AP528" s="1036"/>
      <c r="AQ528" s="1036"/>
      <c r="AR528" s="1036"/>
      <c r="AS528" s="1036"/>
      <c r="AT528" s="1036"/>
      <c r="AU528" s="1036"/>
      <c r="AV528" s="1036"/>
      <c r="AW528" s="1036"/>
      <c r="AX528" s="1036"/>
      <c r="AY528" s="1037"/>
    </row>
    <row r="529" spans="2:51" ht="12.75" customHeight="1">
      <c r="B529" s="1008" t="s">
        <v>359</v>
      </c>
      <c r="C529" s="1503" t="s">
        <v>1387</v>
      </c>
      <c r="D529" s="1481" t="s">
        <v>1392</v>
      </c>
      <c r="E529" s="1015"/>
      <c r="F529" s="1015"/>
      <c r="G529" s="1015"/>
      <c r="H529" s="1015"/>
      <c r="I529" s="1016"/>
      <c r="J529" s="1463" t="s">
        <v>1393</v>
      </c>
      <c r="K529" s="1015"/>
      <c r="L529" s="1015"/>
      <c r="M529" s="1015"/>
      <c r="N529" s="1015"/>
      <c r="O529" s="1017"/>
      <c r="P529" s="1449"/>
      <c r="Q529" s="1450"/>
      <c r="R529" s="1450"/>
      <c r="S529" s="1450"/>
      <c r="T529" s="1450"/>
      <c r="U529" s="1450"/>
      <c r="V529" s="1483"/>
      <c r="W529" s="1021"/>
      <c r="X529" s="1021"/>
      <c r="Y529" s="1021"/>
      <c r="Z529" s="1021"/>
      <c r="AA529" s="1021"/>
      <c r="AB529" s="1021"/>
      <c r="AC529" s="1021"/>
      <c r="AD529" s="1021"/>
      <c r="AE529" s="1021"/>
      <c r="AF529" s="1021"/>
      <c r="AG529" s="1021"/>
      <c r="AH529" s="1020"/>
      <c r="AI529" s="1020"/>
      <c r="AJ529" s="1021"/>
      <c r="AK529" s="1021"/>
      <c r="AL529" s="1021"/>
      <c r="AM529" s="1021"/>
      <c r="AN529" s="1021"/>
      <c r="AO529" s="1021"/>
      <c r="AP529" s="1021"/>
      <c r="AQ529" s="1021"/>
      <c r="AR529" s="1021"/>
      <c r="AS529" s="1021"/>
      <c r="AT529" s="1021"/>
      <c r="AU529" s="1021"/>
      <c r="AV529" s="1021"/>
      <c r="AW529" s="1021"/>
      <c r="AX529" s="1021"/>
      <c r="AY529" s="1022"/>
    </row>
    <row r="530" spans="2:51" ht="12.75" customHeight="1">
      <c r="B530" s="1023"/>
      <c r="C530" s="1024" t="s">
        <v>1389</v>
      </c>
      <c r="D530" s="1029" t="s">
        <v>366</v>
      </c>
      <c r="E530" s="1030"/>
      <c r="F530" s="1030" t="s">
        <v>367</v>
      </c>
      <c r="G530" s="1030"/>
      <c r="H530" s="1030" t="s">
        <v>368</v>
      </c>
      <c r="I530" s="1031"/>
      <c r="J530" s="1028" t="s">
        <v>366</v>
      </c>
      <c r="K530" s="1030"/>
      <c r="L530" s="1030" t="s">
        <v>367</v>
      </c>
      <c r="M530" s="1030"/>
      <c r="N530" s="1030" t="s">
        <v>368</v>
      </c>
      <c r="O530" s="1032"/>
      <c r="P530" s="1589" t="s">
        <v>1383</v>
      </c>
      <c r="Q530" s="1450"/>
      <c r="R530" s="1450"/>
      <c r="S530" s="1450"/>
      <c r="T530" s="1450"/>
      <c r="U530" s="1450"/>
      <c r="V530" s="1483"/>
      <c r="W530" s="1036"/>
      <c r="X530" s="1036"/>
      <c r="Y530" s="1036"/>
      <c r="Z530" s="1036"/>
      <c r="AA530" s="1036"/>
      <c r="AB530" s="1036"/>
      <c r="AC530" s="1036"/>
      <c r="AD530" s="1036"/>
      <c r="AE530" s="1036"/>
      <c r="AF530" s="1036"/>
      <c r="AG530" s="1036"/>
      <c r="AH530" s="1035"/>
      <c r="AI530" s="1035"/>
      <c r="AJ530" s="1036"/>
      <c r="AK530" s="1036"/>
      <c r="AL530" s="1036"/>
      <c r="AM530" s="1036"/>
      <c r="AN530" s="1036"/>
      <c r="AO530" s="1036"/>
      <c r="AP530" s="1036"/>
      <c r="AQ530" s="1036"/>
      <c r="AR530" s="1036"/>
      <c r="AS530" s="1036"/>
      <c r="AT530" s="1036"/>
      <c r="AU530" s="1036"/>
      <c r="AV530" s="1036"/>
      <c r="AW530" s="1036"/>
      <c r="AX530" s="1036"/>
      <c r="AY530" s="1037"/>
    </row>
    <row r="531" spans="2:51" ht="12.75" customHeight="1">
      <c r="B531" s="2108" t="str">
        <f>+$B$6</f>
        <v>事務所・店舗・百貨店</v>
      </c>
      <c r="C531" s="2258">
        <v>13586900</v>
      </c>
      <c r="D531" s="1038" t="s">
        <v>716</v>
      </c>
      <c r="E531" s="1039">
        <v>1.1000000000000001</v>
      </c>
      <c r="F531" s="1039" t="s">
        <v>717</v>
      </c>
      <c r="G531" s="1039">
        <v>1</v>
      </c>
      <c r="H531" s="1039" t="s">
        <v>1195</v>
      </c>
      <c r="I531" s="1042" t="s">
        <v>1195</v>
      </c>
      <c r="J531" s="1165">
        <v>5</v>
      </c>
      <c r="K531" s="1039">
        <v>1.08</v>
      </c>
      <c r="L531" s="1092">
        <v>4</v>
      </c>
      <c r="M531" s="1039">
        <v>1</v>
      </c>
      <c r="N531" s="1092">
        <v>3</v>
      </c>
      <c r="O531" s="1040">
        <v>0.92</v>
      </c>
      <c r="P531" s="1457"/>
      <c r="Q531" s="1452"/>
      <c r="R531" s="1452"/>
      <c r="S531" s="1452"/>
      <c r="T531" s="1452"/>
      <c r="U531" s="1452"/>
      <c r="V531" s="1483"/>
      <c r="W531" s="1036"/>
      <c r="X531" s="1036"/>
      <c r="Y531" s="1036"/>
      <c r="Z531" s="1036"/>
      <c r="AA531" s="1036"/>
      <c r="AB531" s="1036"/>
      <c r="AC531" s="1036"/>
      <c r="AD531" s="1036"/>
      <c r="AE531" s="1036"/>
      <c r="AF531" s="1036"/>
      <c r="AG531" s="1036"/>
      <c r="AH531" s="1035"/>
      <c r="AI531" s="1035"/>
      <c r="AJ531" s="1036"/>
      <c r="AK531" s="1036"/>
      <c r="AL531" s="1036"/>
      <c r="AM531" s="1036"/>
      <c r="AN531" s="1036"/>
      <c r="AO531" s="1036"/>
      <c r="AP531" s="1036"/>
      <c r="AQ531" s="1036"/>
      <c r="AR531" s="1036"/>
      <c r="AS531" s="1036"/>
      <c r="AT531" s="1036"/>
      <c r="AU531" s="1036"/>
      <c r="AV531" s="1036"/>
      <c r="AW531" s="1036"/>
      <c r="AX531" s="1036"/>
      <c r="AY531" s="1037"/>
    </row>
    <row r="532" spans="2:51" ht="12.75" customHeight="1">
      <c r="B532" s="2109" t="str">
        <f>+$B$7</f>
        <v>住宅・アパート</v>
      </c>
      <c r="C532" s="2119">
        <f>+C531</f>
        <v>13586900</v>
      </c>
      <c r="D532" s="2131" t="s">
        <v>716</v>
      </c>
      <c r="E532" s="2121">
        <v>1.1000000000000001</v>
      </c>
      <c r="F532" s="2121" t="s">
        <v>717</v>
      </c>
      <c r="G532" s="2121">
        <v>1</v>
      </c>
      <c r="H532" s="2121" t="s">
        <v>1195</v>
      </c>
      <c r="I532" s="2135" t="s">
        <v>1195</v>
      </c>
      <c r="J532" s="2210">
        <v>5</v>
      </c>
      <c r="K532" s="2121">
        <v>1.08</v>
      </c>
      <c r="L532" s="2139">
        <v>4</v>
      </c>
      <c r="M532" s="2121">
        <v>1</v>
      </c>
      <c r="N532" s="2139">
        <v>3</v>
      </c>
      <c r="O532" s="2123">
        <v>0.92</v>
      </c>
      <c r="P532" s="1457"/>
      <c r="Q532" s="1452"/>
      <c r="R532" s="1452"/>
      <c r="S532" s="1452"/>
      <c r="T532" s="1452"/>
      <c r="U532" s="1452"/>
      <c r="V532" s="1483"/>
      <c r="W532" s="1036"/>
      <c r="X532" s="1036"/>
      <c r="Y532" s="1036"/>
      <c r="Z532" s="1036"/>
      <c r="AA532" s="1036"/>
      <c r="AB532" s="1036"/>
      <c r="AC532" s="1036"/>
      <c r="AD532" s="1036"/>
      <c r="AE532" s="1036"/>
      <c r="AF532" s="1036"/>
      <c r="AG532" s="1036"/>
      <c r="AH532" s="1035"/>
      <c r="AI532" s="1035"/>
      <c r="AJ532" s="1036"/>
      <c r="AK532" s="1036"/>
      <c r="AL532" s="1036"/>
      <c r="AM532" s="1036"/>
      <c r="AN532" s="1036"/>
      <c r="AO532" s="1036"/>
      <c r="AP532" s="1036"/>
      <c r="AQ532" s="1036"/>
      <c r="AR532" s="1036"/>
      <c r="AS532" s="1036"/>
      <c r="AT532" s="1036"/>
      <c r="AU532" s="1036"/>
      <c r="AV532" s="1036"/>
      <c r="AW532" s="1036"/>
      <c r="AX532" s="1036"/>
      <c r="AY532" s="1037"/>
    </row>
    <row r="533" spans="2:51" ht="12.75" customHeight="1">
      <c r="B533" s="2109" t="str">
        <f>+$B$8</f>
        <v>病院・ホテル</v>
      </c>
      <c r="C533" s="1045">
        <v>13586900</v>
      </c>
      <c r="D533" s="1046" t="s">
        <v>716</v>
      </c>
      <c r="E533" s="1047">
        <v>1.1000000000000001</v>
      </c>
      <c r="F533" s="1047" t="s">
        <v>717</v>
      </c>
      <c r="G533" s="1047">
        <v>1</v>
      </c>
      <c r="H533" s="1047" t="s">
        <v>1195</v>
      </c>
      <c r="I533" s="1053" t="s">
        <v>1195</v>
      </c>
      <c r="J533" s="1049">
        <v>5</v>
      </c>
      <c r="K533" s="1047">
        <v>1.08</v>
      </c>
      <c r="L533" s="1051">
        <v>4</v>
      </c>
      <c r="M533" s="1047">
        <v>1</v>
      </c>
      <c r="N533" s="1051">
        <v>3</v>
      </c>
      <c r="O533" s="1048">
        <v>0.92</v>
      </c>
      <c r="P533" s="1457"/>
      <c r="Q533" s="1452"/>
      <c r="R533" s="1452"/>
      <c r="S533" s="1452"/>
      <c r="T533" s="1452"/>
      <c r="U533" s="1452"/>
      <c r="V533" s="1483"/>
      <c r="W533" s="1036"/>
      <c r="X533" s="1036"/>
      <c r="Y533" s="1036"/>
      <c r="Z533" s="1036"/>
      <c r="AA533" s="1036"/>
      <c r="AB533" s="1036"/>
      <c r="AC533" s="1036"/>
      <c r="AD533" s="1036"/>
      <c r="AE533" s="1036"/>
      <c r="AF533" s="1036"/>
      <c r="AG533" s="1036"/>
      <c r="AH533" s="1035"/>
      <c r="AI533" s="1035"/>
      <c r="AJ533" s="1036"/>
      <c r="AK533" s="1036"/>
      <c r="AL533" s="1036"/>
      <c r="AM533" s="1036"/>
      <c r="AN533" s="1036"/>
      <c r="AO533" s="1036"/>
      <c r="AP533" s="1036"/>
      <c r="AQ533" s="1036"/>
      <c r="AR533" s="1036"/>
      <c r="AS533" s="1036"/>
      <c r="AT533" s="1036"/>
      <c r="AU533" s="1036"/>
      <c r="AV533" s="1036"/>
      <c r="AW533" s="1036"/>
      <c r="AX533" s="1036"/>
      <c r="AY533" s="1037"/>
    </row>
    <row r="534" spans="2:51" ht="12.75" customHeight="1">
      <c r="B534" s="2109" t="str">
        <f>+$B$9</f>
        <v>工場・倉庫・市場</v>
      </c>
      <c r="C534" s="2119">
        <f>+C531</f>
        <v>13586900</v>
      </c>
      <c r="D534" s="2131" t="s">
        <v>716</v>
      </c>
      <c r="E534" s="2121">
        <v>1.1000000000000001</v>
      </c>
      <c r="F534" s="2121" t="s">
        <v>717</v>
      </c>
      <c r="G534" s="2121">
        <v>1</v>
      </c>
      <c r="H534" s="2121" t="s">
        <v>1195</v>
      </c>
      <c r="I534" s="2135" t="s">
        <v>1195</v>
      </c>
      <c r="J534" s="2210">
        <v>5</v>
      </c>
      <c r="K534" s="2121">
        <v>1.08</v>
      </c>
      <c r="L534" s="2139">
        <v>4</v>
      </c>
      <c r="M534" s="2121">
        <v>1</v>
      </c>
      <c r="N534" s="2139">
        <v>3</v>
      </c>
      <c r="O534" s="2123">
        <v>0.92</v>
      </c>
      <c r="P534" s="1457"/>
      <c r="Q534" s="1452"/>
      <c r="R534" s="1452"/>
      <c r="S534" s="1452"/>
      <c r="T534" s="1452"/>
      <c r="U534" s="1452"/>
      <c r="V534" s="1483"/>
      <c r="W534" s="1036"/>
      <c r="X534" s="1036"/>
      <c r="Y534" s="1036"/>
      <c r="Z534" s="1036"/>
      <c r="AA534" s="1036"/>
      <c r="AB534" s="1036"/>
      <c r="AC534" s="1036"/>
      <c r="AD534" s="1036"/>
      <c r="AE534" s="1036"/>
      <c r="AF534" s="1036"/>
      <c r="AG534" s="1036"/>
      <c r="AH534" s="1035"/>
      <c r="AI534" s="1035"/>
      <c r="AJ534" s="1036"/>
      <c r="AK534" s="1036"/>
      <c r="AL534" s="1036"/>
      <c r="AM534" s="1036"/>
      <c r="AN534" s="1036"/>
      <c r="AO534" s="1036"/>
      <c r="AP534" s="1036"/>
      <c r="AQ534" s="1036"/>
      <c r="AR534" s="1036"/>
      <c r="AS534" s="1036"/>
      <c r="AT534" s="1036"/>
      <c r="AU534" s="1036"/>
      <c r="AV534" s="1036"/>
      <c r="AW534" s="1036"/>
      <c r="AX534" s="1036"/>
      <c r="AY534" s="1037"/>
    </row>
    <row r="535" spans="2:51" ht="12.75" customHeight="1">
      <c r="B535" s="2110" t="str">
        <f>+$B$10</f>
        <v>劇場型建物</v>
      </c>
      <c r="C535" s="2125">
        <f>+C531</f>
        <v>13586900</v>
      </c>
      <c r="D535" s="2159" t="s">
        <v>716</v>
      </c>
      <c r="E535" s="2127">
        <v>1.1000000000000001</v>
      </c>
      <c r="F535" s="2127" t="s">
        <v>717</v>
      </c>
      <c r="G535" s="2127">
        <v>1</v>
      </c>
      <c r="H535" s="2127" t="s">
        <v>1195</v>
      </c>
      <c r="I535" s="2181" t="s">
        <v>1195</v>
      </c>
      <c r="J535" s="2214">
        <v>5</v>
      </c>
      <c r="K535" s="2127">
        <v>1.08</v>
      </c>
      <c r="L535" s="2212">
        <v>4</v>
      </c>
      <c r="M535" s="2127">
        <v>1</v>
      </c>
      <c r="N535" s="2212">
        <v>3</v>
      </c>
      <c r="O535" s="2129">
        <v>0.92</v>
      </c>
      <c r="P535" s="1458"/>
      <c r="Q535" s="1455"/>
      <c r="R535" s="1455"/>
      <c r="S535" s="1455"/>
      <c r="T535" s="1455"/>
      <c r="U535" s="1455"/>
      <c r="V535" s="1486"/>
      <c r="W535" s="1036"/>
      <c r="X535" s="1036"/>
      <c r="Y535" s="1036"/>
      <c r="Z535" s="1036"/>
      <c r="AA535" s="1036"/>
      <c r="AB535" s="1036"/>
      <c r="AC535" s="1036"/>
      <c r="AD535" s="1036"/>
      <c r="AE535" s="1036"/>
      <c r="AF535" s="1036"/>
      <c r="AG535" s="1036"/>
      <c r="AH535" s="1035"/>
      <c r="AI535" s="1035"/>
      <c r="AJ535" s="1036"/>
      <c r="AK535" s="1036"/>
      <c r="AL535" s="1036"/>
      <c r="AM535" s="1036"/>
      <c r="AN535" s="1036"/>
      <c r="AO535" s="1036"/>
      <c r="AP535" s="1036"/>
      <c r="AQ535" s="1036"/>
      <c r="AR535" s="1036"/>
      <c r="AS535" s="1036"/>
      <c r="AT535" s="1036"/>
      <c r="AU535" s="1036"/>
      <c r="AV535" s="1036"/>
      <c r="AW535" s="1036"/>
      <c r="AX535" s="1036"/>
      <c r="AY535" s="1037"/>
    </row>
    <row r="536" spans="2:51" ht="12.75" customHeight="1">
      <c r="B536" s="1008" t="s">
        <v>359</v>
      </c>
      <c r="C536" s="1121" t="s">
        <v>0</v>
      </c>
      <c r="D536" s="1014" t="s">
        <v>1</v>
      </c>
      <c r="E536" s="1015"/>
      <c r="F536" s="1015"/>
      <c r="G536" s="1015"/>
      <c r="H536" s="1015"/>
      <c r="I536" s="1016"/>
      <c r="J536" s="1013" t="s">
        <v>2</v>
      </c>
      <c r="K536" s="1015"/>
      <c r="L536" s="1015"/>
      <c r="M536" s="1015"/>
      <c r="N536" s="1015"/>
      <c r="O536" s="1017"/>
      <c r="P536" s="1014" t="s">
        <v>3</v>
      </c>
      <c r="Q536" s="1015"/>
      <c r="R536" s="1015"/>
      <c r="S536" s="1015"/>
      <c r="T536" s="1015"/>
      <c r="U536" s="1016"/>
      <c r="V536" s="1013" t="s">
        <v>4</v>
      </c>
      <c r="W536" s="1015"/>
      <c r="X536" s="1015"/>
      <c r="Y536" s="1015"/>
      <c r="Z536" s="1015"/>
      <c r="AA536" s="1017"/>
      <c r="AB536" s="1020"/>
      <c r="AC536" s="1020"/>
      <c r="AD536" s="1020"/>
      <c r="AE536" s="1020"/>
      <c r="AF536" s="1020"/>
      <c r="AG536" s="1020"/>
      <c r="AH536" s="1020"/>
      <c r="AI536" s="1020"/>
      <c r="AJ536" s="1021"/>
      <c r="AK536" s="1021"/>
      <c r="AL536" s="1021"/>
      <c r="AM536" s="1021"/>
      <c r="AN536" s="1021"/>
      <c r="AO536" s="1021"/>
      <c r="AP536" s="1021"/>
      <c r="AQ536" s="1021"/>
      <c r="AR536" s="1021"/>
      <c r="AS536" s="1021"/>
      <c r="AT536" s="1021"/>
      <c r="AU536" s="1021"/>
      <c r="AV536" s="1021"/>
      <c r="AW536" s="1021"/>
      <c r="AX536" s="1021"/>
      <c r="AY536" s="1022"/>
    </row>
    <row r="537" spans="2:51" ht="12.75" customHeight="1">
      <c r="B537" s="1023"/>
      <c r="C537" s="1024" t="s">
        <v>5</v>
      </c>
      <c r="D537" s="1029" t="s">
        <v>366</v>
      </c>
      <c r="E537" s="1030"/>
      <c r="F537" s="1030" t="s">
        <v>367</v>
      </c>
      <c r="G537" s="1030"/>
      <c r="H537" s="1030" t="s">
        <v>368</v>
      </c>
      <c r="I537" s="1031"/>
      <c r="J537" s="1028" t="s">
        <v>366</v>
      </c>
      <c r="K537" s="1030"/>
      <c r="L537" s="1030" t="s">
        <v>367</v>
      </c>
      <c r="M537" s="1030"/>
      <c r="N537" s="1030" t="s">
        <v>368</v>
      </c>
      <c r="O537" s="1032"/>
      <c r="P537" s="1029" t="s">
        <v>366</v>
      </c>
      <c r="Q537" s="1030"/>
      <c r="R537" s="1030" t="s">
        <v>367</v>
      </c>
      <c r="S537" s="1030"/>
      <c r="T537" s="1030" t="s">
        <v>368</v>
      </c>
      <c r="U537" s="1031"/>
      <c r="V537" s="1028" t="s">
        <v>366</v>
      </c>
      <c r="W537" s="1030"/>
      <c r="X537" s="1030" t="s">
        <v>367</v>
      </c>
      <c r="Y537" s="1030"/>
      <c r="Z537" s="1030" t="s">
        <v>368</v>
      </c>
      <c r="AA537" s="1032"/>
      <c r="AB537" s="1589" t="s">
        <v>1382</v>
      </c>
      <c r="AC537" s="1035"/>
      <c r="AD537" s="1035"/>
      <c r="AE537" s="1035"/>
      <c r="AF537" s="1035"/>
      <c r="AG537" s="1035"/>
      <c r="AH537" s="1035"/>
      <c r="AI537" s="1035"/>
      <c r="AJ537" s="1036"/>
      <c r="AK537" s="1036"/>
      <c r="AL537" s="1036"/>
      <c r="AM537" s="1036"/>
      <c r="AN537" s="1036"/>
      <c r="AO537" s="1036"/>
      <c r="AP537" s="1036"/>
      <c r="AQ537" s="1036"/>
      <c r="AR537" s="1036"/>
      <c r="AS537" s="1036"/>
      <c r="AT537" s="1036"/>
      <c r="AU537" s="1036"/>
      <c r="AV537" s="1036"/>
      <c r="AW537" s="1036"/>
      <c r="AX537" s="1036"/>
      <c r="AY537" s="1037"/>
    </row>
    <row r="538" spans="2:51" ht="12.75" customHeight="1">
      <c r="B538" s="2108" t="str">
        <f>+$B$6</f>
        <v>事務所・店舗・百貨店</v>
      </c>
      <c r="C538" s="2258">
        <v>3299180</v>
      </c>
      <c r="D538" s="1091">
        <v>100</v>
      </c>
      <c r="E538" s="1039">
        <v>1.4</v>
      </c>
      <c r="F538" s="1092">
        <v>50</v>
      </c>
      <c r="G538" s="1039">
        <v>1</v>
      </c>
      <c r="H538" s="1092">
        <v>30</v>
      </c>
      <c r="I538" s="1042">
        <v>0.8</v>
      </c>
      <c r="J538" s="1041" t="s">
        <v>6</v>
      </c>
      <c r="K538" s="1039">
        <v>1.1000000000000001</v>
      </c>
      <c r="L538" s="1039" t="s">
        <v>7</v>
      </c>
      <c r="M538" s="1039">
        <v>1</v>
      </c>
      <c r="N538" s="1039" t="s">
        <v>8</v>
      </c>
      <c r="O538" s="1040">
        <v>0.8</v>
      </c>
      <c r="P538" s="1091">
        <v>4</v>
      </c>
      <c r="Q538" s="1039">
        <v>1.3</v>
      </c>
      <c r="R538" s="1092">
        <v>2</v>
      </c>
      <c r="S538" s="1039">
        <v>1</v>
      </c>
      <c r="T538" s="1470" t="s">
        <v>1380</v>
      </c>
      <c r="U538" s="1042" t="s">
        <v>1195</v>
      </c>
      <c r="V538" s="1041" t="s">
        <v>1195</v>
      </c>
      <c r="W538" s="1039" t="s">
        <v>1195</v>
      </c>
      <c r="X538" s="1039" t="s">
        <v>500</v>
      </c>
      <c r="Y538" s="1039">
        <v>1</v>
      </c>
      <c r="Z538" s="1039" t="s">
        <v>730</v>
      </c>
      <c r="AA538" s="1040">
        <v>0.7</v>
      </c>
      <c r="AB538" s="1035"/>
      <c r="AC538" s="1035"/>
      <c r="AD538" s="1035"/>
      <c r="AE538" s="1035"/>
      <c r="AF538" s="1035"/>
      <c r="AG538" s="1035"/>
      <c r="AH538" s="1035"/>
      <c r="AI538" s="1035"/>
      <c r="AJ538" s="1036"/>
      <c r="AK538" s="1036"/>
      <c r="AL538" s="1036"/>
      <c r="AM538" s="1036"/>
      <c r="AN538" s="1036"/>
      <c r="AO538" s="1036"/>
      <c r="AP538" s="1036"/>
      <c r="AQ538" s="1036"/>
      <c r="AR538" s="1036"/>
      <c r="AS538" s="1036"/>
      <c r="AT538" s="1036"/>
      <c r="AU538" s="1036"/>
      <c r="AV538" s="1036"/>
      <c r="AW538" s="1036"/>
      <c r="AX538" s="1036"/>
      <c r="AY538" s="1037"/>
    </row>
    <row r="539" spans="2:51" ht="12.75" customHeight="1">
      <c r="B539" s="2109" t="str">
        <f>+$B$7</f>
        <v>住宅・アパート</v>
      </c>
      <c r="C539" s="2119">
        <f>+C538</f>
        <v>3299180</v>
      </c>
      <c r="D539" s="2138">
        <v>100</v>
      </c>
      <c r="E539" s="2121">
        <v>1.4</v>
      </c>
      <c r="F539" s="2139">
        <v>50</v>
      </c>
      <c r="G539" s="2121">
        <v>1</v>
      </c>
      <c r="H539" s="2139">
        <v>30</v>
      </c>
      <c r="I539" s="2135">
        <v>0.8</v>
      </c>
      <c r="J539" s="2124" t="s">
        <v>6</v>
      </c>
      <c r="K539" s="2121">
        <v>1.1000000000000001</v>
      </c>
      <c r="L539" s="2121" t="s">
        <v>7</v>
      </c>
      <c r="M539" s="2121">
        <v>1</v>
      </c>
      <c r="N539" s="2121" t="s">
        <v>8</v>
      </c>
      <c r="O539" s="2123">
        <v>0.8</v>
      </c>
      <c r="P539" s="2138">
        <v>4</v>
      </c>
      <c r="Q539" s="2121">
        <v>1.3</v>
      </c>
      <c r="R539" s="2139">
        <v>2</v>
      </c>
      <c r="S539" s="2121">
        <v>1</v>
      </c>
      <c r="T539" s="2121" t="s">
        <v>1195</v>
      </c>
      <c r="U539" s="2135" t="s">
        <v>1195</v>
      </c>
      <c r="V539" s="2124" t="s">
        <v>1195</v>
      </c>
      <c r="W539" s="2121" t="s">
        <v>1195</v>
      </c>
      <c r="X539" s="2121" t="s">
        <v>500</v>
      </c>
      <c r="Y539" s="2121">
        <v>1</v>
      </c>
      <c r="Z539" s="2121" t="s">
        <v>730</v>
      </c>
      <c r="AA539" s="2123">
        <v>0.7</v>
      </c>
      <c r="AB539" s="1035"/>
      <c r="AC539" s="1035"/>
      <c r="AD539" s="1035"/>
      <c r="AE539" s="1035"/>
      <c r="AF539" s="1035"/>
      <c r="AG539" s="1035"/>
      <c r="AH539" s="1035"/>
      <c r="AI539" s="1035"/>
      <c r="AJ539" s="1036"/>
      <c r="AK539" s="1036"/>
      <c r="AL539" s="1036"/>
      <c r="AM539" s="1036"/>
      <c r="AN539" s="1036"/>
      <c r="AO539" s="1036"/>
      <c r="AP539" s="1036"/>
      <c r="AQ539" s="1036"/>
      <c r="AR539" s="1036"/>
      <c r="AS539" s="1036"/>
      <c r="AT539" s="1036"/>
      <c r="AU539" s="1036"/>
      <c r="AV539" s="1036"/>
      <c r="AW539" s="1036"/>
      <c r="AX539" s="1036"/>
      <c r="AY539" s="1037"/>
    </row>
    <row r="540" spans="2:51" ht="12.75" customHeight="1">
      <c r="B540" s="2109" t="str">
        <f>+$B$8</f>
        <v>病院・ホテル</v>
      </c>
      <c r="C540" s="2119">
        <f>+C538</f>
        <v>3299180</v>
      </c>
      <c r="D540" s="2138">
        <v>100</v>
      </c>
      <c r="E540" s="2121">
        <v>1.4</v>
      </c>
      <c r="F540" s="2139">
        <v>50</v>
      </c>
      <c r="G540" s="2121">
        <v>1</v>
      </c>
      <c r="H540" s="2139">
        <v>30</v>
      </c>
      <c r="I540" s="2135">
        <v>0.8</v>
      </c>
      <c r="J540" s="2124" t="s">
        <v>6</v>
      </c>
      <c r="K540" s="2121">
        <v>1.1000000000000001</v>
      </c>
      <c r="L540" s="2121" t="s">
        <v>7</v>
      </c>
      <c r="M540" s="2121">
        <v>1</v>
      </c>
      <c r="N540" s="2121" t="s">
        <v>8</v>
      </c>
      <c r="O540" s="2123">
        <v>0.8</v>
      </c>
      <c r="P540" s="2138">
        <v>4</v>
      </c>
      <c r="Q540" s="2121">
        <v>1.3</v>
      </c>
      <c r="R540" s="2139">
        <v>2</v>
      </c>
      <c r="S540" s="2121">
        <v>1</v>
      </c>
      <c r="T540" s="2121" t="s">
        <v>1195</v>
      </c>
      <c r="U540" s="2135" t="s">
        <v>1195</v>
      </c>
      <c r="V540" s="2124" t="s">
        <v>1195</v>
      </c>
      <c r="W540" s="2121" t="s">
        <v>1195</v>
      </c>
      <c r="X540" s="2121" t="s">
        <v>500</v>
      </c>
      <c r="Y540" s="2121">
        <v>1</v>
      </c>
      <c r="Z540" s="2121" t="s">
        <v>730</v>
      </c>
      <c r="AA540" s="2123">
        <v>0.7</v>
      </c>
      <c r="AB540" s="1035"/>
      <c r="AC540" s="1035"/>
      <c r="AD540" s="1035"/>
      <c r="AE540" s="1035"/>
      <c r="AF540" s="1035"/>
      <c r="AG540" s="1035"/>
      <c r="AH540" s="1035"/>
      <c r="AI540" s="1035"/>
      <c r="AJ540" s="1036"/>
      <c r="AK540" s="1036"/>
      <c r="AL540" s="1036"/>
      <c r="AM540" s="1036"/>
      <c r="AN540" s="1036"/>
      <c r="AO540" s="1036"/>
      <c r="AP540" s="1036"/>
      <c r="AQ540" s="1036"/>
      <c r="AR540" s="1036"/>
      <c r="AS540" s="1036"/>
      <c r="AT540" s="1036"/>
      <c r="AU540" s="1036"/>
      <c r="AV540" s="1036"/>
      <c r="AW540" s="1036"/>
      <c r="AX540" s="1036"/>
      <c r="AY540" s="1037"/>
    </row>
    <row r="541" spans="2:51" ht="12.75" customHeight="1">
      <c r="B541" s="2109" t="str">
        <f>+$B$9</f>
        <v>工場・倉庫・市場</v>
      </c>
      <c r="C541" s="2119">
        <f>+C538</f>
        <v>3299180</v>
      </c>
      <c r="D541" s="2138">
        <v>100</v>
      </c>
      <c r="E541" s="2121">
        <v>1.4</v>
      </c>
      <c r="F541" s="2139">
        <v>50</v>
      </c>
      <c r="G541" s="2121">
        <v>1</v>
      </c>
      <c r="H541" s="2139">
        <v>30</v>
      </c>
      <c r="I541" s="2135">
        <v>0.8</v>
      </c>
      <c r="J541" s="2124" t="s">
        <v>6</v>
      </c>
      <c r="K541" s="2121">
        <v>1.1000000000000001</v>
      </c>
      <c r="L541" s="2121" t="s">
        <v>7</v>
      </c>
      <c r="M541" s="2121">
        <v>1</v>
      </c>
      <c r="N541" s="2121" t="s">
        <v>8</v>
      </c>
      <c r="O541" s="2123">
        <v>0.8</v>
      </c>
      <c r="P541" s="2138">
        <v>4</v>
      </c>
      <c r="Q541" s="2121">
        <v>1.3</v>
      </c>
      <c r="R541" s="2139">
        <v>2</v>
      </c>
      <c r="S541" s="2121">
        <v>1</v>
      </c>
      <c r="T541" s="2121" t="s">
        <v>1195</v>
      </c>
      <c r="U541" s="2135" t="s">
        <v>1195</v>
      </c>
      <c r="V541" s="2124" t="s">
        <v>1195</v>
      </c>
      <c r="W541" s="2121" t="s">
        <v>1195</v>
      </c>
      <c r="X541" s="2121" t="s">
        <v>500</v>
      </c>
      <c r="Y541" s="2121">
        <v>1</v>
      </c>
      <c r="Z541" s="2121" t="s">
        <v>730</v>
      </c>
      <c r="AA541" s="2123">
        <v>0.7</v>
      </c>
      <c r="AB541" s="1035"/>
      <c r="AC541" s="1035"/>
      <c r="AD541" s="1035"/>
      <c r="AE541" s="1035"/>
      <c r="AF541" s="1035"/>
      <c r="AG541" s="1035"/>
      <c r="AH541" s="1035"/>
      <c r="AI541" s="1035"/>
      <c r="AJ541" s="1036"/>
      <c r="AK541" s="1036"/>
      <c r="AL541" s="1036"/>
      <c r="AM541" s="1036"/>
      <c r="AN541" s="1036"/>
      <c r="AO541" s="1036"/>
      <c r="AP541" s="1036"/>
      <c r="AQ541" s="1036"/>
      <c r="AR541" s="1036"/>
      <c r="AS541" s="1036"/>
      <c r="AT541" s="1036"/>
      <c r="AU541" s="1036"/>
      <c r="AV541" s="1036"/>
      <c r="AW541" s="1036"/>
      <c r="AX541" s="1036"/>
      <c r="AY541" s="1037"/>
    </row>
    <row r="542" spans="2:51" ht="12.75" customHeight="1">
      <c r="B542" s="2114" t="str">
        <f>+$B$10</f>
        <v>劇場型建物</v>
      </c>
      <c r="C542" s="2125">
        <f>+C538</f>
        <v>3299180</v>
      </c>
      <c r="D542" s="2219">
        <v>100</v>
      </c>
      <c r="E542" s="2162">
        <v>1.4</v>
      </c>
      <c r="F542" s="2235">
        <v>50</v>
      </c>
      <c r="G542" s="2162">
        <v>1</v>
      </c>
      <c r="H542" s="2235">
        <v>30</v>
      </c>
      <c r="I542" s="2236">
        <v>0.8</v>
      </c>
      <c r="J542" s="2160" t="s">
        <v>6</v>
      </c>
      <c r="K542" s="2162">
        <v>1.1000000000000001</v>
      </c>
      <c r="L542" s="2162" t="s">
        <v>7</v>
      </c>
      <c r="M542" s="2162">
        <v>1</v>
      </c>
      <c r="N542" s="2162" t="s">
        <v>8</v>
      </c>
      <c r="O542" s="2165">
        <v>0.8</v>
      </c>
      <c r="P542" s="2219">
        <v>4</v>
      </c>
      <c r="Q542" s="2162">
        <v>1.3</v>
      </c>
      <c r="R542" s="2235">
        <v>2</v>
      </c>
      <c r="S542" s="2162">
        <v>1</v>
      </c>
      <c r="T542" s="2162" t="s">
        <v>1195</v>
      </c>
      <c r="U542" s="2236" t="s">
        <v>1195</v>
      </c>
      <c r="V542" s="2160" t="s">
        <v>1195</v>
      </c>
      <c r="W542" s="2162" t="s">
        <v>1195</v>
      </c>
      <c r="X542" s="2162" t="s">
        <v>500</v>
      </c>
      <c r="Y542" s="2162">
        <v>1</v>
      </c>
      <c r="Z542" s="2162" t="s">
        <v>730</v>
      </c>
      <c r="AA542" s="2165">
        <v>0.7</v>
      </c>
      <c r="AB542" s="1175"/>
      <c r="AC542" s="1088"/>
      <c r="AD542" s="1088"/>
      <c r="AE542" s="1088"/>
      <c r="AF542" s="1088"/>
      <c r="AG542" s="1088"/>
      <c r="AH542" s="1088"/>
      <c r="AI542" s="1088"/>
      <c r="AJ542" s="1089"/>
      <c r="AK542" s="1089"/>
      <c r="AL542" s="1089"/>
      <c r="AM542" s="1089"/>
      <c r="AN542" s="1089"/>
      <c r="AO542" s="1089"/>
      <c r="AP542" s="1089"/>
      <c r="AQ542" s="1089"/>
      <c r="AR542" s="1089"/>
      <c r="AS542" s="1089"/>
      <c r="AT542" s="1089"/>
      <c r="AU542" s="1089"/>
      <c r="AV542" s="1089"/>
      <c r="AW542" s="1089"/>
      <c r="AX542" s="1089"/>
      <c r="AY542" s="1090"/>
    </row>
    <row r="544" spans="2:51" s="2077" customFormat="1" ht="12.75" customHeight="1">
      <c r="B544" s="971" t="s">
        <v>2216</v>
      </c>
      <c r="C544" s="2077">
        <v>2</v>
      </c>
      <c r="D544" s="2077">
        <v>3</v>
      </c>
      <c r="E544" s="2077">
        <v>4</v>
      </c>
      <c r="F544" s="2077">
        <v>5</v>
      </c>
      <c r="G544" s="2077">
        <v>6</v>
      </c>
      <c r="H544" s="2077">
        <v>7</v>
      </c>
      <c r="I544" s="2077">
        <v>8</v>
      </c>
      <c r="J544" s="2077">
        <v>9</v>
      </c>
      <c r="K544" s="2077">
        <v>10</v>
      </c>
      <c r="L544" s="2077">
        <v>11</v>
      </c>
      <c r="M544" s="2077">
        <v>12</v>
      </c>
      <c r="N544" s="2077">
        <v>13</v>
      </c>
      <c r="O544" s="2077">
        <v>14</v>
      </c>
      <c r="P544" s="2077">
        <v>15</v>
      </c>
      <c r="Q544" s="2077">
        <v>16</v>
      </c>
      <c r="R544" s="2077">
        <v>17</v>
      </c>
      <c r="S544" s="2077">
        <v>18</v>
      </c>
      <c r="T544" s="2077">
        <v>19</v>
      </c>
      <c r="U544" s="2077">
        <v>20</v>
      </c>
      <c r="V544" s="2077">
        <v>21</v>
      </c>
      <c r="W544" s="2077">
        <v>22</v>
      </c>
      <c r="X544" s="2077">
        <v>23</v>
      </c>
    </row>
    <row r="545" spans="2:78" s="2077" customFormat="1" ht="12.75" customHeight="1">
      <c r="B545" s="1008" t="s">
        <v>359</v>
      </c>
      <c r="C545" s="1503" t="s">
        <v>2217</v>
      </c>
      <c r="D545" s="1481" t="s">
        <v>794</v>
      </c>
      <c r="E545" s="1015"/>
      <c r="F545" s="1015"/>
      <c r="G545" s="1015"/>
      <c r="H545" s="1015"/>
      <c r="I545" s="1016"/>
      <c r="J545" s="1463" t="s">
        <v>2226</v>
      </c>
      <c r="K545" s="1015"/>
      <c r="L545" s="1015"/>
      <c r="M545" s="1015"/>
      <c r="N545" s="1015"/>
      <c r="O545" s="1017"/>
      <c r="P545" s="3866" t="s">
        <v>2227</v>
      </c>
      <c r="Q545" s="3867"/>
      <c r="R545" s="3867"/>
      <c r="S545" s="3867"/>
      <c r="T545" s="3867"/>
      <c r="U545" s="3867"/>
      <c r="V545" s="3867"/>
      <c r="W545" s="3867"/>
      <c r="X545" s="3901"/>
      <c r="Y545" s="2080"/>
      <c r="Z545" s="2037"/>
      <c r="AA545" s="2019"/>
      <c r="AB545" s="1020"/>
      <c r="AC545" s="1020"/>
      <c r="AD545" s="1020"/>
      <c r="AE545" s="1020"/>
      <c r="AF545" s="1020"/>
      <c r="AG545" s="1020"/>
      <c r="AH545" s="1020"/>
      <c r="AI545" s="1020"/>
      <c r="AJ545" s="1021"/>
      <c r="AK545" s="1021"/>
      <c r="AL545" s="1021"/>
      <c r="AM545" s="1021"/>
      <c r="AN545" s="1021"/>
      <c r="AO545" s="1021"/>
      <c r="AP545" s="1021"/>
      <c r="AQ545" s="1021"/>
      <c r="AR545" s="1021"/>
      <c r="AS545" s="1021"/>
      <c r="AT545" s="1021"/>
      <c r="AU545" s="1021"/>
      <c r="AV545" s="1021"/>
      <c r="AW545" s="1021"/>
      <c r="AX545" s="1021"/>
      <c r="AY545" s="1022"/>
    </row>
    <row r="546" spans="2:78" s="2077" customFormat="1" ht="12.75" customHeight="1">
      <c r="B546" s="1023"/>
      <c r="C546" s="1024" t="s">
        <v>2218</v>
      </c>
      <c r="D546" s="1029" t="s">
        <v>366</v>
      </c>
      <c r="E546" s="1030"/>
      <c r="F546" s="1030" t="s">
        <v>367</v>
      </c>
      <c r="G546" s="1030"/>
      <c r="H546" s="1030" t="s">
        <v>368</v>
      </c>
      <c r="I546" s="1031"/>
      <c r="J546" s="2260" t="s">
        <v>161</v>
      </c>
      <c r="K546" s="1030"/>
      <c r="L546" s="1444" t="s">
        <v>2318</v>
      </c>
      <c r="M546" s="1030"/>
      <c r="N546" s="1444" t="s">
        <v>2319</v>
      </c>
      <c r="O546" s="1032"/>
      <c r="P546" s="1029" t="s">
        <v>366</v>
      </c>
      <c r="Q546" s="1030"/>
      <c r="R546" s="1030"/>
      <c r="S546" s="1444" t="s">
        <v>2229</v>
      </c>
      <c r="T546" s="1030"/>
      <c r="U546" s="1030"/>
      <c r="V546" s="3897" t="s">
        <v>2230</v>
      </c>
      <c r="W546" s="3897"/>
      <c r="X546" s="3898"/>
      <c r="Y546" s="2054"/>
      <c r="Z546" s="1134"/>
      <c r="AA546" s="2020"/>
      <c r="AB546" s="1589"/>
      <c r="AC546" s="1035"/>
      <c r="AD546" s="1035"/>
      <c r="AE546" s="1035"/>
      <c r="AF546" s="1035"/>
      <c r="AG546" s="1035"/>
      <c r="AH546" s="1035"/>
      <c r="AI546" s="1035"/>
      <c r="AJ546" s="1036"/>
      <c r="AK546" s="1036"/>
      <c r="AL546" s="1036"/>
      <c r="AM546" s="1036"/>
      <c r="AN546" s="1036"/>
      <c r="AO546" s="1036"/>
      <c r="AP546" s="1036"/>
      <c r="AQ546" s="1036"/>
      <c r="AR546" s="1036"/>
      <c r="AS546" s="1036"/>
      <c r="AT546" s="1036"/>
      <c r="AU546" s="1036"/>
      <c r="AV546" s="1036"/>
      <c r="AW546" s="1036"/>
      <c r="AX546" s="1036"/>
      <c r="AY546" s="1037"/>
    </row>
    <row r="547" spans="2:78" s="2077" customFormat="1" ht="12.75" customHeight="1">
      <c r="B547" s="2078" t="s">
        <v>2219</v>
      </c>
      <c r="C547" s="2258">
        <v>25300</v>
      </c>
      <c r="D547" s="1091" t="s">
        <v>2223</v>
      </c>
      <c r="E547" s="1039">
        <v>1.2</v>
      </c>
      <c r="F547" s="1092" t="s">
        <v>2224</v>
      </c>
      <c r="G547" s="1039">
        <v>1</v>
      </c>
      <c r="H547" s="1092" t="s">
        <v>2225</v>
      </c>
      <c r="I547" s="1042">
        <v>0.9</v>
      </c>
      <c r="J547" s="1041" t="s">
        <v>2228</v>
      </c>
      <c r="K547" s="1039">
        <v>0</v>
      </c>
      <c r="L547" s="1039" t="s">
        <v>780</v>
      </c>
      <c r="M547" s="1039">
        <v>0</v>
      </c>
      <c r="N547" s="1039" t="s">
        <v>780</v>
      </c>
      <c r="O547" s="1040">
        <v>0</v>
      </c>
      <c r="P547" s="1091" t="s">
        <v>2231</v>
      </c>
      <c r="Q547" s="1039">
        <v>1.08</v>
      </c>
      <c r="R547" s="1039">
        <v>1.3</v>
      </c>
      <c r="S547" s="1039" t="s">
        <v>2233</v>
      </c>
      <c r="T547" s="1039">
        <v>0.83</v>
      </c>
      <c r="U547" s="1039">
        <v>1</v>
      </c>
      <c r="V547" s="1038" t="s">
        <v>2232</v>
      </c>
      <c r="W547" s="1039">
        <v>0.66</v>
      </c>
      <c r="X547" s="1039">
        <v>0.8</v>
      </c>
      <c r="Y547" s="2030"/>
      <c r="Z547" s="1082"/>
      <c r="AA547" s="2013"/>
      <c r="AB547" s="1035"/>
      <c r="AC547" s="1035"/>
      <c r="AD547" s="1035"/>
      <c r="AE547" s="1035"/>
      <c r="AF547" s="1035"/>
      <c r="AG547" s="1035"/>
      <c r="AH547" s="1035"/>
      <c r="AI547" s="1035"/>
      <c r="AJ547" s="1036"/>
      <c r="AK547" s="1036"/>
      <c r="AL547" s="1036"/>
      <c r="AM547" s="1036"/>
      <c r="AN547" s="1036"/>
      <c r="AO547" s="1036"/>
      <c r="AP547" s="1036"/>
      <c r="AQ547" s="1036"/>
      <c r="AR547" s="1036"/>
      <c r="AS547" s="1036"/>
      <c r="AT547" s="1036"/>
      <c r="AU547" s="1036"/>
      <c r="AV547" s="1036"/>
      <c r="AW547" s="1036"/>
      <c r="AX547" s="1036"/>
      <c r="AY547" s="1037"/>
    </row>
    <row r="548" spans="2:78" s="2077" customFormat="1" ht="12.75" customHeight="1">
      <c r="B548" s="2079" t="s">
        <v>2220</v>
      </c>
      <c r="C548" s="1045">
        <v>18560</v>
      </c>
      <c r="D548" s="1050" t="s">
        <v>2223</v>
      </c>
      <c r="E548" s="1047">
        <v>1.2</v>
      </c>
      <c r="F548" s="1051" t="s">
        <v>2224</v>
      </c>
      <c r="G548" s="1047">
        <v>1</v>
      </c>
      <c r="H548" s="1051" t="s">
        <v>2225</v>
      </c>
      <c r="I548" s="1053">
        <v>0.9</v>
      </c>
      <c r="J548" s="1056" t="s">
        <v>780</v>
      </c>
      <c r="K548" s="1047">
        <v>0</v>
      </c>
      <c r="L548" s="1047" t="s">
        <v>780</v>
      </c>
      <c r="M548" s="1047">
        <v>0</v>
      </c>
      <c r="N548" s="1047" t="s">
        <v>780</v>
      </c>
      <c r="O548" s="1048">
        <v>0</v>
      </c>
      <c r="P548" s="1050" t="s">
        <v>2231</v>
      </c>
      <c r="Q548" s="1047">
        <v>1.08</v>
      </c>
      <c r="R548" s="1047">
        <v>1.3</v>
      </c>
      <c r="S548" s="1047" t="s">
        <v>2233</v>
      </c>
      <c r="T548" s="1047">
        <v>0.83</v>
      </c>
      <c r="U548" s="1047">
        <v>1</v>
      </c>
      <c r="V548" s="1046" t="s">
        <v>2232</v>
      </c>
      <c r="W548" s="1047">
        <v>0.66</v>
      </c>
      <c r="X548" s="1047">
        <v>0.8</v>
      </c>
      <c r="Y548" s="2030"/>
      <c r="Z548" s="1082"/>
      <c r="AA548" s="2013"/>
      <c r="AB548" s="1035"/>
      <c r="AC548" s="1035"/>
      <c r="AD548" s="1035"/>
      <c r="AE548" s="1035"/>
      <c r="AF548" s="1035"/>
      <c r="AG548" s="1035"/>
      <c r="AH548" s="1035"/>
      <c r="AI548" s="1035"/>
      <c r="AJ548" s="1036"/>
      <c r="AK548" s="1036"/>
      <c r="AL548" s="1036"/>
      <c r="AM548" s="1036"/>
      <c r="AN548" s="1036"/>
      <c r="AO548" s="1036"/>
      <c r="AP548" s="1036"/>
      <c r="AQ548" s="1036"/>
      <c r="AR548" s="1036"/>
      <c r="AS548" s="1036"/>
      <c r="AT548" s="1036"/>
      <c r="AU548" s="1036"/>
      <c r="AV548" s="1036"/>
      <c r="AW548" s="1036"/>
      <c r="AX548" s="1036"/>
      <c r="AY548" s="1037"/>
    </row>
    <row r="549" spans="2:78" s="2077" customFormat="1" ht="12.75" customHeight="1">
      <c r="B549" s="2079" t="s">
        <v>2221</v>
      </c>
      <c r="C549" s="1045">
        <v>15190</v>
      </c>
      <c r="D549" s="1050" t="s">
        <v>2223</v>
      </c>
      <c r="E549" s="1047">
        <v>1.2</v>
      </c>
      <c r="F549" s="1051" t="s">
        <v>2224</v>
      </c>
      <c r="G549" s="1047">
        <v>1</v>
      </c>
      <c r="H549" s="1051" t="s">
        <v>2225</v>
      </c>
      <c r="I549" s="1053">
        <v>0.9</v>
      </c>
      <c r="J549" s="1056" t="s">
        <v>780</v>
      </c>
      <c r="K549" s="1047">
        <v>0</v>
      </c>
      <c r="L549" s="1047" t="s">
        <v>780</v>
      </c>
      <c r="M549" s="1047">
        <v>0</v>
      </c>
      <c r="N549" s="1047" t="s">
        <v>780</v>
      </c>
      <c r="O549" s="1048">
        <v>0</v>
      </c>
      <c r="P549" s="1050" t="s">
        <v>2231</v>
      </c>
      <c r="Q549" s="1047">
        <v>1.08</v>
      </c>
      <c r="R549" s="1047">
        <v>1.3</v>
      </c>
      <c r="S549" s="1047" t="s">
        <v>2233</v>
      </c>
      <c r="T549" s="1047">
        <v>0.83</v>
      </c>
      <c r="U549" s="1047">
        <v>1</v>
      </c>
      <c r="V549" s="1046" t="s">
        <v>2232</v>
      </c>
      <c r="W549" s="1047">
        <v>0.66</v>
      </c>
      <c r="X549" s="1047">
        <v>0.8</v>
      </c>
      <c r="Y549" s="2030"/>
      <c r="Z549" s="1082"/>
      <c r="AA549" s="2013"/>
      <c r="AB549" s="1035"/>
      <c r="AC549" s="1035"/>
      <c r="AD549" s="1035"/>
      <c r="AE549" s="1035"/>
      <c r="AF549" s="1035"/>
      <c r="AG549" s="1035"/>
      <c r="AH549" s="1035"/>
      <c r="AI549" s="1035"/>
      <c r="AJ549" s="1036"/>
      <c r="AK549" s="1036"/>
      <c r="AL549" s="1036"/>
      <c r="AM549" s="1036"/>
      <c r="AN549" s="1036"/>
      <c r="AO549" s="1036"/>
      <c r="AP549" s="1036"/>
      <c r="AQ549" s="1036"/>
      <c r="AR549" s="1036"/>
      <c r="AS549" s="1036"/>
      <c r="AT549" s="1036"/>
      <c r="AU549" s="1036"/>
      <c r="AV549" s="1036"/>
      <c r="AW549" s="1036"/>
      <c r="AX549" s="1036"/>
      <c r="AY549" s="1037"/>
    </row>
    <row r="550" spans="2:78" s="2077" customFormat="1" ht="12.75" customHeight="1">
      <c r="B550" s="2079" t="s">
        <v>2222</v>
      </c>
      <c r="C550" s="1045">
        <v>13690</v>
      </c>
      <c r="D550" s="1050" t="s">
        <v>2223</v>
      </c>
      <c r="E550" s="1047">
        <v>1.2</v>
      </c>
      <c r="F550" s="1051" t="s">
        <v>2224</v>
      </c>
      <c r="G550" s="1047">
        <v>1</v>
      </c>
      <c r="H550" s="1051" t="s">
        <v>2225</v>
      </c>
      <c r="I550" s="1053">
        <v>0.9</v>
      </c>
      <c r="J550" s="1056">
        <v>70</v>
      </c>
      <c r="K550" s="1047">
        <v>1</v>
      </c>
      <c r="L550" s="1047">
        <v>110</v>
      </c>
      <c r="M550" s="1047">
        <v>0.8</v>
      </c>
      <c r="N550" s="1047">
        <v>30</v>
      </c>
      <c r="O550" s="1048">
        <v>0.8</v>
      </c>
      <c r="P550" s="1050" t="s">
        <v>2231</v>
      </c>
      <c r="Q550" s="1047">
        <v>0.96</v>
      </c>
      <c r="R550" s="1047">
        <v>1.3</v>
      </c>
      <c r="S550" s="1047" t="s">
        <v>2233</v>
      </c>
      <c r="T550" s="1047">
        <v>0.74</v>
      </c>
      <c r="U550" s="1047">
        <v>1</v>
      </c>
      <c r="V550" s="1046" t="s">
        <v>2232</v>
      </c>
      <c r="W550" s="1047">
        <v>0.59</v>
      </c>
      <c r="X550" s="1047">
        <v>0.8</v>
      </c>
      <c r="Y550" s="1042"/>
      <c r="Z550" s="2081"/>
      <c r="AA550" s="2082"/>
      <c r="AB550" s="1035"/>
      <c r="AC550" s="1035"/>
      <c r="AD550" s="1035"/>
      <c r="AE550" s="1035"/>
      <c r="AF550" s="1035"/>
      <c r="AG550" s="1035"/>
      <c r="AH550" s="1035"/>
      <c r="AI550" s="1035"/>
      <c r="AJ550" s="1036"/>
      <c r="AK550" s="1036"/>
      <c r="AL550" s="1036"/>
      <c r="AM550" s="1036"/>
      <c r="AN550" s="1036"/>
      <c r="AO550" s="1036"/>
      <c r="AP550" s="1036"/>
      <c r="AQ550" s="1036"/>
      <c r="AR550" s="1036"/>
      <c r="AS550" s="1036"/>
      <c r="AT550" s="1036"/>
      <c r="AU550" s="1036"/>
      <c r="AV550" s="1036"/>
      <c r="AW550" s="1036"/>
      <c r="AX550" s="1036"/>
      <c r="AY550" s="1037"/>
    </row>
    <row r="553" spans="2:78" ht="12.75" customHeight="1">
      <c r="B553" s="971" t="s">
        <v>9</v>
      </c>
      <c r="C553">
        <v>1</v>
      </c>
      <c r="D553">
        <v>2</v>
      </c>
      <c r="E553">
        <v>3</v>
      </c>
      <c r="F553">
        <v>4</v>
      </c>
      <c r="G553">
        <v>5</v>
      </c>
      <c r="H553">
        <v>6</v>
      </c>
      <c r="I553">
        <v>7</v>
      </c>
      <c r="J553">
        <v>8</v>
      </c>
      <c r="K553">
        <v>9</v>
      </c>
      <c r="L553">
        <v>10</v>
      </c>
      <c r="M553">
        <v>11</v>
      </c>
      <c r="N553">
        <v>12</v>
      </c>
      <c r="O553">
        <v>13</v>
      </c>
      <c r="P553">
        <v>14</v>
      </c>
      <c r="Q553">
        <v>15</v>
      </c>
      <c r="R553">
        <v>16</v>
      </c>
      <c r="S553">
        <v>17</v>
      </c>
      <c r="T553">
        <v>18</v>
      </c>
      <c r="U553">
        <v>19</v>
      </c>
      <c r="V553">
        <v>20</v>
      </c>
      <c r="W553">
        <v>21</v>
      </c>
      <c r="X553">
        <v>22</v>
      </c>
      <c r="Y553">
        <v>23</v>
      </c>
      <c r="Z553">
        <v>24</v>
      </c>
      <c r="AA553">
        <v>25</v>
      </c>
      <c r="AB553">
        <v>26</v>
      </c>
      <c r="AC553">
        <v>27</v>
      </c>
      <c r="AD553">
        <v>28</v>
      </c>
      <c r="AE553">
        <v>29</v>
      </c>
      <c r="AF553">
        <v>30</v>
      </c>
      <c r="AG553">
        <v>31</v>
      </c>
      <c r="AH553">
        <v>32</v>
      </c>
      <c r="AI553">
        <v>33</v>
      </c>
      <c r="AJ553">
        <v>34</v>
      </c>
      <c r="AK553">
        <v>35</v>
      </c>
      <c r="AL553">
        <v>36</v>
      </c>
      <c r="AM553">
        <v>37</v>
      </c>
      <c r="AN553">
        <v>38</v>
      </c>
      <c r="AO553">
        <v>39</v>
      </c>
      <c r="AP553">
        <v>40</v>
      </c>
      <c r="AQ553">
        <v>41</v>
      </c>
      <c r="AR553">
        <v>42</v>
      </c>
      <c r="AS553">
        <v>43</v>
      </c>
      <c r="AT553">
        <v>44</v>
      </c>
      <c r="AU553">
        <v>45</v>
      </c>
      <c r="AV553">
        <v>46</v>
      </c>
      <c r="AW553">
        <v>47</v>
      </c>
      <c r="AX553">
        <v>48</v>
      </c>
      <c r="AY553">
        <v>49</v>
      </c>
      <c r="AZ553">
        <v>50</v>
      </c>
      <c r="BA553">
        <v>51</v>
      </c>
      <c r="BB553">
        <v>52</v>
      </c>
      <c r="BC553">
        <v>53</v>
      </c>
      <c r="BD553">
        <v>54</v>
      </c>
      <c r="BE553">
        <v>55</v>
      </c>
      <c r="BF553">
        <v>56</v>
      </c>
      <c r="BG553">
        <v>57</v>
      </c>
      <c r="BH553">
        <v>58</v>
      </c>
      <c r="BI553">
        <v>59</v>
      </c>
      <c r="BJ553">
        <v>60</v>
      </c>
      <c r="BK553">
        <v>61</v>
      </c>
      <c r="BL553">
        <v>62</v>
      </c>
      <c r="BM553">
        <v>63</v>
      </c>
      <c r="BN553">
        <v>64</v>
      </c>
      <c r="BO553">
        <v>65</v>
      </c>
      <c r="BP553">
        <v>66</v>
      </c>
      <c r="BQ553">
        <v>67</v>
      </c>
      <c r="BR553">
        <v>68</v>
      </c>
      <c r="BS553">
        <v>69</v>
      </c>
      <c r="BT553">
        <v>70</v>
      </c>
      <c r="BU553">
        <v>71</v>
      </c>
      <c r="BV553">
        <v>72</v>
      </c>
      <c r="BW553">
        <v>73</v>
      </c>
      <c r="BX553">
        <v>74</v>
      </c>
      <c r="BY553">
        <v>75</v>
      </c>
      <c r="BZ553">
        <v>76</v>
      </c>
    </row>
    <row r="554" spans="2:78" ht="12.75" customHeight="1">
      <c r="B554" s="3881" t="s">
        <v>10</v>
      </c>
      <c r="C554" s="3888"/>
      <c r="D554" s="32" t="s">
        <v>811</v>
      </c>
      <c r="E554" s="32"/>
      <c r="F554" s="32"/>
      <c r="G554" s="32"/>
      <c r="H554" s="32"/>
      <c r="I554" s="33"/>
      <c r="J554" s="34" t="s">
        <v>11</v>
      </c>
      <c r="K554" s="32"/>
      <c r="L554" s="32"/>
      <c r="M554" s="32"/>
      <c r="N554" s="32"/>
      <c r="O554" s="33"/>
      <c r="P554" s="34" t="s">
        <v>12</v>
      </c>
      <c r="Q554" s="32"/>
      <c r="R554" s="32"/>
      <c r="S554" s="32"/>
      <c r="T554" s="32"/>
      <c r="U554" s="33"/>
      <c r="V554" s="3497" t="s">
        <v>13</v>
      </c>
      <c r="W554" s="3885"/>
      <c r="X554" s="3885"/>
      <c r="Y554" s="3885"/>
      <c r="Z554" s="3885"/>
      <c r="AA554" s="3885"/>
      <c r="AB554" s="3885"/>
      <c r="AC554" s="3885"/>
      <c r="AD554" s="3885"/>
      <c r="AE554" s="3498"/>
      <c r="AF554" s="1176"/>
      <c r="AG554" s="1177"/>
      <c r="AH554" s="34" t="s">
        <v>764</v>
      </c>
      <c r="AI554" s="32"/>
      <c r="AJ554" s="32"/>
      <c r="AK554" s="32"/>
      <c r="AL554" s="32"/>
      <c r="AM554" s="33"/>
      <c r="AN554" s="34" t="s">
        <v>815</v>
      </c>
      <c r="AO554" s="32"/>
      <c r="AP554" s="32"/>
      <c r="AQ554" s="32"/>
      <c r="AR554" s="32"/>
      <c r="AS554" s="33"/>
      <c r="AT554" s="34" t="s">
        <v>14</v>
      </c>
      <c r="AU554" s="32"/>
      <c r="AV554" s="32"/>
      <c r="AW554" s="32"/>
      <c r="AX554" s="32"/>
      <c r="AY554" s="33"/>
      <c r="AZ554" s="34" t="s">
        <v>15</v>
      </c>
      <c r="BA554" s="32"/>
      <c r="BB554" s="32"/>
      <c r="BC554" s="32"/>
      <c r="BD554" s="32"/>
      <c r="BE554" s="33"/>
      <c r="BF554" s="34" t="s">
        <v>852</v>
      </c>
      <c r="BG554" s="32"/>
      <c r="BH554" s="32"/>
      <c r="BI554" s="32"/>
      <c r="BJ554" s="32"/>
      <c r="BK554" s="33"/>
      <c r="BL554" s="34" t="s">
        <v>794</v>
      </c>
      <c r="BM554" s="32"/>
      <c r="BN554" s="32"/>
      <c r="BO554" s="33"/>
      <c r="BP554" s="3891" t="s">
        <v>16</v>
      </c>
      <c r="BQ554" s="3892"/>
      <c r="BR554" s="3892"/>
      <c r="BS554" s="3892"/>
      <c r="BT554" s="3892"/>
      <c r="BU554" s="3892"/>
      <c r="BV554" s="3892"/>
      <c r="BW554" s="3892"/>
      <c r="BX554" s="3892"/>
      <c r="BY554" s="3892"/>
      <c r="BZ554" s="3893"/>
    </row>
    <row r="555" spans="2:78" ht="12.75" customHeight="1">
      <c r="B555" s="3889"/>
      <c r="C555" s="3890"/>
      <c r="D555" s="101" t="s">
        <v>17</v>
      </c>
      <c r="E555" s="102"/>
      <c r="F555" s="103" t="s">
        <v>18</v>
      </c>
      <c r="G555" s="102"/>
      <c r="H555" s="103" t="s">
        <v>19</v>
      </c>
      <c r="I555" s="102"/>
      <c r="J555" s="103" t="s">
        <v>17</v>
      </c>
      <c r="K555" s="102"/>
      <c r="L555" s="103" t="s">
        <v>18</v>
      </c>
      <c r="M555" s="102"/>
      <c r="N555" s="103" t="s">
        <v>19</v>
      </c>
      <c r="O555" s="102"/>
      <c r="P555" s="103" t="s">
        <v>17</v>
      </c>
      <c r="Q555" s="102"/>
      <c r="R555" s="103" t="s">
        <v>18</v>
      </c>
      <c r="S555" s="102"/>
      <c r="T555" s="103" t="s">
        <v>19</v>
      </c>
      <c r="U555" s="102"/>
      <c r="V555" s="34" t="s">
        <v>17</v>
      </c>
      <c r="W555" s="33"/>
      <c r="X555" s="34" t="s">
        <v>17</v>
      </c>
      <c r="Y555" s="33"/>
      <c r="Z555" s="34" t="s">
        <v>18</v>
      </c>
      <c r="AA555" s="33"/>
      <c r="AB555" s="34" t="s">
        <v>19</v>
      </c>
      <c r="AC555" s="33"/>
      <c r="AD555" s="34" t="s">
        <v>19</v>
      </c>
      <c r="AE555" s="33"/>
      <c r="AF555" s="1753"/>
      <c r="AG555" s="1752"/>
      <c r="AH555" s="103" t="s">
        <v>17</v>
      </c>
      <c r="AI555" s="102"/>
      <c r="AJ555" s="103" t="s">
        <v>18</v>
      </c>
      <c r="AK555" s="102"/>
      <c r="AL555" s="103" t="s">
        <v>19</v>
      </c>
      <c r="AM555" s="102"/>
      <c r="AN555" s="103" t="s">
        <v>17</v>
      </c>
      <c r="AO555" s="102"/>
      <c r="AP555" s="103" t="s">
        <v>18</v>
      </c>
      <c r="AQ555" s="102"/>
      <c r="AR555" s="103" t="s">
        <v>19</v>
      </c>
      <c r="AS555" s="102"/>
      <c r="AT555" s="103" t="s">
        <v>17</v>
      </c>
      <c r="AU555" s="102"/>
      <c r="AV555" s="103" t="s">
        <v>18</v>
      </c>
      <c r="AW555" s="102"/>
      <c r="AX555" s="103" t="s">
        <v>19</v>
      </c>
      <c r="AY555" s="102"/>
      <c r="AZ555" s="103" t="s">
        <v>17</v>
      </c>
      <c r="BA555" s="102"/>
      <c r="BB555" s="103" t="s">
        <v>18</v>
      </c>
      <c r="BC555" s="102"/>
      <c r="BD555" s="103" t="s">
        <v>19</v>
      </c>
      <c r="BE555" s="102"/>
      <c r="BF555" s="103" t="s">
        <v>17</v>
      </c>
      <c r="BG555" s="102"/>
      <c r="BH555" s="103" t="s">
        <v>18</v>
      </c>
      <c r="BI555" s="102"/>
      <c r="BJ555" s="103" t="s">
        <v>19</v>
      </c>
      <c r="BK555" s="102"/>
      <c r="BL555" s="103" t="s">
        <v>18</v>
      </c>
      <c r="BM555" s="102"/>
      <c r="BN555" s="103" t="s">
        <v>19</v>
      </c>
      <c r="BO555" s="102"/>
      <c r="BP555" s="1178" t="s">
        <v>17</v>
      </c>
      <c r="BQ555" s="1179"/>
      <c r="BR555" s="1180" t="s">
        <v>18</v>
      </c>
      <c r="BS555" s="1179"/>
      <c r="BT555" s="1180" t="s">
        <v>19</v>
      </c>
      <c r="BU555" s="1179"/>
      <c r="BV555" s="3886" t="s">
        <v>20</v>
      </c>
      <c r="BW555" s="3886"/>
      <c r="BX555" s="3886" t="s">
        <v>21</v>
      </c>
      <c r="BY555" s="3886"/>
      <c r="BZ555" s="1181" t="s">
        <v>848</v>
      </c>
    </row>
    <row r="556" spans="2:78" ht="12.75" customHeight="1">
      <c r="B556" s="3887" t="s">
        <v>727</v>
      </c>
      <c r="C556" s="1182" t="s">
        <v>22</v>
      </c>
      <c r="D556" s="1358">
        <v>6</v>
      </c>
      <c r="E556" s="1184">
        <v>1.05</v>
      </c>
      <c r="F556" s="1358">
        <v>4</v>
      </c>
      <c r="G556" s="1184">
        <v>1</v>
      </c>
      <c r="H556" s="1358">
        <v>2</v>
      </c>
      <c r="I556" s="1184">
        <v>0.95</v>
      </c>
      <c r="J556" s="1183">
        <v>6</v>
      </c>
      <c r="K556" s="1184">
        <v>1.1000000000000001</v>
      </c>
      <c r="L556" s="1183">
        <v>4</v>
      </c>
      <c r="M556" s="1184">
        <v>1</v>
      </c>
      <c r="N556" s="1183">
        <v>3</v>
      </c>
      <c r="O556" s="1184">
        <v>0.95</v>
      </c>
      <c r="P556" s="1183">
        <v>8</v>
      </c>
      <c r="Q556" s="1184">
        <v>1.2</v>
      </c>
      <c r="R556" s="1183">
        <v>5</v>
      </c>
      <c r="S556" s="1184">
        <v>1</v>
      </c>
      <c r="T556" s="1183" t="s">
        <v>23</v>
      </c>
      <c r="U556" s="1184" t="s">
        <v>712</v>
      </c>
      <c r="V556" s="1183" t="s">
        <v>979</v>
      </c>
      <c r="W556" s="1184" t="s">
        <v>979</v>
      </c>
      <c r="X556" s="1183" t="s">
        <v>979</v>
      </c>
      <c r="Y556" s="1184" t="s">
        <v>979</v>
      </c>
      <c r="Z556" s="1183" t="s">
        <v>979</v>
      </c>
      <c r="AA556" s="1184" t="s">
        <v>979</v>
      </c>
      <c r="AB556" s="1183" t="s">
        <v>979</v>
      </c>
      <c r="AC556" s="1184" t="s">
        <v>979</v>
      </c>
      <c r="AD556" s="1183" t="s">
        <v>979</v>
      </c>
      <c r="AE556" s="1184" t="s">
        <v>979</v>
      </c>
      <c r="AF556" s="1183"/>
      <c r="AG556" s="1184"/>
      <c r="AH556" s="1183" t="s">
        <v>777</v>
      </c>
      <c r="AI556" s="1184">
        <v>1.1000000000000001</v>
      </c>
      <c r="AJ556" s="1183" t="s">
        <v>822</v>
      </c>
      <c r="AK556" s="1184">
        <v>1</v>
      </c>
      <c r="AL556" s="1246" t="s">
        <v>1951</v>
      </c>
      <c r="AM556" s="1924">
        <v>0.8</v>
      </c>
      <c r="AN556" s="1183" t="s">
        <v>979</v>
      </c>
      <c r="AO556" s="1184" t="s">
        <v>979</v>
      </c>
      <c r="AP556" s="1183" t="s">
        <v>979</v>
      </c>
      <c r="AQ556" s="1184" t="s">
        <v>979</v>
      </c>
      <c r="AR556" s="1183" t="s">
        <v>979</v>
      </c>
      <c r="AS556" s="1184" t="s">
        <v>979</v>
      </c>
      <c r="AT556" s="1183" t="s">
        <v>979</v>
      </c>
      <c r="AU556" s="1184" t="s">
        <v>979</v>
      </c>
      <c r="AV556" s="1183" t="s">
        <v>979</v>
      </c>
      <c r="AW556" s="1184" t="s">
        <v>979</v>
      </c>
      <c r="AX556" s="1183" t="s">
        <v>979</v>
      </c>
      <c r="AY556" s="1184" t="s">
        <v>979</v>
      </c>
      <c r="AZ556" s="1183" t="s">
        <v>979</v>
      </c>
      <c r="BA556" s="1184" t="s">
        <v>979</v>
      </c>
      <c r="BB556" s="1183" t="s">
        <v>979</v>
      </c>
      <c r="BC556" s="1184" t="s">
        <v>979</v>
      </c>
      <c r="BD556" s="1183" t="s">
        <v>979</v>
      </c>
      <c r="BE556" s="1184" t="s">
        <v>979</v>
      </c>
      <c r="BF556" s="1183" t="s">
        <v>979</v>
      </c>
      <c r="BG556" s="1184" t="s">
        <v>979</v>
      </c>
      <c r="BH556" s="1183" t="s">
        <v>979</v>
      </c>
      <c r="BI556" s="1184" t="s">
        <v>979</v>
      </c>
      <c r="BJ556" s="1183" t="s">
        <v>979</v>
      </c>
      <c r="BK556" s="1184" t="s">
        <v>979</v>
      </c>
      <c r="BL556" s="1185" t="s">
        <v>375</v>
      </c>
      <c r="BM556" s="1184">
        <v>1</v>
      </c>
      <c r="BN556" s="1185" t="s">
        <v>24</v>
      </c>
      <c r="BO556" s="1184">
        <v>0.7</v>
      </c>
      <c r="BP556" s="1186">
        <v>1000</v>
      </c>
      <c r="BQ556" s="1187">
        <v>1.06</v>
      </c>
      <c r="BR556" s="1188">
        <v>3000</v>
      </c>
      <c r="BS556" s="1189">
        <v>1</v>
      </c>
      <c r="BT556" s="1188">
        <v>10000</v>
      </c>
      <c r="BU556" s="1190">
        <v>0.93</v>
      </c>
      <c r="BV556" s="1191">
        <v>300</v>
      </c>
      <c r="BW556" s="1192">
        <v>1.1200000000000001</v>
      </c>
      <c r="BX556" s="1193">
        <v>20000</v>
      </c>
      <c r="BY556" s="1194">
        <v>0.91</v>
      </c>
      <c r="BZ556" s="1195" t="s">
        <v>848</v>
      </c>
    </row>
    <row r="557" spans="2:78" ht="12.75" customHeight="1">
      <c r="B557" s="3880"/>
      <c r="C557" s="1196" t="s">
        <v>25</v>
      </c>
      <c r="D557" s="1359">
        <v>5</v>
      </c>
      <c r="E557" s="1198">
        <v>1.05</v>
      </c>
      <c r="F557" s="1359">
        <v>3</v>
      </c>
      <c r="G557" s="1198">
        <v>1</v>
      </c>
      <c r="H557" s="1359">
        <v>2</v>
      </c>
      <c r="I557" s="1198">
        <v>0.95</v>
      </c>
      <c r="J557" s="1197">
        <v>4.5</v>
      </c>
      <c r="K557" s="1198">
        <v>1.05</v>
      </c>
      <c r="L557" s="1197">
        <v>3.5</v>
      </c>
      <c r="M557" s="1198">
        <v>1</v>
      </c>
      <c r="N557" s="1197">
        <v>3</v>
      </c>
      <c r="O557" s="1198">
        <v>0.95</v>
      </c>
      <c r="P557" s="1197" t="s">
        <v>979</v>
      </c>
      <c r="Q557" s="1198" t="s">
        <v>979</v>
      </c>
      <c r="R557" s="1197" t="s">
        <v>979</v>
      </c>
      <c r="S557" s="1198" t="s">
        <v>979</v>
      </c>
      <c r="T557" s="1197" t="s">
        <v>979</v>
      </c>
      <c r="U557" s="1198" t="s">
        <v>979</v>
      </c>
      <c r="V557" s="1197" t="s">
        <v>979</v>
      </c>
      <c r="W557" s="1198" t="s">
        <v>979</v>
      </c>
      <c r="X557" s="1197" t="s">
        <v>979</v>
      </c>
      <c r="Y557" s="1198" t="s">
        <v>979</v>
      </c>
      <c r="Z557" s="1197" t="s">
        <v>979</v>
      </c>
      <c r="AA557" s="1198" t="s">
        <v>979</v>
      </c>
      <c r="AB557" s="1197" t="s">
        <v>979</v>
      </c>
      <c r="AC557" s="1198" t="s">
        <v>979</v>
      </c>
      <c r="AD557" s="1197" t="s">
        <v>979</v>
      </c>
      <c r="AE557" s="1198" t="s">
        <v>979</v>
      </c>
      <c r="AF557" s="1197"/>
      <c r="AG557" s="1198"/>
      <c r="AH557" s="1197" t="s">
        <v>777</v>
      </c>
      <c r="AI557" s="1198">
        <v>1.05</v>
      </c>
      <c r="AJ557" s="1197" t="s">
        <v>822</v>
      </c>
      <c r="AK557" s="1198">
        <v>1</v>
      </c>
      <c r="AL557" s="1256" t="s">
        <v>1951</v>
      </c>
      <c r="AM557" s="1925">
        <v>0.95</v>
      </c>
      <c r="AN557" s="1197" t="s">
        <v>979</v>
      </c>
      <c r="AO557" s="1198" t="s">
        <v>979</v>
      </c>
      <c r="AP557" s="1197" t="s">
        <v>979</v>
      </c>
      <c r="AQ557" s="1198" t="s">
        <v>979</v>
      </c>
      <c r="AR557" s="1197" t="s">
        <v>979</v>
      </c>
      <c r="AS557" s="1198" t="s">
        <v>979</v>
      </c>
      <c r="AT557" s="1197" t="s">
        <v>979</v>
      </c>
      <c r="AU557" s="1198" t="s">
        <v>979</v>
      </c>
      <c r="AV557" s="1197" t="s">
        <v>979</v>
      </c>
      <c r="AW557" s="1198" t="s">
        <v>979</v>
      </c>
      <c r="AX557" s="1197" t="s">
        <v>979</v>
      </c>
      <c r="AY557" s="1198" t="s">
        <v>979</v>
      </c>
      <c r="AZ557" s="1197" t="s">
        <v>979</v>
      </c>
      <c r="BA557" s="1198" t="s">
        <v>979</v>
      </c>
      <c r="BB557" s="1197" t="s">
        <v>979</v>
      </c>
      <c r="BC557" s="1198" t="s">
        <v>979</v>
      </c>
      <c r="BD557" s="1197" t="s">
        <v>979</v>
      </c>
      <c r="BE557" s="1198" t="s">
        <v>979</v>
      </c>
      <c r="BF557" s="1197" t="s">
        <v>979</v>
      </c>
      <c r="BG557" s="1198" t="s">
        <v>979</v>
      </c>
      <c r="BH557" s="1197" t="s">
        <v>979</v>
      </c>
      <c r="BI557" s="1198" t="s">
        <v>979</v>
      </c>
      <c r="BJ557" s="1197" t="s">
        <v>979</v>
      </c>
      <c r="BK557" s="1198" t="s">
        <v>979</v>
      </c>
      <c r="BL557" s="1199" t="s">
        <v>375</v>
      </c>
      <c r="BM557" s="1198">
        <v>1</v>
      </c>
      <c r="BN557" s="1199" t="s">
        <v>24</v>
      </c>
      <c r="BO557" s="1198">
        <v>0.7</v>
      </c>
      <c r="BP557" s="1200">
        <v>360</v>
      </c>
      <c r="BQ557" s="1201">
        <v>1.06</v>
      </c>
      <c r="BR557" s="1202">
        <v>1800</v>
      </c>
      <c r="BS557" s="1203">
        <v>1</v>
      </c>
      <c r="BT557" s="1202">
        <v>3600</v>
      </c>
      <c r="BU557" s="1204">
        <v>0.94</v>
      </c>
      <c r="BV557" s="1205">
        <v>300</v>
      </c>
      <c r="BW557" s="1206">
        <v>1.08</v>
      </c>
      <c r="BX557" s="1207">
        <v>7200</v>
      </c>
      <c r="BY557" s="1203">
        <v>0.91</v>
      </c>
      <c r="BZ557" s="1208" t="s">
        <v>848</v>
      </c>
    </row>
    <row r="558" spans="2:78" ht="12.75" customHeight="1">
      <c r="B558" s="3880"/>
      <c r="C558" s="1196" t="s">
        <v>26</v>
      </c>
      <c r="D558" s="1360">
        <v>5</v>
      </c>
      <c r="E558" s="1210">
        <v>1.05</v>
      </c>
      <c r="F558" s="1360">
        <v>3</v>
      </c>
      <c r="G558" s="1210">
        <v>1</v>
      </c>
      <c r="H558" s="1360">
        <v>2</v>
      </c>
      <c r="I558" s="1210">
        <v>0.95</v>
      </c>
      <c r="J558" s="1209">
        <v>4.5</v>
      </c>
      <c r="K558" s="1210">
        <v>1.1000000000000001</v>
      </c>
      <c r="L558" s="1209">
        <v>3.5</v>
      </c>
      <c r="M558" s="1210">
        <v>1</v>
      </c>
      <c r="N558" s="1209">
        <v>3</v>
      </c>
      <c r="O558" s="1210">
        <v>0.95</v>
      </c>
      <c r="P558" s="1209" t="s">
        <v>979</v>
      </c>
      <c r="Q558" s="1210" t="s">
        <v>979</v>
      </c>
      <c r="R558" s="1209" t="s">
        <v>979</v>
      </c>
      <c r="S558" s="1210" t="s">
        <v>979</v>
      </c>
      <c r="T558" s="1209" t="s">
        <v>979</v>
      </c>
      <c r="U558" s="1210" t="s">
        <v>979</v>
      </c>
      <c r="V558" s="1209" t="s">
        <v>979</v>
      </c>
      <c r="W558" s="1210" t="s">
        <v>979</v>
      </c>
      <c r="X558" s="1209" t="s">
        <v>979</v>
      </c>
      <c r="Y558" s="1210" t="s">
        <v>979</v>
      </c>
      <c r="Z558" s="1209" t="s">
        <v>979</v>
      </c>
      <c r="AA558" s="1210" t="s">
        <v>979</v>
      </c>
      <c r="AB558" s="1209" t="s">
        <v>979</v>
      </c>
      <c r="AC558" s="1210" t="s">
        <v>979</v>
      </c>
      <c r="AD558" s="1209" t="s">
        <v>979</v>
      </c>
      <c r="AE558" s="1210" t="s">
        <v>979</v>
      </c>
      <c r="AF558" s="1209"/>
      <c r="AG558" s="1210"/>
      <c r="AH558" s="1209" t="s">
        <v>777</v>
      </c>
      <c r="AI558" s="1210">
        <v>1.05</v>
      </c>
      <c r="AJ558" s="1209" t="s">
        <v>822</v>
      </c>
      <c r="AK558" s="1210">
        <v>1</v>
      </c>
      <c r="AL558" s="1927" t="s">
        <v>1951</v>
      </c>
      <c r="AM558" s="1928">
        <v>0.95</v>
      </c>
      <c r="AN558" s="1209" t="s">
        <v>979</v>
      </c>
      <c r="AO558" s="1210" t="s">
        <v>979</v>
      </c>
      <c r="AP558" s="1209" t="s">
        <v>979</v>
      </c>
      <c r="AQ558" s="1210" t="s">
        <v>979</v>
      </c>
      <c r="AR558" s="1209" t="s">
        <v>979</v>
      </c>
      <c r="AS558" s="1210" t="s">
        <v>979</v>
      </c>
      <c r="AT558" s="1209" t="s">
        <v>979</v>
      </c>
      <c r="AU558" s="1210" t="s">
        <v>979</v>
      </c>
      <c r="AV558" s="1209" t="s">
        <v>979</v>
      </c>
      <c r="AW558" s="1210" t="s">
        <v>979</v>
      </c>
      <c r="AX558" s="1209" t="s">
        <v>979</v>
      </c>
      <c r="AY558" s="1210" t="s">
        <v>979</v>
      </c>
      <c r="AZ558" s="1209" t="s">
        <v>979</v>
      </c>
      <c r="BA558" s="1210" t="s">
        <v>979</v>
      </c>
      <c r="BB558" s="1209" t="s">
        <v>979</v>
      </c>
      <c r="BC558" s="1210" t="s">
        <v>979</v>
      </c>
      <c r="BD558" s="1209" t="s">
        <v>979</v>
      </c>
      <c r="BE558" s="1210" t="s">
        <v>979</v>
      </c>
      <c r="BF558" s="1209" t="s">
        <v>979</v>
      </c>
      <c r="BG558" s="1210" t="s">
        <v>979</v>
      </c>
      <c r="BH558" s="1209" t="s">
        <v>979</v>
      </c>
      <c r="BI558" s="1210" t="s">
        <v>979</v>
      </c>
      <c r="BJ558" s="1209" t="s">
        <v>979</v>
      </c>
      <c r="BK558" s="1210" t="s">
        <v>979</v>
      </c>
      <c r="BL558" s="1211" t="s">
        <v>375</v>
      </c>
      <c r="BM558" s="1210">
        <v>1</v>
      </c>
      <c r="BN558" s="1209" t="s">
        <v>24</v>
      </c>
      <c r="BO558" s="1210">
        <v>0.7</v>
      </c>
      <c r="BP558" s="1200">
        <v>1000</v>
      </c>
      <c r="BQ558" s="1201">
        <v>1.06</v>
      </c>
      <c r="BR558" s="1202">
        <v>3000</v>
      </c>
      <c r="BS558" s="1203">
        <v>1</v>
      </c>
      <c r="BT558" s="1202">
        <v>10000</v>
      </c>
      <c r="BU558" s="1204">
        <v>0.93</v>
      </c>
      <c r="BV558" s="1205">
        <v>300</v>
      </c>
      <c r="BW558" s="1206">
        <v>1.1200000000000001</v>
      </c>
      <c r="BX558" s="1207">
        <v>20000</v>
      </c>
      <c r="BY558" s="1203">
        <v>0.91</v>
      </c>
      <c r="BZ558" s="1208" t="s">
        <v>848</v>
      </c>
    </row>
    <row r="559" spans="2:78" ht="12.75" customHeight="1">
      <c r="B559" s="3880"/>
      <c r="C559" s="1196" t="s">
        <v>27</v>
      </c>
      <c r="D559" s="1360" t="s">
        <v>979</v>
      </c>
      <c r="E559" s="1210" t="s">
        <v>979</v>
      </c>
      <c r="F559" s="1360" t="s">
        <v>979</v>
      </c>
      <c r="G559" s="1210" t="s">
        <v>979</v>
      </c>
      <c r="H559" s="1360" t="s">
        <v>979</v>
      </c>
      <c r="I559" s="1210" t="s">
        <v>979</v>
      </c>
      <c r="J559" s="1209">
        <v>10</v>
      </c>
      <c r="K559" s="1210">
        <v>1.4</v>
      </c>
      <c r="L559" s="1209">
        <v>4.5</v>
      </c>
      <c r="M559" s="1210">
        <v>1</v>
      </c>
      <c r="N559" s="1209">
        <v>3.5</v>
      </c>
      <c r="O559" s="1210">
        <v>0.9</v>
      </c>
      <c r="P559" s="1209">
        <v>20</v>
      </c>
      <c r="Q559" s="1210">
        <v>1.4</v>
      </c>
      <c r="R559" s="1209">
        <v>12</v>
      </c>
      <c r="S559" s="1210">
        <v>1</v>
      </c>
      <c r="T559" s="1209">
        <v>6</v>
      </c>
      <c r="U559" s="1210">
        <v>0.9</v>
      </c>
      <c r="V559" s="1209">
        <v>200</v>
      </c>
      <c r="W559" s="1210">
        <v>2.6</v>
      </c>
      <c r="X559" s="1209">
        <v>20</v>
      </c>
      <c r="Y559" s="1210">
        <v>1.3</v>
      </c>
      <c r="Z559" s="1209">
        <v>10</v>
      </c>
      <c r="AA559" s="1210">
        <v>1</v>
      </c>
      <c r="AB559" s="1209">
        <v>5</v>
      </c>
      <c r="AC559" s="1210">
        <v>0.9</v>
      </c>
      <c r="AD559" s="1209" t="s">
        <v>730</v>
      </c>
      <c r="AE559" s="1210">
        <v>0.8</v>
      </c>
      <c r="AF559" s="1209"/>
      <c r="AG559" s="1210"/>
      <c r="AH559" s="1209" t="s">
        <v>777</v>
      </c>
      <c r="AI559" s="1210">
        <v>1.1000000000000001</v>
      </c>
      <c r="AJ559" s="1209" t="s">
        <v>822</v>
      </c>
      <c r="AK559" s="1210">
        <v>1</v>
      </c>
      <c r="AL559" s="1927" t="s">
        <v>1951</v>
      </c>
      <c r="AM559" s="1928">
        <v>0.8</v>
      </c>
      <c r="AN559" s="1209" t="s">
        <v>979</v>
      </c>
      <c r="AO559" s="1210" t="s">
        <v>979</v>
      </c>
      <c r="AP559" s="1209" t="s">
        <v>979</v>
      </c>
      <c r="AQ559" s="1210" t="s">
        <v>979</v>
      </c>
      <c r="AR559" s="1209" t="s">
        <v>979</v>
      </c>
      <c r="AS559" s="1210" t="s">
        <v>979</v>
      </c>
      <c r="AT559" s="1209" t="s">
        <v>979</v>
      </c>
      <c r="AU559" s="1210" t="s">
        <v>979</v>
      </c>
      <c r="AV559" s="1209" t="s">
        <v>979</v>
      </c>
      <c r="AW559" s="1210" t="s">
        <v>979</v>
      </c>
      <c r="AX559" s="1209" t="s">
        <v>979</v>
      </c>
      <c r="AY559" s="1210" t="s">
        <v>979</v>
      </c>
      <c r="AZ559" s="1209" t="s">
        <v>979</v>
      </c>
      <c r="BA559" s="1210" t="s">
        <v>979</v>
      </c>
      <c r="BB559" s="1209" t="s">
        <v>979</v>
      </c>
      <c r="BC559" s="1210" t="s">
        <v>979</v>
      </c>
      <c r="BD559" s="1209" t="s">
        <v>979</v>
      </c>
      <c r="BE559" s="1210" t="s">
        <v>979</v>
      </c>
      <c r="BF559" s="1209" t="s">
        <v>979</v>
      </c>
      <c r="BG559" s="1210" t="s">
        <v>979</v>
      </c>
      <c r="BH559" s="1209" t="s">
        <v>979</v>
      </c>
      <c r="BI559" s="1210" t="s">
        <v>979</v>
      </c>
      <c r="BJ559" s="1209" t="s">
        <v>979</v>
      </c>
      <c r="BK559" s="1210" t="s">
        <v>979</v>
      </c>
      <c r="BL559" s="1211" t="s">
        <v>375</v>
      </c>
      <c r="BM559" s="1210">
        <v>1</v>
      </c>
      <c r="BN559" s="1209" t="s">
        <v>24</v>
      </c>
      <c r="BO559" s="1210">
        <v>0.7</v>
      </c>
      <c r="BP559" s="1200">
        <v>1000</v>
      </c>
      <c r="BQ559" s="1201">
        <v>1.06</v>
      </c>
      <c r="BR559" s="1202">
        <v>3000</v>
      </c>
      <c r="BS559" s="1203">
        <v>1</v>
      </c>
      <c r="BT559" s="1202">
        <v>10000</v>
      </c>
      <c r="BU559" s="1204">
        <v>0.93</v>
      </c>
      <c r="BV559" s="1205">
        <v>300</v>
      </c>
      <c r="BW559" s="1206">
        <v>1.1200000000000001</v>
      </c>
      <c r="BX559" s="1207">
        <v>20000</v>
      </c>
      <c r="BY559" s="1203">
        <v>0.91</v>
      </c>
      <c r="BZ559" s="1208" t="s">
        <v>848</v>
      </c>
    </row>
    <row r="560" spans="2:78" ht="12.75" customHeight="1">
      <c r="B560" s="3880"/>
      <c r="C560" s="1212" t="s">
        <v>28</v>
      </c>
      <c r="D560" s="1361" t="s">
        <v>1954</v>
      </c>
      <c r="E560" s="1214" t="s">
        <v>1954</v>
      </c>
      <c r="F560" s="1361" t="s">
        <v>1954</v>
      </c>
      <c r="G560" s="1214" t="s">
        <v>1954</v>
      </c>
      <c r="H560" s="1361" t="s">
        <v>1954</v>
      </c>
      <c r="I560" s="1214" t="s">
        <v>1954</v>
      </c>
      <c r="J560" s="1213">
        <v>10</v>
      </c>
      <c r="K560" s="1214">
        <v>1.3</v>
      </c>
      <c r="L560" s="1213">
        <v>8</v>
      </c>
      <c r="M560" s="1214">
        <v>1</v>
      </c>
      <c r="N560" s="1213">
        <v>6</v>
      </c>
      <c r="O560" s="1214">
        <v>0.9</v>
      </c>
      <c r="P560" s="1213">
        <v>20</v>
      </c>
      <c r="Q560" s="1214">
        <v>1.4</v>
      </c>
      <c r="R560" s="1213">
        <v>12</v>
      </c>
      <c r="S560" s="1214">
        <v>1</v>
      </c>
      <c r="T560" s="1213">
        <v>6</v>
      </c>
      <c r="U560" s="1214">
        <v>0.9</v>
      </c>
      <c r="V560" s="1213" t="s">
        <v>979</v>
      </c>
      <c r="W560" s="1214" t="s">
        <v>979</v>
      </c>
      <c r="X560" s="1213" t="s">
        <v>979</v>
      </c>
      <c r="Y560" s="1214" t="s">
        <v>979</v>
      </c>
      <c r="Z560" s="1213" t="s">
        <v>979</v>
      </c>
      <c r="AA560" s="1214" t="s">
        <v>979</v>
      </c>
      <c r="AB560" s="1213" t="s">
        <v>979</v>
      </c>
      <c r="AC560" s="1214" t="s">
        <v>979</v>
      </c>
      <c r="AD560" s="1213" t="s">
        <v>979</v>
      </c>
      <c r="AE560" s="1214" t="s">
        <v>979</v>
      </c>
      <c r="AF560" s="1213"/>
      <c r="AG560" s="1214"/>
      <c r="AH560" s="1213" t="s">
        <v>777</v>
      </c>
      <c r="AI560" s="1214">
        <v>1.05</v>
      </c>
      <c r="AJ560" s="1213" t="s">
        <v>822</v>
      </c>
      <c r="AK560" s="1214">
        <v>1</v>
      </c>
      <c r="AL560" s="1269" t="s">
        <v>1951</v>
      </c>
      <c r="AM560" s="1263">
        <v>0.95</v>
      </c>
      <c r="AN560" s="1213" t="s">
        <v>979</v>
      </c>
      <c r="AO560" s="1214" t="s">
        <v>979</v>
      </c>
      <c r="AP560" s="1213" t="s">
        <v>979</v>
      </c>
      <c r="AQ560" s="1214" t="s">
        <v>979</v>
      </c>
      <c r="AR560" s="1213" t="s">
        <v>979</v>
      </c>
      <c r="AS560" s="1214" t="s">
        <v>979</v>
      </c>
      <c r="AT560" s="1213" t="s">
        <v>979</v>
      </c>
      <c r="AU560" s="1214" t="s">
        <v>979</v>
      </c>
      <c r="AV560" s="1213" t="s">
        <v>979</v>
      </c>
      <c r="AW560" s="1214" t="s">
        <v>979</v>
      </c>
      <c r="AX560" s="1213" t="s">
        <v>979</v>
      </c>
      <c r="AY560" s="1214" t="s">
        <v>979</v>
      </c>
      <c r="AZ560" s="1213" t="s">
        <v>979</v>
      </c>
      <c r="BA560" s="1214" t="s">
        <v>979</v>
      </c>
      <c r="BB560" s="1213" t="s">
        <v>979</v>
      </c>
      <c r="BC560" s="1214" t="s">
        <v>979</v>
      </c>
      <c r="BD560" s="1213" t="s">
        <v>979</v>
      </c>
      <c r="BE560" s="1214" t="s">
        <v>979</v>
      </c>
      <c r="BF560" s="1213" t="s">
        <v>979</v>
      </c>
      <c r="BG560" s="1214" t="s">
        <v>979</v>
      </c>
      <c r="BH560" s="1213" t="s">
        <v>979</v>
      </c>
      <c r="BI560" s="1214" t="s">
        <v>979</v>
      </c>
      <c r="BJ560" s="1213" t="s">
        <v>979</v>
      </c>
      <c r="BK560" s="1214" t="s">
        <v>979</v>
      </c>
      <c r="BL560" s="1215" t="s">
        <v>375</v>
      </c>
      <c r="BM560" s="1214">
        <v>1</v>
      </c>
      <c r="BN560" s="1213" t="s">
        <v>24</v>
      </c>
      <c r="BO560" s="1214">
        <v>0.7</v>
      </c>
      <c r="BP560" s="1216">
        <v>900</v>
      </c>
      <c r="BQ560" s="1217">
        <v>1.02</v>
      </c>
      <c r="BR560" s="1218">
        <v>1800</v>
      </c>
      <c r="BS560" s="1219">
        <v>1</v>
      </c>
      <c r="BT560" s="1218">
        <v>3600</v>
      </c>
      <c r="BU560" s="1220">
        <v>0.94</v>
      </c>
      <c r="BV560" s="1221">
        <v>300</v>
      </c>
      <c r="BW560" s="1222">
        <v>1.08</v>
      </c>
      <c r="BX560" s="1223">
        <v>7200</v>
      </c>
      <c r="BY560" s="1219">
        <v>0.91</v>
      </c>
      <c r="BZ560" s="1224" t="s">
        <v>848</v>
      </c>
    </row>
    <row r="561" spans="2:78" ht="12.75" customHeight="1">
      <c r="B561" s="3880" t="s">
        <v>30</v>
      </c>
      <c r="C561" s="1182" t="s">
        <v>31</v>
      </c>
      <c r="D561" s="1358">
        <v>6</v>
      </c>
      <c r="E561" s="1184">
        <v>1.05</v>
      </c>
      <c r="F561" s="1358">
        <v>4</v>
      </c>
      <c r="G561" s="1184">
        <v>1</v>
      </c>
      <c r="H561" s="1358">
        <v>2</v>
      </c>
      <c r="I561" s="1184">
        <v>0.95</v>
      </c>
      <c r="J561" s="1183">
        <v>6</v>
      </c>
      <c r="K561" s="1184">
        <v>1.1000000000000001</v>
      </c>
      <c r="L561" s="1183">
        <v>4</v>
      </c>
      <c r="M561" s="1184">
        <v>1</v>
      </c>
      <c r="N561" s="1183">
        <v>3</v>
      </c>
      <c r="O561" s="1184">
        <v>0.95</v>
      </c>
      <c r="P561" s="1183">
        <v>8</v>
      </c>
      <c r="Q561" s="1184">
        <v>1.2</v>
      </c>
      <c r="R561" s="1183">
        <v>5</v>
      </c>
      <c r="S561" s="1184">
        <v>1</v>
      </c>
      <c r="T561" s="1183" t="s">
        <v>23</v>
      </c>
      <c r="U561" s="1184" t="s">
        <v>712</v>
      </c>
      <c r="V561" s="1183" t="s">
        <v>979</v>
      </c>
      <c r="W561" s="1184" t="s">
        <v>979</v>
      </c>
      <c r="X561" s="1183" t="s">
        <v>979</v>
      </c>
      <c r="Y561" s="1184" t="s">
        <v>979</v>
      </c>
      <c r="Z561" s="1183" t="s">
        <v>979</v>
      </c>
      <c r="AA561" s="1184" t="s">
        <v>2017</v>
      </c>
      <c r="AB561" s="1183" t="s">
        <v>979</v>
      </c>
      <c r="AC561" s="1184" t="s">
        <v>979</v>
      </c>
      <c r="AD561" s="1183" t="s">
        <v>979</v>
      </c>
      <c r="AE561" s="1184" t="s">
        <v>979</v>
      </c>
      <c r="AF561" s="1183"/>
      <c r="AG561" s="1184"/>
      <c r="AH561" s="1183" t="s">
        <v>777</v>
      </c>
      <c r="AI561" s="1184">
        <v>1.05</v>
      </c>
      <c r="AJ561" s="1183" t="s">
        <v>822</v>
      </c>
      <c r="AK561" s="1184">
        <v>1</v>
      </c>
      <c r="AL561" s="1246" t="s">
        <v>1949</v>
      </c>
      <c r="AM561" s="1924" t="s">
        <v>1955</v>
      </c>
      <c r="AN561" s="1183">
        <v>1.6</v>
      </c>
      <c r="AO561" s="1184">
        <v>1.1000000000000001</v>
      </c>
      <c r="AP561" s="1183">
        <v>0.8</v>
      </c>
      <c r="AQ561" s="1184">
        <v>1</v>
      </c>
      <c r="AR561" s="1183">
        <v>0.45</v>
      </c>
      <c r="AS561" s="1184">
        <v>0.95</v>
      </c>
      <c r="AT561" s="1183" t="s">
        <v>838</v>
      </c>
      <c r="AU561" s="1184">
        <v>1.1000000000000001</v>
      </c>
      <c r="AV561" s="1183" t="s">
        <v>842</v>
      </c>
      <c r="AW561" s="1184">
        <v>1</v>
      </c>
      <c r="AX561" s="1183" t="s">
        <v>730</v>
      </c>
      <c r="AY561" s="1184">
        <v>0.95</v>
      </c>
      <c r="AZ561" s="1183" t="s">
        <v>979</v>
      </c>
      <c r="BA561" s="1184" t="s">
        <v>979</v>
      </c>
      <c r="BB561" s="1183" t="s">
        <v>979</v>
      </c>
      <c r="BC561" s="1184" t="s">
        <v>979</v>
      </c>
      <c r="BD561" s="1183" t="s">
        <v>979</v>
      </c>
      <c r="BE561" s="1184" t="s">
        <v>979</v>
      </c>
      <c r="BF561" s="1183" t="s">
        <v>979</v>
      </c>
      <c r="BG561" s="1184" t="s">
        <v>979</v>
      </c>
      <c r="BH561" s="1183" t="s">
        <v>979</v>
      </c>
      <c r="BI561" s="1184" t="s">
        <v>979</v>
      </c>
      <c r="BJ561" s="1183" t="s">
        <v>979</v>
      </c>
      <c r="BK561" s="1184" t="s">
        <v>979</v>
      </c>
      <c r="BL561" s="1185" t="s">
        <v>375</v>
      </c>
      <c r="BM561" s="1184">
        <v>1</v>
      </c>
      <c r="BN561" s="1183" t="s">
        <v>24</v>
      </c>
      <c r="BO561" s="1184">
        <v>0.7</v>
      </c>
      <c r="BP561" s="1225" t="s">
        <v>979</v>
      </c>
      <c r="BQ561" s="1189" t="s">
        <v>979</v>
      </c>
      <c r="BR561" s="1225" t="s">
        <v>979</v>
      </c>
      <c r="BS561" s="1189" t="s">
        <v>979</v>
      </c>
      <c r="BT561" s="1225" t="s">
        <v>979</v>
      </c>
      <c r="BU561" s="1189" t="s">
        <v>979</v>
      </c>
      <c r="BV561" s="1225" t="s">
        <v>979</v>
      </c>
      <c r="BW561" s="1189" t="s">
        <v>979</v>
      </c>
      <c r="BX561" s="1225" t="s">
        <v>979</v>
      </c>
      <c r="BY561" s="1189" t="s">
        <v>979</v>
      </c>
      <c r="BZ561" s="1226" t="s">
        <v>32</v>
      </c>
    </row>
    <row r="562" spans="2:78" ht="12.75" customHeight="1">
      <c r="B562" s="3880"/>
      <c r="C562" s="1196" t="s">
        <v>33</v>
      </c>
      <c r="D562" s="1359">
        <v>5</v>
      </c>
      <c r="E562" s="1198">
        <v>1.05</v>
      </c>
      <c r="F562" s="1359">
        <v>3</v>
      </c>
      <c r="G562" s="1198">
        <v>1</v>
      </c>
      <c r="H562" s="1359">
        <v>2</v>
      </c>
      <c r="I562" s="1198">
        <v>0.95</v>
      </c>
      <c r="J562" s="1197">
        <v>4.5</v>
      </c>
      <c r="K562" s="1198">
        <v>1.05</v>
      </c>
      <c r="L562" s="1197">
        <v>3.5</v>
      </c>
      <c r="M562" s="1198">
        <v>1</v>
      </c>
      <c r="N562" s="1197">
        <v>3</v>
      </c>
      <c r="O562" s="1198">
        <v>0.95</v>
      </c>
      <c r="P562" s="1197" t="s">
        <v>979</v>
      </c>
      <c r="Q562" s="1198" t="s">
        <v>979</v>
      </c>
      <c r="R562" s="1197" t="s">
        <v>979</v>
      </c>
      <c r="S562" s="1198" t="s">
        <v>979</v>
      </c>
      <c r="T562" s="1197" t="s">
        <v>979</v>
      </c>
      <c r="U562" s="1198" t="s">
        <v>979</v>
      </c>
      <c r="V562" s="1197" t="s">
        <v>979</v>
      </c>
      <c r="W562" s="1198" t="s">
        <v>979</v>
      </c>
      <c r="X562" s="1197" t="s">
        <v>979</v>
      </c>
      <c r="Y562" s="1198" t="s">
        <v>979</v>
      </c>
      <c r="Z562" s="1197" t="s">
        <v>979</v>
      </c>
      <c r="AA562" s="1198" t="s">
        <v>979</v>
      </c>
      <c r="AB562" s="1197" t="s">
        <v>979</v>
      </c>
      <c r="AC562" s="1198" t="s">
        <v>979</v>
      </c>
      <c r="AD562" s="1197" t="s">
        <v>979</v>
      </c>
      <c r="AE562" s="1198" t="s">
        <v>979</v>
      </c>
      <c r="AF562" s="1197"/>
      <c r="AG562" s="1198"/>
      <c r="AH562" s="1197" t="s">
        <v>777</v>
      </c>
      <c r="AI562" s="1198">
        <v>1.05</v>
      </c>
      <c r="AJ562" s="1197" t="s">
        <v>822</v>
      </c>
      <c r="AK562" s="1198">
        <v>1</v>
      </c>
      <c r="AL562" s="1197" t="s">
        <v>1949</v>
      </c>
      <c r="AM562" s="1198" t="s">
        <v>1955</v>
      </c>
      <c r="AN562" s="1197">
        <v>1.92</v>
      </c>
      <c r="AO562" s="1198">
        <v>1.1000000000000001</v>
      </c>
      <c r="AP562" s="1197">
        <v>0.96</v>
      </c>
      <c r="AQ562" s="1198">
        <v>1</v>
      </c>
      <c r="AR562" s="1197">
        <v>0.54</v>
      </c>
      <c r="AS562" s="1198">
        <v>0.95</v>
      </c>
      <c r="AT562" s="1197" t="s">
        <v>500</v>
      </c>
      <c r="AU562" s="1198">
        <v>1.05</v>
      </c>
      <c r="AV562" s="1197" t="s">
        <v>730</v>
      </c>
      <c r="AW562" s="1198">
        <v>1</v>
      </c>
      <c r="AX562" s="1197" t="s">
        <v>979</v>
      </c>
      <c r="AY562" s="1198" t="s">
        <v>979</v>
      </c>
      <c r="AZ562" s="1197" t="s">
        <v>979</v>
      </c>
      <c r="BA562" s="1198" t="s">
        <v>979</v>
      </c>
      <c r="BB562" s="1197" t="s">
        <v>979</v>
      </c>
      <c r="BC562" s="1198" t="s">
        <v>979</v>
      </c>
      <c r="BD562" s="1197" t="s">
        <v>979</v>
      </c>
      <c r="BE562" s="1198" t="s">
        <v>979</v>
      </c>
      <c r="BF562" s="1197" t="s">
        <v>979</v>
      </c>
      <c r="BG562" s="1198" t="s">
        <v>979</v>
      </c>
      <c r="BH562" s="1197" t="s">
        <v>979</v>
      </c>
      <c r="BI562" s="1198" t="s">
        <v>979</v>
      </c>
      <c r="BJ562" s="1197" t="s">
        <v>979</v>
      </c>
      <c r="BK562" s="1198" t="s">
        <v>979</v>
      </c>
      <c r="BL562" s="1199" t="s">
        <v>375</v>
      </c>
      <c r="BM562" s="1198">
        <v>1</v>
      </c>
      <c r="BN562" s="1197" t="s">
        <v>24</v>
      </c>
      <c r="BO562" s="1198">
        <v>0.7</v>
      </c>
      <c r="BP562" s="1227" t="s">
        <v>979</v>
      </c>
      <c r="BQ562" s="1203" t="s">
        <v>979</v>
      </c>
      <c r="BR562" s="1227" t="s">
        <v>979</v>
      </c>
      <c r="BS562" s="1203" t="s">
        <v>979</v>
      </c>
      <c r="BT562" s="1227" t="s">
        <v>979</v>
      </c>
      <c r="BU562" s="1203" t="s">
        <v>979</v>
      </c>
      <c r="BV562" s="1227" t="s">
        <v>979</v>
      </c>
      <c r="BW562" s="1203" t="s">
        <v>979</v>
      </c>
      <c r="BX562" s="1227" t="s">
        <v>979</v>
      </c>
      <c r="BY562" s="1203" t="s">
        <v>979</v>
      </c>
      <c r="BZ562" s="1228" t="s">
        <v>32</v>
      </c>
    </row>
    <row r="563" spans="2:78" s="1745" customFormat="1" ht="12.75" customHeight="1">
      <c r="B563" s="3880"/>
      <c r="C563" s="1196" t="s">
        <v>1544</v>
      </c>
      <c r="D563" s="1360">
        <v>5</v>
      </c>
      <c r="E563" s="1210">
        <v>1.5</v>
      </c>
      <c r="F563" s="1360">
        <v>2</v>
      </c>
      <c r="G563" s="1210">
        <v>1</v>
      </c>
      <c r="H563" s="1360">
        <v>1</v>
      </c>
      <c r="I563" s="1210">
        <v>0.75</v>
      </c>
      <c r="J563" s="1209">
        <v>3</v>
      </c>
      <c r="K563" s="1210">
        <v>1.05</v>
      </c>
      <c r="L563" s="1209">
        <v>2.7</v>
      </c>
      <c r="M563" s="1210">
        <v>1</v>
      </c>
      <c r="N563" s="1209">
        <v>2.4</v>
      </c>
      <c r="O563" s="1210">
        <v>0.95</v>
      </c>
      <c r="P563" s="1197" t="s">
        <v>979</v>
      </c>
      <c r="Q563" s="1198" t="s">
        <v>979</v>
      </c>
      <c r="R563" s="1197" t="s">
        <v>979</v>
      </c>
      <c r="S563" s="1198" t="s">
        <v>979</v>
      </c>
      <c r="T563" s="1197" t="s">
        <v>979</v>
      </c>
      <c r="U563" s="1198" t="s">
        <v>979</v>
      </c>
      <c r="V563" s="1197" t="s">
        <v>979</v>
      </c>
      <c r="W563" s="1198" t="s">
        <v>979</v>
      </c>
      <c r="X563" s="1197" t="s">
        <v>979</v>
      </c>
      <c r="Y563" s="1198" t="s">
        <v>979</v>
      </c>
      <c r="Z563" s="1197" t="s">
        <v>979</v>
      </c>
      <c r="AA563" s="1198" t="s">
        <v>979</v>
      </c>
      <c r="AB563" s="1197" t="s">
        <v>979</v>
      </c>
      <c r="AC563" s="1198" t="s">
        <v>979</v>
      </c>
      <c r="AD563" s="1197" t="s">
        <v>979</v>
      </c>
      <c r="AE563" s="1198" t="s">
        <v>979</v>
      </c>
      <c r="AF563" s="1209"/>
      <c r="AG563" s="1210"/>
      <c r="AH563" s="1197" t="s">
        <v>777</v>
      </c>
      <c r="AI563" s="1198">
        <v>1.05</v>
      </c>
      <c r="AJ563" s="1197" t="s">
        <v>822</v>
      </c>
      <c r="AK563" s="1198">
        <v>1</v>
      </c>
      <c r="AL563" s="1197" t="s">
        <v>1949</v>
      </c>
      <c r="AM563" s="1198" t="s">
        <v>1955</v>
      </c>
      <c r="AN563" s="1209" t="s">
        <v>1542</v>
      </c>
      <c r="AO563" s="1210" t="s">
        <v>1542</v>
      </c>
      <c r="AP563" s="1209" t="s">
        <v>1542</v>
      </c>
      <c r="AQ563" s="1210" t="s">
        <v>1542</v>
      </c>
      <c r="AR563" s="1209" t="s">
        <v>1542</v>
      </c>
      <c r="AS563" s="1210" t="s">
        <v>1542</v>
      </c>
      <c r="AT563" s="1209" t="s">
        <v>1542</v>
      </c>
      <c r="AU563" s="1210" t="s">
        <v>1542</v>
      </c>
      <c r="AV563" s="1209" t="s">
        <v>1542</v>
      </c>
      <c r="AW563" s="1210" t="s">
        <v>1542</v>
      </c>
      <c r="AX563" s="1209" t="s">
        <v>1542</v>
      </c>
      <c r="AY563" s="1210" t="s">
        <v>1542</v>
      </c>
      <c r="AZ563" s="1197" t="s">
        <v>979</v>
      </c>
      <c r="BA563" s="1198" t="s">
        <v>979</v>
      </c>
      <c r="BB563" s="1197" t="s">
        <v>979</v>
      </c>
      <c r="BC563" s="1198" t="s">
        <v>979</v>
      </c>
      <c r="BD563" s="1197" t="s">
        <v>979</v>
      </c>
      <c r="BE563" s="1198" t="s">
        <v>979</v>
      </c>
      <c r="BF563" s="1197" t="s">
        <v>979</v>
      </c>
      <c r="BG563" s="1198" t="s">
        <v>979</v>
      </c>
      <c r="BH563" s="1197" t="s">
        <v>979</v>
      </c>
      <c r="BI563" s="1198" t="s">
        <v>979</v>
      </c>
      <c r="BJ563" s="1197" t="s">
        <v>979</v>
      </c>
      <c r="BK563" s="1198" t="s">
        <v>979</v>
      </c>
      <c r="BL563" s="1199" t="s">
        <v>375</v>
      </c>
      <c r="BM563" s="1198">
        <v>1</v>
      </c>
      <c r="BN563" s="1197" t="s">
        <v>24</v>
      </c>
      <c r="BO563" s="1198">
        <v>0.7</v>
      </c>
      <c r="BP563" s="1227" t="s">
        <v>979</v>
      </c>
      <c r="BQ563" s="1203" t="s">
        <v>979</v>
      </c>
      <c r="BR563" s="1227" t="s">
        <v>979</v>
      </c>
      <c r="BS563" s="1203" t="s">
        <v>979</v>
      </c>
      <c r="BT563" s="1227" t="s">
        <v>979</v>
      </c>
      <c r="BU563" s="1203" t="s">
        <v>979</v>
      </c>
      <c r="BV563" s="1227" t="s">
        <v>979</v>
      </c>
      <c r="BW563" s="1203" t="s">
        <v>979</v>
      </c>
      <c r="BX563" s="1227" t="s">
        <v>979</v>
      </c>
      <c r="BY563" s="1203" t="s">
        <v>979</v>
      </c>
      <c r="BZ563" s="1228" t="s">
        <v>32</v>
      </c>
    </row>
    <row r="564" spans="2:78" ht="12.75" customHeight="1">
      <c r="B564" s="3880"/>
      <c r="C564" s="1196" t="s">
        <v>34</v>
      </c>
      <c r="D564" s="1362">
        <v>5</v>
      </c>
      <c r="E564" s="1356">
        <v>1.05</v>
      </c>
      <c r="F564" s="1363">
        <v>3</v>
      </c>
      <c r="G564" s="1356">
        <v>1</v>
      </c>
      <c r="H564" s="1362">
        <v>2</v>
      </c>
      <c r="I564" s="1356">
        <v>0.95</v>
      </c>
      <c r="J564" s="1355">
        <v>4.5</v>
      </c>
      <c r="K564" s="1356">
        <v>1.05</v>
      </c>
      <c r="L564" s="1355">
        <v>3.5</v>
      </c>
      <c r="M564" s="1356">
        <v>1</v>
      </c>
      <c r="N564" s="1355">
        <v>3</v>
      </c>
      <c r="O564" s="1356">
        <v>0.95</v>
      </c>
      <c r="P564" s="1355" t="s">
        <v>979</v>
      </c>
      <c r="Q564" s="1356" t="s">
        <v>979</v>
      </c>
      <c r="R564" s="1355" t="s">
        <v>979</v>
      </c>
      <c r="S564" s="1356" t="s">
        <v>979</v>
      </c>
      <c r="T564" s="1355" t="s">
        <v>979</v>
      </c>
      <c r="U564" s="1356" t="s">
        <v>979</v>
      </c>
      <c r="V564" s="1355" t="s">
        <v>979</v>
      </c>
      <c r="W564" s="1356" t="s">
        <v>979</v>
      </c>
      <c r="X564" s="1355" t="s">
        <v>979</v>
      </c>
      <c r="Y564" s="1356" t="s">
        <v>979</v>
      </c>
      <c r="Z564" s="1355" t="s">
        <v>979</v>
      </c>
      <c r="AA564" s="1356" t="s">
        <v>979</v>
      </c>
      <c r="AB564" s="1355" t="s">
        <v>979</v>
      </c>
      <c r="AC564" s="1356" t="s">
        <v>979</v>
      </c>
      <c r="AD564" s="1355" t="s">
        <v>979</v>
      </c>
      <c r="AE564" s="1356" t="s">
        <v>979</v>
      </c>
      <c r="AF564" s="1355"/>
      <c r="AG564" s="1356"/>
      <c r="AH564" s="1355" t="s">
        <v>777</v>
      </c>
      <c r="AI564" s="1356">
        <v>1.05</v>
      </c>
      <c r="AJ564" s="1355" t="s">
        <v>822</v>
      </c>
      <c r="AK564" s="1356">
        <v>1</v>
      </c>
      <c r="AL564" s="1355" t="s">
        <v>1949</v>
      </c>
      <c r="AM564" s="1356" t="s">
        <v>1955</v>
      </c>
      <c r="AN564" s="1355">
        <v>2.1</v>
      </c>
      <c r="AO564" s="1356">
        <v>1.1000000000000001</v>
      </c>
      <c r="AP564" s="1355">
        <v>1.05</v>
      </c>
      <c r="AQ564" s="1356">
        <v>1</v>
      </c>
      <c r="AR564" s="1355">
        <v>0.59</v>
      </c>
      <c r="AS564" s="1356">
        <v>0.95</v>
      </c>
      <c r="AT564" s="1355" t="s">
        <v>838</v>
      </c>
      <c r="AU564" s="1356">
        <v>1.05</v>
      </c>
      <c r="AV564" s="1355" t="s">
        <v>842</v>
      </c>
      <c r="AW564" s="1356">
        <v>1</v>
      </c>
      <c r="AX564" s="1355" t="s">
        <v>730</v>
      </c>
      <c r="AY564" s="1356">
        <v>0.95</v>
      </c>
      <c r="AZ564" s="1355" t="s">
        <v>979</v>
      </c>
      <c r="BA564" s="1356" t="s">
        <v>979</v>
      </c>
      <c r="BB564" s="1355" t="s">
        <v>979</v>
      </c>
      <c r="BC564" s="1356" t="s">
        <v>979</v>
      </c>
      <c r="BD564" s="1355" t="s">
        <v>979</v>
      </c>
      <c r="BE564" s="1356" t="s">
        <v>979</v>
      </c>
      <c r="BF564" s="1355" t="s">
        <v>979</v>
      </c>
      <c r="BG564" s="1356" t="s">
        <v>979</v>
      </c>
      <c r="BH564" s="1355" t="s">
        <v>979</v>
      </c>
      <c r="BI564" s="1356" t="s">
        <v>979</v>
      </c>
      <c r="BJ564" s="1355" t="s">
        <v>979</v>
      </c>
      <c r="BK564" s="1356" t="s">
        <v>979</v>
      </c>
      <c r="BL564" s="1357" t="s">
        <v>822</v>
      </c>
      <c r="BM564" s="1356">
        <v>1</v>
      </c>
      <c r="BN564" s="1355" t="s">
        <v>1151</v>
      </c>
      <c r="BO564" s="1356">
        <v>0.7</v>
      </c>
      <c r="BP564" s="1355" t="s">
        <v>979</v>
      </c>
      <c r="BQ564" s="1356" t="s">
        <v>979</v>
      </c>
      <c r="BR564" s="1355" t="s">
        <v>979</v>
      </c>
      <c r="BS564" s="1356" t="s">
        <v>979</v>
      </c>
      <c r="BT564" s="1355" t="s">
        <v>979</v>
      </c>
      <c r="BU564" s="1356" t="s">
        <v>979</v>
      </c>
      <c r="BV564" s="1355" t="s">
        <v>979</v>
      </c>
      <c r="BW564" s="1356" t="s">
        <v>979</v>
      </c>
      <c r="BX564" s="1355" t="s">
        <v>979</v>
      </c>
      <c r="BY564" s="1356" t="s">
        <v>979</v>
      </c>
      <c r="BZ564" s="1228" t="s">
        <v>1009</v>
      </c>
    </row>
    <row r="565" spans="2:78" ht="12.75" customHeight="1">
      <c r="B565" s="3880"/>
      <c r="C565" s="1196" t="s">
        <v>35</v>
      </c>
      <c r="D565" s="1360" t="s">
        <v>979</v>
      </c>
      <c r="E565" s="1210" t="s">
        <v>979</v>
      </c>
      <c r="F565" s="1364" t="s">
        <v>1009</v>
      </c>
      <c r="G565" s="1210" t="s">
        <v>979</v>
      </c>
      <c r="H565" s="1360" t="s">
        <v>979</v>
      </c>
      <c r="I565" s="1210" t="s">
        <v>979</v>
      </c>
      <c r="J565" s="1209">
        <v>6</v>
      </c>
      <c r="K565" s="1210">
        <v>1.1000000000000001</v>
      </c>
      <c r="L565" s="1209">
        <v>4</v>
      </c>
      <c r="M565" s="1210">
        <v>1</v>
      </c>
      <c r="N565" s="1209">
        <v>3</v>
      </c>
      <c r="O565" s="1210">
        <v>0.95</v>
      </c>
      <c r="P565" s="1209">
        <v>7</v>
      </c>
      <c r="Q565" s="1210">
        <v>1.1000000000000001</v>
      </c>
      <c r="R565" s="1209">
        <v>5</v>
      </c>
      <c r="S565" s="1210">
        <v>1</v>
      </c>
      <c r="T565" s="1209">
        <v>4</v>
      </c>
      <c r="U565" s="1210">
        <v>0.95</v>
      </c>
      <c r="V565" s="1209">
        <v>200</v>
      </c>
      <c r="W565" s="1210">
        <v>2.1</v>
      </c>
      <c r="X565" s="1209">
        <v>30</v>
      </c>
      <c r="Y565" s="1210">
        <v>1.1000000000000001</v>
      </c>
      <c r="Z565" s="1209">
        <v>10</v>
      </c>
      <c r="AA565" s="1210">
        <v>1</v>
      </c>
      <c r="AB565" s="1209" t="s">
        <v>730</v>
      </c>
      <c r="AC565" s="1210">
        <v>0.95</v>
      </c>
      <c r="AD565" s="1209" t="s">
        <v>979</v>
      </c>
      <c r="AE565" s="1210" t="s">
        <v>979</v>
      </c>
      <c r="AF565" s="1209"/>
      <c r="AG565" s="1210"/>
      <c r="AH565" s="1209" t="s">
        <v>777</v>
      </c>
      <c r="AI565" s="1210">
        <v>1.05</v>
      </c>
      <c r="AJ565" s="1209" t="s">
        <v>822</v>
      </c>
      <c r="AK565" s="1210">
        <v>1</v>
      </c>
      <c r="AL565" s="1209" t="s">
        <v>1949</v>
      </c>
      <c r="AM565" s="1210" t="s">
        <v>1955</v>
      </c>
      <c r="AN565" s="1209">
        <v>1.6</v>
      </c>
      <c r="AO565" s="1210">
        <v>1.1000000000000001</v>
      </c>
      <c r="AP565" s="1209">
        <v>1.2</v>
      </c>
      <c r="AQ565" s="1210">
        <v>1</v>
      </c>
      <c r="AR565" s="1209">
        <v>0.64</v>
      </c>
      <c r="AS565" s="1210">
        <v>0.95</v>
      </c>
      <c r="AT565" s="1209" t="s">
        <v>838</v>
      </c>
      <c r="AU565" s="1210">
        <v>1.05</v>
      </c>
      <c r="AV565" s="1209" t="s">
        <v>842</v>
      </c>
      <c r="AW565" s="1210">
        <v>1</v>
      </c>
      <c r="AX565" s="1209" t="s">
        <v>730</v>
      </c>
      <c r="AY565" s="1210">
        <v>0.95</v>
      </c>
      <c r="AZ565" s="1209">
        <v>15</v>
      </c>
      <c r="BA565" s="1210">
        <v>1.05</v>
      </c>
      <c r="BB565" s="1209">
        <v>12</v>
      </c>
      <c r="BC565" s="1210">
        <v>1</v>
      </c>
      <c r="BD565" s="1209">
        <v>10</v>
      </c>
      <c r="BE565" s="1210">
        <v>0.95</v>
      </c>
      <c r="BF565" s="1209" t="s">
        <v>979</v>
      </c>
      <c r="BG565" s="1210" t="s">
        <v>979</v>
      </c>
      <c r="BH565" s="1209" t="s">
        <v>979</v>
      </c>
      <c r="BI565" s="1210" t="s">
        <v>979</v>
      </c>
      <c r="BJ565" s="1209" t="s">
        <v>979</v>
      </c>
      <c r="BK565" s="1210" t="s">
        <v>979</v>
      </c>
      <c r="BL565" s="1211" t="s">
        <v>375</v>
      </c>
      <c r="BM565" s="1210">
        <v>1</v>
      </c>
      <c r="BN565" s="1209" t="s">
        <v>24</v>
      </c>
      <c r="BO565" s="1210">
        <v>0.7</v>
      </c>
      <c r="BP565" s="1229" t="s">
        <v>979</v>
      </c>
      <c r="BQ565" s="1230" t="s">
        <v>979</v>
      </c>
      <c r="BR565" s="1229" t="s">
        <v>979</v>
      </c>
      <c r="BS565" s="1230" t="s">
        <v>979</v>
      </c>
      <c r="BT565" s="1229" t="s">
        <v>979</v>
      </c>
      <c r="BU565" s="1230" t="s">
        <v>979</v>
      </c>
      <c r="BV565" s="1229" t="s">
        <v>979</v>
      </c>
      <c r="BW565" s="1230" t="s">
        <v>979</v>
      </c>
      <c r="BX565" s="1229" t="s">
        <v>979</v>
      </c>
      <c r="BY565" s="1230" t="s">
        <v>979</v>
      </c>
      <c r="BZ565" s="1228" t="s">
        <v>32</v>
      </c>
    </row>
    <row r="566" spans="2:78" ht="12.75" customHeight="1">
      <c r="B566" s="3880"/>
      <c r="C566" s="1212" t="s">
        <v>36</v>
      </c>
      <c r="D566" s="1361" t="s">
        <v>29</v>
      </c>
      <c r="E566" s="1214" t="s">
        <v>29</v>
      </c>
      <c r="F566" s="1361" t="s">
        <v>29</v>
      </c>
      <c r="G566" s="1214" t="s">
        <v>29</v>
      </c>
      <c r="H566" s="1361" t="s">
        <v>29</v>
      </c>
      <c r="I566" s="1214" t="s">
        <v>29</v>
      </c>
      <c r="J566" s="1213" t="s">
        <v>29</v>
      </c>
      <c r="K566" s="1214" t="s">
        <v>29</v>
      </c>
      <c r="L566" s="1213" t="s">
        <v>29</v>
      </c>
      <c r="M566" s="1214" t="s">
        <v>29</v>
      </c>
      <c r="N566" s="1213" t="s">
        <v>29</v>
      </c>
      <c r="O566" s="1214" t="s">
        <v>29</v>
      </c>
      <c r="P566" s="1213" t="s">
        <v>29</v>
      </c>
      <c r="Q566" s="1214" t="s">
        <v>29</v>
      </c>
      <c r="R566" s="1213" t="s">
        <v>29</v>
      </c>
      <c r="S566" s="1214" t="s">
        <v>29</v>
      </c>
      <c r="T566" s="1213" t="s">
        <v>29</v>
      </c>
      <c r="U566" s="1214" t="s">
        <v>29</v>
      </c>
      <c r="V566" s="1213" t="s">
        <v>29</v>
      </c>
      <c r="W566" s="1214" t="s">
        <v>29</v>
      </c>
      <c r="X566" s="1213" t="s">
        <v>29</v>
      </c>
      <c r="Y566" s="1214" t="s">
        <v>29</v>
      </c>
      <c r="Z566" s="1213" t="s">
        <v>29</v>
      </c>
      <c r="AA566" s="1214" t="s">
        <v>29</v>
      </c>
      <c r="AB566" s="1213" t="s">
        <v>29</v>
      </c>
      <c r="AC566" s="1214" t="s">
        <v>29</v>
      </c>
      <c r="AD566" s="1213" t="s">
        <v>29</v>
      </c>
      <c r="AE566" s="1214" t="s">
        <v>29</v>
      </c>
      <c r="AF566" s="1213"/>
      <c r="AG566" s="1214"/>
      <c r="AH566" s="1213" t="s">
        <v>29</v>
      </c>
      <c r="AI566" s="1214" t="s">
        <v>29</v>
      </c>
      <c r="AJ566" s="1213" t="s">
        <v>29</v>
      </c>
      <c r="AK566" s="1214" t="s">
        <v>29</v>
      </c>
      <c r="AL566" s="1213" t="s">
        <v>29</v>
      </c>
      <c r="AM566" s="1214" t="s">
        <v>29</v>
      </c>
      <c r="AN566" s="1213" t="s">
        <v>29</v>
      </c>
      <c r="AO566" s="1214" t="s">
        <v>29</v>
      </c>
      <c r="AP566" s="1213" t="s">
        <v>29</v>
      </c>
      <c r="AQ566" s="1214" t="s">
        <v>29</v>
      </c>
      <c r="AR566" s="1213" t="s">
        <v>29</v>
      </c>
      <c r="AS566" s="1214" t="s">
        <v>29</v>
      </c>
      <c r="AT566" s="1213" t="s">
        <v>29</v>
      </c>
      <c r="AU566" s="1214" t="s">
        <v>29</v>
      </c>
      <c r="AV566" s="1213" t="s">
        <v>29</v>
      </c>
      <c r="AW566" s="1214" t="s">
        <v>29</v>
      </c>
      <c r="AX566" s="1213" t="s">
        <v>29</v>
      </c>
      <c r="AY566" s="1214" t="s">
        <v>29</v>
      </c>
      <c r="AZ566" s="1213" t="s">
        <v>29</v>
      </c>
      <c r="BA566" s="1214" t="s">
        <v>29</v>
      </c>
      <c r="BB566" s="1213" t="s">
        <v>29</v>
      </c>
      <c r="BC566" s="1214" t="s">
        <v>29</v>
      </c>
      <c r="BD566" s="1213" t="s">
        <v>29</v>
      </c>
      <c r="BE566" s="1214" t="s">
        <v>29</v>
      </c>
      <c r="BF566" s="1213" t="s">
        <v>29</v>
      </c>
      <c r="BG566" s="1214" t="s">
        <v>29</v>
      </c>
      <c r="BH566" s="1213" t="s">
        <v>29</v>
      </c>
      <c r="BI566" s="1214" t="s">
        <v>29</v>
      </c>
      <c r="BJ566" s="1213" t="s">
        <v>29</v>
      </c>
      <c r="BK566" s="1214" t="s">
        <v>29</v>
      </c>
      <c r="BL566" s="1215" t="s">
        <v>29</v>
      </c>
      <c r="BM566" s="1214" t="s">
        <v>29</v>
      </c>
      <c r="BN566" s="1213" t="s">
        <v>29</v>
      </c>
      <c r="BO566" s="1214" t="s">
        <v>29</v>
      </c>
      <c r="BP566" s="1231" t="s">
        <v>29</v>
      </c>
      <c r="BQ566" s="1219" t="s">
        <v>29</v>
      </c>
      <c r="BR566" s="1231" t="s">
        <v>29</v>
      </c>
      <c r="BS566" s="1219" t="s">
        <v>29</v>
      </c>
      <c r="BT566" s="1231" t="s">
        <v>29</v>
      </c>
      <c r="BU566" s="1219" t="s">
        <v>29</v>
      </c>
      <c r="BV566" s="1231" t="s">
        <v>29</v>
      </c>
      <c r="BW566" s="1219" t="s">
        <v>29</v>
      </c>
      <c r="BX566" s="1231" t="s">
        <v>29</v>
      </c>
      <c r="BY566" s="1219" t="s">
        <v>29</v>
      </c>
      <c r="BZ566" s="1232" t="s">
        <v>1009</v>
      </c>
    </row>
    <row r="567" spans="2:78" ht="12.75" customHeight="1">
      <c r="B567" s="3880" t="s">
        <v>37</v>
      </c>
      <c r="C567" s="1182" t="s">
        <v>38</v>
      </c>
      <c r="D567" s="1358" t="s">
        <v>979</v>
      </c>
      <c r="E567" s="1184" t="s">
        <v>979</v>
      </c>
      <c r="F567" s="1358" t="s">
        <v>979</v>
      </c>
      <c r="G567" s="1184" t="s">
        <v>979</v>
      </c>
      <c r="H567" s="1358" t="s">
        <v>979</v>
      </c>
      <c r="I567" s="1184" t="s">
        <v>979</v>
      </c>
      <c r="J567" s="1183" t="s">
        <v>979</v>
      </c>
      <c r="K567" s="1184" t="s">
        <v>979</v>
      </c>
      <c r="L567" s="1183" t="s">
        <v>979</v>
      </c>
      <c r="M567" s="1184" t="s">
        <v>979</v>
      </c>
      <c r="N567" s="1183" t="s">
        <v>979</v>
      </c>
      <c r="O567" s="1184" t="s">
        <v>979</v>
      </c>
      <c r="P567" s="1183" t="s">
        <v>979</v>
      </c>
      <c r="Q567" s="1184" t="s">
        <v>979</v>
      </c>
      <c r="R567" s="1183" t="s">
        <v>979</v>
      </c>
      <c r="S567" s="1184" t="s">
        <v>979</v>
      </c>
      <c r="T567" s="1183" t="s">
        <v>979</v>
      </c>
      <c r="U567" s="1184" t="s">
        <v>979</v>
      </c>
      <c r="V567" s="1183" t="s">
        <v>979</v>
      </c>
      <c r="W567" s="1184" t="s">
        <v>979</v>
      </c>
      <c r="X567" s="1183" t="s">
        <v>979</v>
      </c>
      <c r="Y567" s="1184" t="s">
        <v>979</v>
      </c>
      <c r="Z567" s="1183" t="s">
        <v>979</v>
      </c>
      <c r="AA567" s="1184" t="s">
        <v>979</v>
      </c>
      <c r="AB567" s="1183" t="s">
        <v>979</v>
      </c>
      <c r="AC567" s="1184" t="s">
        <v>979</v>
      </c>
      <c r="AD567" s="1183" t="s">
        <v>979</v>
      </c>
      <c r="AE567" s="1184" t="s">
        <v>979</v>
      </c>
      <c r="AF567" s="1183"/>
      <c r="AG567" s="1184"/>
      <c r="AH567" s="1183" t="s">
        <v>78</v>
      </c>
      <c r="AI567" s="1184">
        <v>1.1000000000000001</v>
      </c>
      <c r="AJ567" s="1183" t="s">
        <v>79</v>
      </c>
      <c r="AK567" s="1184">
        <v>1</v>
      </c>
      <c r="AL567" s="1183" t="s">
        <v>1951</v>
      </c>
      <c r="AM567" s="1184">
        <v>0.8</v>
      </c>
      <c r="AN567" s="1183" t="s">
        <v>979</v>
      </c>
      <c r="AO567" s="1184" t="s">
        <v>979</v>
      </c>
      <c r="AP567" s="1183" t="s">
        <v>979</v>
      </c>
      <c r="AQ567" s="1184" t="s">
        <v>979</v>
      </c>
      <c r="AR567" s="1183" t="s">
        <v>979</v>
      </c>
      <c r="AS567" s="1184" t="s">
        <v>979</v>
      </c>
      <c r="AT567" s="1183" t="s">
        <v>979</v>
      </c>
      <c r="AU567" s="1184" t="s">
        <v>979</v>
      </c>
      <c r="AV567" s="1183" t="s">
        <v>979</v>
      </c>
      <c r="AW567" s="1184" t="s">
        <v>979</v>
      </c>
      <c r="AX567" s="1183" t="s">
        <v>979</v>
      </c>
      <c r="AY567" s="1184" t="s">
        <v>979</v>
      </c>
      <c r="AZ567" s="1183" t="s">
        <v>979</v>
      </c>
      <c r="BA567" s="1184" t="s">
        <v>979</v>
      </c>
      <c r="BB567" s="1183" t="s">
        <v>979</v>
      </c>
      <c r="BC567" s="1184" t="s">
        <v>979</v>
      </c>
      <c r="BD567" s="1183" t="s">
        <v>979</v>
      </c>
      <c r="BE567" s="1184" t="s">
        <v>979</v>
      </c>
      <c r="BF567" s="1183" t="s">
        <v>1033</v>
      </c>
      <c r="BG567" s="1184" t="s">
        <v>1033</v>
      </c>
      <c r="BH567" s="1183" t="s">
        <v>1033</v>
      </c>
      <c r="BI567" s="1184" t="s">
        <v>1033</v>
      </c>
      <c r="BJ567" s="1183" t="s">
        <v>1033</v>
      </c>
      <c r="BK567" s="1184" t="s">
        <v>1033</v>
      </c>
      <c r="BL567" s="1183" t="s">
        <v>822</v>
      </c>
      <c r="BM567" s="1184">
        <v>1</v>
      </c>
      <c r="BN567" s="1183" t="s">
        <v>24</v>
      </c>
      <c r="BO567" s="1184">
        <v>0.7</v>
      </c>
      <c r="BP567" s="1233" t="s">
        <v>32</v>
      </c>
      <c r="BQ567" s="1234" t="s">
        <v>32</v>
      </c>
      <c r="BR567" s="1233" t="s">
        <v>32</v>
      </c>
      <c r="BS567" s="1234" t="s">
        <v>32</v>
      </c>
      <c r="BT567" s="1233" t="s">
        <v>32</v>
      </c>
      <c r="BU567" s="1234" t="s">
        <v>32</v>
      </c>
      <c r="BV567" s="1233" t="s">
        <v>32</v>
      </c>
      <c r="BW567" s="1234" t="s">
        <v>32</v>
      </c>
      <c r="BX567" s="1233" t="s">
        <v>32</v>
      </c>
      <c r="BY567" s="1234" t="s">
        <v>32</v>
      </c>
      <c r="BZ567" s="1226" t="s">
        <v>32</v>
      </c>
    </row>
    <row r="568" spans="2:78" ht="12.75" customHeight="1">
      <c r="B568" s="3880"/>
      <c r="C568" s="1196" t="s">
        <v>39</v>
      </c>
      <c r="D568" s="1359" t="s">
        <v>29</v>
      </c>
      <c r="E568" s="1198" t="s">
        <v>29</v>
      </c>
      <c r="F568" s="1359" t="s">
        <v>29</v>
      </c>
      <c r="G568" s="1198" t="s">
        <v>29</v>
      </c>
      <c r="H568" s="1359" t="s">
        <v>29</v>
      </c>
      <c r="I568" s="1198" t="s">
        <v>29</v>
      </c>
      <c r="J568" s="1197" t="s">
        <v>29</v>
      </c>
      <c r="K568" s="1198" t="s">
        <v>29</v>
      </c>
      <c r="L568" s="1197" t="s">
        <v>29</v>
      </c>
      <c r="M568" s="1198" t="s">
        <v>29</v>
      </c>
      <c r="N568" s="1197" t="s">
        <v>29</v>
      </c>
      <c r="O568" s="1198" t="s">
        <v>29</v>
      </c>
      <c r="P568" s="1197" t="s">
        <v>29</v>
      </c>
      <c r="Q568" s="1198" t="s">
        <v>29</v>
      </c>
      <c r="R568" s="1197" t="s">
        <v>29</v>
      </c>
      <c r="S568" s="1198" t="s">
        <v>29</v>
      </c>
      <c r="T568" s="1197" t="s">
        <v>29</v>
      </c>
      <c r="U568" s="1198" t="s">
        <v>29</v>
      </c>
      <c r="V568" s="1197" t="s">
        <v>29</v>
      </c>
      <c r="W568" s="1198" t="s">
        <v>29</v>
      </c>
      <c r="X568" s="1197" t="s">
        <v>29</v>
      </c>
      <c r="Y568" s="1198" t="s">
        <v>29</v>
      </c>
      <c r="Z568" s="1197" t="s">
        <v>29</v>
      </c>
      <c r="AA568" s="1198" t="s">
        <v>29</v>
      </c>
      <c r="AB568" s="1197" t="s">
        <v>29</v>
      </c>
      <c r="AC568" s="1198" t="s">
        <v>29</v>
      </c>
      <c r="AD568" s="1197" t="s">
        <v>29</v>
      </c>
      <c r="AE568" s="1198" t="s">
        <v>29</v>
      </c>
      <c r="AF568" s="1197"/>
      <c r="AG568" s="1198"/>
      <c r="AH568" s="1197" t="s">
        <v>29</v>
      </c>
      <c r="AI568" s="1198" t="s">
        <v>29</v>
      </c>
      <c r="AJ568" s="1197" t="s">
        <v>29</v>
      </c>
      <c r="AK568" s="1198" t="s">
        <v>29</v>
      </c>
      <c r="AL568" s="1197" t="s">
        <v>29</v>
      </c>
      <c r="AM568" s="1198" t="s">
        <v>29</v>
      </c>
      <c r="AN568" s="1197" t="s">
        <v>29</v>
      </c>
      <c r="AO568" s="1198" t="s">
        <v>29</v>
      </c>
      <c r="AP568" s="1197" t="s">
        <v>29</v>
      </c>
      <c r="AQ568" s="1198" t="s">
        <v>29</v>
      </c>
      <c r="AR568" s="1197" t="s">
        <v>29</v>
      </c>
      <c r="AS568" s="1198" t="s">
        <v>29</v>
      </c>
      <c r="AT568" s="1197" t="s">
        <v>29</v>
      </c>
      <c r="AU568" s="1198" t="s">
        <v>29</v>
      </c>
      <c r="AV568" s="1197" t="s">
        <v>29</v>
      </c>
      <c r="AW568" s="1198" t="s">
        <v>29</v>
      </c>
      <c r="AX568" s="1197" t="s">
        <v>29</v>
      </c>
      <c r="AY568" s="1198" t="s">
        <v>29</v>
      </c>
      <c r="AZ568" s="1197" t="s">
        <v>29</v>
      </c>
      <c r="BA568" s="1198" t="s">
        <v>29</v>
      </c>
      <c r="BB568" s="1197" t="s">
        <v>29</v>
      </c>
      <c r="BC568" s="1198" t="s">
        <v>29</v>
      </c>
      <c r="BD568" s="1197" t="s">
        <v>29</v>
      </c>
      <c r="BE568" s="1198" t="s">
        <v>29</v>
      </c>
      <c r="BF568" s="1197" t="s">
        <v>808</v>
      </c>
      <c r="BG568" s="1198" t="s">
        <v>808</v>
      </c>
      <c r="BH568" s="1197" t="s">
        <v>29</v>
      </c>
      <c r="BI568" s="1198" t="s">
        <v>808</v>
      </c>
      <c r="BJ568" s="1197" t="s">
        <v>29</v>
      </c>
      <c r="BK568" s="1198" t="s">
        <v>808</v>
      </c>
      <c r="BL568" s="1199" t="s">
        <v>29</v>
      </c>
      <c r="BM568" s="1198" t="s">
        <v>29</v>
      </c>
      <c r="BN568" s="1197" t="s">
        <v>29</v>
      </c>
      <c r="BO568" s="1198" t="s">
        <v>29</v>
      </c>
      <c r="BP568" s="1227" t="s">
        <v>29</v>
      </c>
      <c r="BQ568" s="1203" t="s">
        <v>808</v>
      </c>
      <c r="BR568" s="1227" t="s">
        <v>29</v>
      </c>
      <c r="BS568" s="1203" t="s">
        <v>808</v>
      </c>
      <c r="BT568" s="1227" t="s">
        <v>29</v>
      </c>
      <c r="BU568" s="1203" t="s">
        <v>808</v>
      </c>
      <c r="BV568" s="1227" t="s">
        <v>29</v>
      </c>
      <c r="BW568" s="1203" t="s">
        <v>808</v>
      </c>
      <c r="BX568" s="1227" t="s">
        <v>29</v>
      </c>
      <c r="BY568" s="1203" t="s">
        <v>808</v>
      </c>
      <c r="BZ568" s="1228" t="s">
        <v>1009</v>
      </c>
    </row>
    <row r="569" spans="2:78" ht="12.75" customHeight="1">
      <c r="B569" s="3880"/>
      <c r="C569" s="1196" t="s">
        <v>40</v>
      </c>
      <c r="D569" s="1360" t="s">
        <v>29</v>
      </c>
      <c r="E569" s="1210" t="s">
        <v>29</v>
      </c>
      <c r="F569" s="1360" t="s">
        <v>29</v>
      </c>
      <c r="G569" s="1210" t="s">
        <v>29</v>
      </c>
      <c r="H569" s="1360" t="s">
        <v>29</v>
      </c>
      <c r="I569" s="1210" t="s">
        <v>29</v>
      </c>
      <c r="J569" s="1209" t="s">
        <v>29</v>
      </c>
      <c r="K569" s="1210" t="s">
        <v>29</v>
      </c>
      <c r="L569" s="1209" t="s">
        <v>29</v>
      </c>
      <c r="M569" s="1210" t="s">
        <v>29</v>
      </c>
      <c r="N569" s="1209" t="s">
        <v>29</v>
      </c>
      <c r="O569" s="1210" t="s">
        <v>29</v>
      </c>
      <c r="P569" s="1209" t="s">
        <v>29</v>
      </c>
      <c r="Q569" s="1210" t="s">
        <v>29</v>
      </c>
      <c r="R569" s="1209" t="s">
        <v>29</v>
      </c>
      <c r="S569" s="1210" t="s">
        <v>29</v>
      </c>
      <c r="T569" s="1209" t="s">
        <v>29</v>
      </c>
      <c r="U569" s="1210" t="s">
        <v>29</v>
      </c>
      <c r="V569" s="1209" t="s">
        <v>29</v>
      </c>
      <c r="W569" s="1210" t="s">
        <v>29</v>
      </c>
      <c r="X569" s="1209" t="s">
        <v>29</v>
      </c>
      <c r="Y569" s="1210" t="s">
        <v>29</v>
      </c>
      <c r="Z569" s="1209" t="s">
        <v>29</v>
      </c>
      <c r="AA569" s="1210" t="s">
        <v>29</v>
      </c>
      <c r="AB569" s="1209" t="s">
        <v>29</v>
      </c>
      <c r="AC569" s="1210" t="s">
        <v>29</v>
      </c>
      <c r="AD569" s="1209" t="s">
        <v>29</v>
      </c>
      <c r="AE569" s="1210" t="s">
        <v>29</v>
      </c>
      <c r="AF569" s="1209"/>
      <c r="AG569" s="1210"/>
      <c r="AH569" s="1197" t="s">
        <v>29</v>
      </c>
      <c r="AI569" s="1198" t="s">
        <v>29</v>
      </c>
      <c r="AJ569" s="1197" t="s">
        <v>29</v>
      </c>
      <c r="AK569" s="1198" t="s">
        <v>29</v>
      </c>
      <c r="AL569" s="1197" t="s">
        <v>29</v>
      </c>
      <c r="AM569" s="1198" t="s">
        <v>29</v>
      </c>
      <c r="AN569" s="1209" t="s">
        <v>29</v>
      </c>
      <c r="AO569" s="1210" t="s">
        <v>29</v>
      </c>
      <c r="AP569" s="1209" t="s">
        <v>29</v>
      </c>
      <c r="AQ569" s="1210" t="s">
        <v>29</v>
      </c>
      <c r="AR569" s="1209" t="s">
        <v>29</v>
      </c>
      <c r="AS569" s="1210" t="s">
        <v>29</v>
      </c>
      <c r="AT569" s="1209" t="s">
        <v>29</v>
      </c>
      <c r="AU569" s="1210" t="s">
        <v>29</v>
      </c>
      <c r="AV569" s="1209" t="s">
        <v>29</v>
      </c>
      <c r="AW569" s="1210" t="s">
        <v>29</v>
      </c>
      <c r="AX569" s="1209" t="s">
        <v>29</v>
      </c>
      <c r="AY569" s="1210" t="s">
        <v>29</v>
      </c>
      <c r="AZ569" s="1209" t="s">
        <v>29</v>
      </c>
      <c r="BA569" s="1210" t="s">
        <v>29</v>
      </c>
      <c r="BB569" s="1209" t="s">
        <v>29</v>
      </c>
      <c r="BC569" s="1210" t="s">
        <v>29</v>
      </c>
      <c r="BD569" s="1209" t="s">
        <v>29</v>
      </c>
      <c r="BE569" s="1210" t="s">
        <v>29</v>
      </c>
      <c r="BF569" s="1209" t="s">
        <v>808</v>
      </c>
      <c r="BG569" s="1210" t="s">
        <v>808</v>
      </c>
      <c r="BH569" s="1209" t="s">
        <v>29</v>
      </c>
      <c r="BI569" s="1210" t="s">
        <v>808</v>
      </c>
      <c r="BJ569" s="1209" t="s">
        <v>29</v>
      </c>
      <c r="BK569" s="1210" t="s">
        <v>808</v>
      </c>
      <c r="BL569" s="1211" t="s">
        <v>29</v>
      </c>
      <c r="BM569" s="1210" t="s">
        <v>29</v>
      </c>
      <c r="BN569" s="1209" t="s">
        <v>29</v>
      </c>
      <c r="BO569" s="1210" t="s">
        <v>29</v>
      </c>
      <c r="BP569" s="1229" t="s">
        <v>29</v>
      </c>
      <c r="BQ569" s="1230" t="s">
        <v>808</v>
      </c>
      <c r="BR569" s="1229" t="s">
        <v>29</v>
      </c>
      <c r="BS569" s="1230" t="s">
        <v>808</v>
      </c>
      <c r="BT569" s="1229" t="s">
        <v>29</v>
      </c>
      <c r="BU569" s="1230" t="s">
        <v>808</v>
      </c>
      <c r="BV569" s="1229" t="s">
        <v>29</v>
      </c>
      <c r="BW569" s="1230" t="s">
        <v>808</v>
      </c>
      <c r="BX569" s="1229" t="s">
        <v>29</v>
      </c>
      <c r="BY569" s="1230" t="s">
        <v>808</v>
      </c>
      <c r="BZ569" s="1228" t="s">
        <v>1009</v>
      </c>
    </row>
    <row r="570" spans="2:78" ht="12.75" customHeight="1">
      <c r="B570" s="3880"/>
      <c r="C570" s="1196" t="s">
        <v>41</v>
      </c>
      <c r="D570" s="1360" t="s">
        <v>979</v>
      </c>
      <c r="E570" s="1210" t="s">
        <v>979</v>
      </c>
      <c r="F570" s="1360" t="s">
        <v>979</v>
      </c>
      <c r="G570" s="1210" t="s">
        <v>979</v>
      </c>
      <c r="H570" s="1360" t="s">
        <v>979</v>
      </c>
      <c r="I570" s="1210" t="s">
        <v>979</v>
      </c>
      <c r="J570" s="1209" t="s">
        <v>979</v>
      </c>
      <c r="K570" s="1210" t="s">
        <v>979</v>
      </c>
      <c r="L570" s="1209" t="s">
        <v>979</v>
      </c>
      <c r="M570" s="1210" t="s">
        <v>979</v>
      </c>
      <c r="N570" s="1209" t="s">
        <v>979</v>
      </c>
      <c r="O570" s="1210" t="s">
        <v>979</v>
      </c>
      <c r="P570" s="1209" t="s">
        <v>979</v>
      </c>
      <c r="Q570" s="1210" t="s">
        <v>979</v>
      </c>
      <c r="R570" s="1209" t="s">
        <v>979</v>
      </c>
      <c r="S570" s="1210" t="s">
        <v>979</v>
      </c>
      <c r="T570" s="1209" t="s">
        <v>979</v>
      </c>
      <c r="U570" s="1210" t="s">
        <v>979</v>
      </c>
      <c r="V570" s="1209" t="s">
        <v>979</v>
      </c>
      <c r="W570" s="1210" t="s">
        <v>979</v>
      </c>
      <c r="X570" s="1209" t="s">
        <v>979</v>
      </c>
      <c r="Y570" s="1210" t="s">
        <v>979</v>
      </c>
      <c r="Z570" s="1209" t="s">
        <v>979</v>
      </c>
      <c r="AA570" s="1210" t="s">
        <v>979</v>
      </c>
      <c r="AB570" s="1209" t="s">
        <v>979</v>
      </c>
      <c r="AC570" s="1210" t="s">
        <v>979</v>
      </c>
      <c r="AD570" s="1209" t="s">
        <v>979</v>
      </c>
      <c r="AE570" s="1210" t="s">
        <v>979</v>
      </c>
      <c r="AF570" s="1209"/>
      <c r="AG570" s="1210"/>
      <c r="AH570" s="1197" t="s">
        <v>777</v>
      </c>
      <c r="AI570" s="1198">
        <v>1.1000000000000001</v>
      </c>
      <c r="AJ570" s="1197" t="s">
        <v>822</v>
      </c>
      <c r="AK570" s="1198">
        <v>1</v>
      </c>
      <c r="AL570" s="1197" t="s">
        <v>1951</v>
      </c>
      <c r="AM570" s="1198">
        <v>0.8</v>
      </c>
      <c r="AN570" s="1209" t="s">
        <v>979</v>
      </c>
      <c r="AO570" s="1210" t="s">
        <v>979</v>
      </c>
      <c r="AP570" s="1209" t="s">
        <v>979</v>
      </c>
      <c r="AQ570" s="1210" t="s">
        <v>979</v>
      </c>
      <c r="AR570" s="1209" t="s">
        <v>979</v>
      </c>
      <c r="AS570" s="1210" t="s">
        <v>979</v>
      </c>
      <c r="AT570" s="1209" t="s">
        <v>979</v>
      </c>
      <c r="AU570" s="1210" t="s">
        <v>979</v>
      </c>
      <c r="AV570" s="1209" t="s">
        <v>979</v>
      </c>
      <c r="AW570" s="1210" t="s">
        <v>979</v>
      </c>
      <c r="AX570" s="1209" t="s">
        <v>979</v>
      </c>
      <c r="AY570" s="1210" t="s">
        <v>979</v>
      </c>
      <c r="AZ570" s="1209" t="s">
        <v>979</v>
      </c>
      <c r="BA570" s="1210" t="s">
        <v>979</v>
      </c>
      <c r="BB570" s="1209" t="s">
        <v>979</v>
      </c>
      <c r="BC570" s="1210" t="s">
        <v>979</v>
      </c>
      <c r="BD570" s="1209" t="s">
        <v>979</v>
      </c>
      <c r="BE570" s="1210" t="s">
        <v>979</v>
      </c>
      <c r="BF570" s="1209" t="s">
        <v>1033</v>
      </c>
      <c r="BG570" s="1210" t="s">
        <v>1033</v>
      </c>
      <c r="BH570" s="1209" t="s">
        <v>1033</v>
      </c>
      <c r="BI570" s="1210" t="s">
        <v>1033</v>
      </c>
      <c r="BJ570" s="1209" t="s">
        <v>1033</v>
      </c>
      <c r="BK570" s="1210" t="s">
        <v>1033</v>
      </c>
      <c r="BL570" s="1209" t="s">
        <v>822</v>
      </c>
      <c r="BM570" s="1210">
        <v>1</v>
      </c>
      <c r="BN570" s="1209" t="s">
        <v>24</v>
      </c>
      <c r="BO570" s="1210">
        <v>0.7</v>
      </c>
      <c r="BP570" s="1235" t="s">
        <v>32</v>
      </c>
      <c r="BQ570" s="1236" t="s">
        <v>32</v>
      </c>
      <c r="BR570" s="1235" t="s">
        <v>32</v>
      </c>
      <c r="BS570" s="1236" t="s">
        <v>32</v>
      </c>
      <c r="BT570" s="1235" t="s">
        <v>32</v>
      </c>
      <c r="BU570" s="1236" t="s">
        <v>32</v>
      </c>
      <c r="BV570" s="1235" t="s">
        <v>32</v>
      </c>
      <c r="BW570" s="1236" t="s">
        <v>32</v>
      </c>
      <c r="BX570" s="1235" t="s">
        <v>32</v>
      </c>
      <c r="BY570" s="1236" t="s">
        <v>32</v>
      </c>
      <c r="BZ570" s="1228" t="s">
        <v>32</v>
      </c>
    </row>
    <row r="571" spans="2:78" ht="12.75" customHeight="1">
      <c r="B571" s="3880"/>
      <c r="C571" s="1212" t="s">
        <v>42</v>
      </c>
      <c r="D571" s="1361" t="s">
        <v>29</v>
      </c>
      <c r="E571" s="1214" t="s">
        <v>29</v>
      </c>
      <c r="F571" s="1361" t="s">
        <v>29</v>
      </c>
      <c r="G571" s="1214" t="s">
        <v>29</v>
      </c>
      <c r="H571" s="1361" t="s">
        <v>29</v>
      </c>
      <c r="I571" s="1214" t="s">
        <v>29</v>
      </c>
      <c r="J571" s="1213" t="s">
        <v>29</v>
      </c>
      <c r="K571" s="1214" t="s">
        <v>29</v>
      </c>
      <c r="L571" s="1213" t="s">
        <v>29</v>
      </c>
      <c r="M571" s="1214" t="s">
        <v>29</v>
      </c>
      <c r="N571" s="1213" t="s">
        <v>29</v>
      </c>
      <c r="O571" s="1214" t="s">
        <v>29</v>
      </c>
      <c r="P571" s="1213" t="s">
        <v>29</v>
      </c>
      <c r="Q571" s="1214" t="s">
        <v>29</v>
      </c>
      <c r="R571" s="1213" t="s">
        <v>29</v>
      </c>
      <c r="S571" s="1214" t="s">
        <v>29</v>
      </c>
      <c r="T571" s="1213" t="s">
        <v>29</v>
      </c>
      <c r="U571" s="1214" t="s">
        <v>29</v>
      </c>
      <c r="V571" s="1213" t="s">
        <v>29</v>
      </c>
      <c r="W571" s="1214" t="s">
        <v>29</v>
      </c>
      <c r="X571" s="1213" t="s">
        <v>29</v>
      </c>
      <c r="Y571" s="1214" t="s">
        <v>29</v>
      </c>
      <c r="Z571" s="1213" t="s">
        <v>29</v>
      </c>
      <c r="AA571" s="1214" t="s">
        <v>29</v>
      </c>
      <c r="AB571" s="1213" t="s">
        <v>29</v>
      </c>
      <c r="AC571" s="1214" t="s">
        <v>29</v>
      </c>
      <c r="AD571" s="1213" t="s">
        <v>29</v>
      </c>
      <c r="AE571" s="1214" t="s">
        <v>29</v>
      </c>
      <c r="AF571" s="1213"/>
      <c r="AG571" s="1214"/>
      <c r="AH571" s="1213" t="s">
        <v>29</v>
      </c>
      <c r="AI571" s="1214" t="s">
        <v>29</v>
      </c>
      <c r="AJ571" s="1213" t="s">
        <v>29</v>
      </c>
      <c r="AK571" s="1214" t="s">
        <v>29</v>
      </c>
      <c r="AL571" s="1213" t="s">
        <v>29</v>
      </c>
      <c r="AM571" s="1214" t="s">
        <v>29</v>
      </c>
      <c r="AN571" s="1213" t="s">
        <v>29</v>
      </c>
      <c r="AO571" s="1214" t="s">
        <v>29</v>
      </c>
      <c r="AP571" s="1213" t="s">
        <v>29</v>
      </c>
      <c r="AQ571" s="1214" t="s">
        <v>29</v>
      </c>
      <c r="AR571" s="1213" t="s">
        <v>29</v>
      </c>
      <c r="AS571" s="1214" t="s">
        <v>29</v>
      </c>
      <c r="AT571" s="1213" t="s">
        <v>29</v>
      </c>
      <c r="AU571" s="1214" t="s">
        <v>29</v>
      </c>
      <c r="AV571" s="1213" t="s">
        <v>29</v>
      </c>
      <c r="AW571" s="1214" t="s">
        <v>29</v>
      </c>
      <c r="AX571" s="1213" t="s">
        <v>29</v>
      </c>
      <c r="AY571" s="1214" t="s">
        <v>29</v>
      </c>
      <c r="AZ571" s="1213" t="s">
        <v>29</v>
      </c>
      <c r="BA571" s="1214" t="s">
        <v>29</v>
      </c>
      <c r="BB571" s="1213" t="s">
        <v>29</v>
      </c>
      <c r="BC571" s="1214" t="s">
        <v>29</v>
      </c>
      <c r="BD571" s="1213" t="s">
        <v>29</v>
      </c>
      <c r="BE571" s="1214" t="s">
        <v>29</v>
      </c>
      <c r="BF571" s="1213" t="s">
        <v>808</v>
      </c>
      <c r="BG571" s="1214" t="s">
        <v>29</v>
      </c>
      <c r="BH571" s="1213" t="s">
        <v>29</v>
      </c>
      <c r="BI571" s="1214" t="s">
        <v>29</v>
      </c>
      <c r="BJ571" s="1213" t="s">
        <v>29</v>
      </c>
      <c r="BK571" s="1214" t="s">
        <v>29</v>
      </c>
      <c r="BL571" s="1215" t="s">
        <v>29</v>
      </c>
      <c r="BM571" s="1214" t="s">
        <v>29</v>
      </c>
      <c r="BN571" s="1213" t="s">
        <v>29</v>
      </c>
      <c r="BO571" s="1214" t="s">
        <v>29</v>
      </c>
      <c r="BP571" s="1231" t="s">
        <v>29</v>
      </c>
      <c r="BQ571" s="1219" t="s">
        <v>29</v>
      </c>
      <c r="BR571" s="1231" t="s">
        <v>29</v>
      </c>
      <c r="BS571" s="1219" t="s">
        <v>29</v>
      </c>
      <c r="BT571" s="1231" t="s">
        <v>29</v>
      </c>
      <c r="BU571" s="1219" t="s">
        <v>29</v>
      </c>
      <c r="BV571" s="1231" t="s">
        <v>29</v>
      </c>
      <c r="BW571" s="1219" t="s">
        <v>29</v>
      </c>
      <c r="BX571" s="1231" t="s">
        <v>29</v>
      </c>
      <c r="BY571" s="1219" t="s">
        <v>29</v>
      </c>
      <c r="BZ571" s="1232" t="s">
        <v>1009</v>
      </c>
    </row>
    <row r="573" spans="2:78" ht="12.75" customHeight="1">
      <c r="B573" s="3881" t="s">
        <v>43</v>
      </c>
      <c r="C573" s="3882"/>
      <c r="D573" s="1421" t="s">
        <v>44</v>
      </c>
      <c r="E573" s="32"/>
      <c r="F573" s="32"/>
      <c r="G573" s="32"/>
      <c r="H573" s="32"/>
      <c r="I573" s="32"/>
      <c r="J573" s="3497" t="s">
        <v>16</v>
      </c>
      <c r="K573" s="3885"/>
      <c r="L573" s="3885"/>
      <c r="M573" s="3885"/>
      <c r="N573" s="3885"/>
      <c r="O573" s="3885"/>
      <c r="P573" s="3885"/>
      <c r="Q573" s="3885"/>
      <c r="R573" s="3885"/>
      <c r="S573" s="3885"/>
      <c r="T573" s="3885"/>
      <c r="U573" s="3498"/>
      <c r="V573" s="3497" t="s">
        <v>45</v>
      </c>
      <c r="W573" s="3885"/>
      <c r="X573" s="3885"/>
      <c r="Y573" s="3885"/>
      <c r="Z573" s="3885"/>
      <c r="AA573" s="3498"/>
      <c r="AB573" s="34" t="s">
        <v>46</v>
      </c>
      <c r="AC573" s="32"/>
      <c r="AD573" s="32"/>
      <c r="AE573" s="32"/>
      <c r="AF573" s="32"/>
      <c r="AG573" s="33"/>
      <c r="AH573" s="961"/>
      <c r="AI573" s="962"/>
      <c r="AJ573" s="961"/>
      <c r="AK573" s="962"/>
      <c r="AL573" s="3497" t="s">
        <v>47</v>
      </c>
      <c r="AM573" s="3885"/>
      <c r="AN573" s="3885"/>
      <c r="AO573" s="3885"/>
      <c r="AP573" s="3885"/>
      <c r="AQ573" s="3498"/>
      <c r="AR573" s="3497" t="s">
        <v>1605</v>
      </c>
      <c r="AS573" s="3885"/>
      <c r="AT573" s="3885"/>
      <c r="AU573" s="3498"/>
    </row>
    <row r="574" spans="2:78" ht="12.75" customHeight="1">
      <c r="B574" s="3883"/>
      <c r="C574" s="3884"/>
      <c r="D574" s="101" t="s">
        <v>17</v>
      </c>
      <c r="E574" s="102"/>
      <c r="F574" s="103" t="s">
        <v>18</v>
      </c>
      <c r="G574" s="102"/>
      <c r="H574" s="103" t="s">
        <v>19</v>
      </c>
      <c r="I574" s="101"/>
      <c r="J574" s="103" t="s">
        <v>1147</v>
      </c>
      <c r="K574" s="102"/>
      <c r="L574" s="101" t="s">
        <v>17</v>
      </c>
      <c r="M574" s="102"/>
      <c r="N574" s="103" t="s">
        <v>18</v>
      </c>
      <c r="O574" s="102"/>
      <c r="P574" s="103" t="s">
        <v>19</v>
      </c>
      <c r="Q574" s="102"/>
      <c r="R574" s="103" t="s">
        <v>1148</v>
      </c>
      <c r="S574" s="102"/>
      <c r="T574" s="1344"/>
      <c r="U574" s="1345"/>
      <c r="V574" s="101" t="s">
        <v>17</v>
      </c>
      <c r="W574" s="102"/>
      <c r="X574" s="103" t="s">
        <v>18</v>
      </c>
      <c r="Y574" s="102"/>
      <c r="Z574" s="103" t="s">
        <v>19</v>
      </c>
      <c r="AA574" s="102"/>
      <c r="AB574" s="101" t="s">
        <v>17</v>
      </c>
      <c r="AC574" s="102"/>
      <c r="AD574" s="103" t="s">
        <v>18</v>
      </c>
      <c r="AE574" s="102"/>
      <c r="AF574" s="103" t="s">
        <v>19</v>
      </c>
      <c r="AG574" s="102"/>
      <c r="AH574" s="3576" t="s">
        <v>48</v>
      </c>
      <c r="AI574" s="3577"/>
      <c r="AJ574" s="3576" t="s">
        <v>49</v>
      </c>
      <c r="AK574" s="3577"/>
      <c r="AL574" s="101" t="s">
        <v>17</v>
      </c>
      <c r="AM574" s="102"/>
      <c r="AN574" s="103" t="s">
        <v>18</v>
      </c>
      <c r="AO574" s="102"/>
      <c r="AP574" s="103" t="s">
        <v>19</v>
      </c>
      <c r="AQ574" s="102"/>
      <c r="AR574" s="101" t="s">
        <v>17</v>
      </c>
      <c r="AS574" s="102"/>
      <c r="AT574" s="103" t="s">
        <v>18</v>
      </c>
      <c r="AU574" s="102"/>
    </row>
    <row r="575" spans="2:78" ht="12.75" customHeight="1">
      <c r="B575" s="3873" t="s">
        <v>50</v>
      </c>
      <c r="C575" s="1237" t="s">
        <v>733</v>
      </c>
      <c r="D575" s="1238" t="s">
        <v>51</v>
      </c>
      <c r="E575" s="172">
        <v>1.05</v>
      </c>
      <c r="F575" s="1183" t="s">
        <v>52</v>
      </c>
      <c r="G575" s="173">
        <v>1</v>
      </c>
      <c r="H575" s="1238" t="s">
        <v>1950</v>
      </c>
      <c r="I575" s="172" t="s">
        <v>1955</v>
      </c>
      <c r="J575" s="1341">
        <v>300</v>
      </c>
      <c r="K575" s="1243">
        <v>1.1200000000000001</v>
      </c>
      <c r="L575" s="1239">
        <v>1000</v>
      </c>
      <c r="M575" s="1240">
        <v>1.06</v>
      </c>
      <c r="N575" s="1241">
        <v>3000</v>
      </c>
      <c r="O575" s="1329">
        <v>1</v>
      </c>
      <c r="P575" s="1241">
        <v>10000</v>
      </c>
      <c r="Q575" s="1242">
        <v>0.93</v>
      </c>
      <c r="R575" s="1244">
        <v>20000</v>
      </c>
      <c r="S575" s="1329">
        <v>0.91</v>
      </c>
      <c r="T575" s="1346"/>
      <c r="U575" s="1347"/>
      <c r="V575" s="1334" t="s">
        <v>51</v>
      </c>
      <c r="W575" s="1324">
        <v>1.1000000000000001</v>
      </c>
      <c r="X575" s="1183" t="s">
        <v>52</v>
      </c>
      <c r="Y575" s="1325">
        <v>1</v>
      </c>
      <c r="Z575" s="1243" t="s">
        <v>1952</v>
      </c>
      <c r="AA575" s="1184">
        <v>0.8</v>
      </c>
      <c r="AB575" s="1183" t="s">
        <v>51</v>
      </c>
      <c r="AC575" s="1238">
        <v>1.05</v>
      </c>
      <c r="AD575" s="171" t="s">
        <v>52</v>
      </c>
      <c r="AE575" s="1184">
        <v>1</v>
      </c>
      <c r="AF575" s="1926" t="s">
        <v>1950</v>
      </c>
      <c r="AG575" s="1242" t="s">
        <v>1955</v>
      </c>
      <c r="AH575" s="3876">
        <v>4900</v>
      </c>
      <c r="AI575" s="3877"/>
      <c r="AJ575" s="3876">
        <v>2550</v>
      </c>
      <c r="AK575" s="3877"/>
      <c r="AL575" s="1245" t="s">
        <v>51</v>
      </c>
      <c r="AM575" s="1240">
        <v>1.1000000000000001</v>
      </c>
      <c r="AN575" s="1246" t="s">
        <v>52</v>
      </c>
      <c r="AO575" s="1242">
        <v>1</v>
      </c>
      <c r="AP575" s="1243" t="s">
        <v>1952</v>
      </c>
      <c r="AQ575" s="1777">
        <v>0.8</v>
      </c>
      <c r="AR575" s="1790">
        <v>20</v>
      </c>
      <c r="AS575" s="1240">
        <v>1.2</v>
      </c>
      <c r="AT575" s="1791">
        <v>15</v>
      </c>
      <c r="AU575" s="1242">
        <v>1</v>
      </c>
    </row>
    <row r="576" spans="2:78" ht="12.75" customHeight="1">
      <c r="B576" s="3874"/>
      <c r="C576" s="1247" t="s">
        <v>377</v>
      </c>
      <c r="D576" s="1248" t="s">
        <v>51</v>
      </c>
      <c r="E576" s="183">
        <v>1.05</v>
      </c>
      <c r="F576" s="1197" t="s">
        <v>52</v>
      </c>
      <c r="G576" s="184">
        <v>1</v>
      </c>
      <c r="H576" s="1248" t="s">
        <v>1950</v>
      </c>
      <c r="I576" s="183" t="s">
        <v>1955</v>
      </c>
      <c r="J576" s="1342">
        <v>300</v>
      </c>
      <c r="K576" s="1253">
        <v>1.08</v>
      </c>
      <c r="L576" s="1249">
        <v>360</v>
      </c>
      <c r="M576" s="1250">
        <v>1.06</v>
      </c>
      <c r="N576" s="1251">
        <v>1800</v>
      </c>
      <c r="O576" s="1330">
        <v>1</v>
      </c>
      <c r="P576" s="1251">
        <v>3600</v>
      </c>
      <c r="Q576" s="1252">
        <v>0.94</v>
      </c>
      <c r="R576" s="1254">
        <v>7200</v>
      </c>
      <c r="S576" s="1330">
        <v>0.91</v>
      </c>
      <c r="T576" s="1348"/>
      <c r="U576" s="1349"/>
      <c r="V576" s="1326" t="s">
        <v>51</v>
      </c>
      <c r="W576" s="1327">
        <v>1.05</v>
      </c>
      <c r="X576" s="1197" t="s">
        <v>52</v>
      </c>
      <c r="Y576" s="1328">
        <v>1</v>
      </c>
      <c r="Z576" s="1248" t="s">
        <v>1952</v>
      </c>
      <c r="AA576" s="1198">
        <v>0.95</v>
      </c>
      <c r="AB576" s="1197" t="s">
        <v>51</v>
      </c>
      <c r="AC576" s="1248">
        <v>1.05</v>
      </c>
      <c r="AD576" s="181" t="s">
        <v>52</v>
      </c>
      <c r="AE576" s="1198">
        <v>1</v>
      </c>
      <c r="AF576" s="182" t="s">
        <v>1950</v>
      </c>
      <c r="AG576" s="184" t="s">
        <v>1955</v>
      </c>
      <c r="AH576" s="3871">
        <v>4410</v>
      </c>
      <c r="AI576" s="3872"/>
      <c r="AJ576" s="3878" t="s">
        <v>1144</v>
      </c>
      <c r="AK576" s="3879"/>
      <c r="AL576" s="1256" t="s">
        <v>1152</v>
      </c>
      <c r="AM576" s="1778" t="s">
        <v>1152</v>
      </c>
      <c r="AN576" s="1256" t="s">
        <v>1152</v>
      </c>
      <c r="AO576" s="1778" t="s">
        <v>1152</v>
      </c>
      <c r="AP576" s="1256" t="s">
        <v>1152</v>
      </c>
      <c r="AQ576" s="1778" t="s">
        <v>1152</v>
      </c>
      <c r="AR576" s="1794">
        <v>20</v>
      </c>
      <c r="AS576" s="1778">
        <v>1.2</v>
      </c>
      <c r="AT576" s="1794">
        <v>15</v>
      </c>
      <c r="AU576" s="1778">
        <v>1</v>
      </c>
    </row>
    <row r="577" spans="2:47" ht="12.75" customHeight="1">
      <c r="B577" s="3874"/>
      <c r="C577" s="1247" t="s">
        <v>384</v>
      </c>
      <c r="D577" s="1248" t="s">
        <v>51</v>
      </c>
      <c r="E577" s="183">
        <v>1.05</v>
      </c>
      <c r="F577" s="1197" t="s">
        <v>52</v>
      </c>
      <c r="G577" s="184">
        <v>1</v>
      </c>
      <c r="H577" s="1248" t="s">
        <v>1950</v>
      </c>
      <c r="I577" s="183" t="s">
        <v>1955</v>
      </c>
      <c r="J577" s="1342">
        <v>300</v>
      </c>
      <c r="K577" s="1253">
        <v>1.1200000000000001</v>
      </c>
      <c r="L577" s="1249">
        <v>1000</v>
      </c>
      <c r="M577" s="1250">
        <v>1.06</v>
      </c>
      <c r="N577" s="1251">
        <v>3000</v>
      </c>
      <c r="O577" s="1330">
        <v>1</v>
      </c>
      <c r="P577" s="1251">
        <v>10000</v>
      </c>
      <c r="Q577" s="1252">
        <v>0.93</v>
      </c>
      <c r="R577" s="1254">
        <v>20000</v>
      </c>
      <c r="S577" s="1330">
        <v>0.91</v>
      </c>
      <c r="T577" s="1348"/>
      <c r="U577" s="1349"/>
      <c r="V577" s="1326" t="s">
        <v>51</v>
      </c>
      <c r="W577" s="1327">
        <v>1.05</v>
      </c>
      <c r="X577" s="1197" t="s">
        <v>52</v>
      </c>
      <c r="Y577" s="1328">
        <v>1</v>
      </c>
      <c r="Z577" s="1248" t="s">
        <v>1952</v>
      </c>
      <c r="AA577" s="1198">
        <v>0.95</v>
      </c>
      <c r="AB577" s="1197" t="s">
        <v>51</v>
      </c>
      <c r="AC577" s="1248">
        <v>1.05</v>
      </c>
      <c r="AD577" s="181" t="s">
        <v>52</v>
      </c>
      <c r="AE577" s="1198">
        <v>1</v>
      </c>
      <c r="AF577" s="182" t="s">
        <v>1950</v>
      </c>
      <c r="AG577" s="184" t="s">
        <v>1955</v>
      </c>
      <c r="AH577" s="3871">
        <v>4650</v>
      </c>
      <c r="AI577" s="3872"/>
      <c r="AJ577" s="3871">
        <v>2550</v>
      </c>
      <c r="AK577" s="3872"/>
      <c r="AL577" s="1256" t="s">
        <v>29</v>
      </c>
      <c r="AM577" s="1778" t="s">
        <v>29</v>
      </c>
      <c r="AN577" s="1256" t="s">
        <v>29</v>
      </c>
      <c r="AO577" s="1778" t="s">
        <v>29</v>
      </c>
      <c r="AP577" s="1256" t="s">
        <v>29</v>
      </c>
      <c r="AQ577" s="1778" t="s">
        <v>29</v>
      </c>
      <c r="AR577" s="1794">
        <v>20</v>
      </c>
      <c r="AS577" s="1778">
        <v>1.2</v>
      </c>
      <c r="AT577" s="1794">
        <v>15</v>
      </c>
      <c r="AU577" s="1778">
        <v>1</v>
      </c>
    </row>
    <row r="578" spans="2:47" ht="12.75" customHeight="1">
      <c r="B578" s="3874"/>
      <c r="C578" s="1247" t="s">
        <v>386</v>
      </c>
      <c r="D578" s="1248" t="s">
        <v>51</v>
      </c>
      <c r="E578" s="183">
        <v>1.05</v>
      </c>
      <c r="F578" s="1197" t="s">
        <v>52</v>
      </c>
      <c r="G578" s="184">
        <v>1</v>
      </c>
      <c r="H578" s="1248" t="s">
        <v>1950</v>
      </c>
      <c r="I578" s="183" t="s">
        <v>1955</v>
      </c>
      <c r="J578" s="1342">
        <v>300</v>
      </c>
      <c r="K578" s="1253">
        <v>1.1200000000000001</v>
      </c>
      <c r="L578" s="1249">
        <v>1000</v>
      </c>
      <c r="M578" s="1250">
        <v>1.06</v>
      </c>
      <c r="N578" s="1251">
        <v>3000</v>
      </c>
      <c r="O578" s="1330">
        <v>1</v>
      </c>
      <c r="P578" s="1251">
        <v>10000</v>
      </c>
      <c r="Q578" s="1252">
        <v>0.93</v>
      </c>
      <c r="R578" s="1254">
        <v>20000</v>
      </c>
      <c r="S578" s="1330">
        <v>0.91</v>
      </c>
      <c r="T578" s="1348"/>
      <c r="U578" s="1349"/>
      <c r="V578" s="1326" t="s">
        <v>51</v>
      </c>
      <c r="W578" s="1327">
        <v>1.1000000000000001</v>
      </c>
      <c r="X578" s="1197" t="s">
        <v>52</v>
      </c>
      <c r="Y578" s="1328">
        <v>1</v>
      </c>
      <c r="Z578" s="1248" t="s">
        <v>1952</v>
      </c>
      <c r="AA578" s="1198">
        <v>0.8</v>
      </c>
      <c r="AB578" s="1197" t="s">
        <v>51</v>
      </c>
      <c r="AC578" s="1248">
        <v>1.05</v>
      </c>
      <c r="AD578" s="181" t="s">
        <v>52</v>
      </c>
      <c r="AE578" s="1198">
        <v>1</v>
      </c>
      <c r="AF578" s="182" t="s">
        <v>1950</v>
      </c>
      <c r="AG578" s="184" t="s">
        <v>1955</v>
      </c>
      <c r="AH578" s="3871">
        <v>3180</v>
      </c>
      <c r="AI578" s="3872"/>
      <c r="AJ578" s="3871">
        <v>1360</v>
      </c>
      <c r="AK578" s="3872"/>
      <c r="AL578" s="1255" t="s">
        <v>51</v>
      </c>
      <c r="AM578" s="1250">
        <v>1.1000000000000001</v>
      </c>
      <c r="AN578" s="1256" t="s">
        <v>52</v>
      </c>
      <c r="AO578" s="1252">
        <v>1</v>
      </c>
      <c r="AP578" s="1253" t="s">
        <v>1952</v>
      </c>
      <c r="AQ578" s="187">
        <v>0.8</v>
      </c>
      <c r="AR578" s="1792">
        <v>20</v>
      </c>
      <c r="AS578" s="1250">
        <v>1.2</v>
      </c>
      <c r="AT578" s="1794">
        <v>15</v>
      </c>
      <c r="AU578" s="1252">
        <v>1</v>
      </c>
    </row>
    <row r="579" spans="2:47" ht="12.75" customHeight="1">
      <c r="B579" s="3875"/>
      <c r="C579" s="1257" t="s">
        <v>53</v>
      </c>
      <c r="D579" s="1258" t="s">
        <v>51</v>
      </c>
      <c r="E579" s="1259">
        <v>1.05</v>
      </c>
      <c r="F579" s="1213" t="s">
        <v>52</v>
      </c>
      <c r="G579" s="1260">
        <v>1</v>
      </c>
      <c r="H579" s="1258" t="s">
        <v>1950</v>
      </c>
      <c r="I579" s="1259" t="s">
        <v>1955</v>
      </c>
      <c r="J579" s="1343">
        <v>300</v>
      </c>
      <c r="K579" s="1265">
        <v>1.08</v>
      </c>
      <c r="L579" s="1261">
        <v>900</v>
      </c>
      <c r="M579" s="1332">
        <v>1.02</v>
      </c>
      <c r="N579" s="1262">
        <v>1800</v>
      </c>
      <c r="O579" s="1263">
        <v>1</v>
      </c>
      <c r="P579" s="1262">
        <v>3600</v>
      </c>
      <c r="Q579" s="1333">
        <v>0.94</v>
      </c>
      <c r="R579" s="1266">
        <v>7200</v>
      </c>
      <c r="S579" s="1263">
        <v>0.91</v>
      </c>
      <c r="T579" s="1350"/>
      <c r="U579" s="1351"/>
      <c r="V579" s="1264" t="s">
        <v>51</v>
      </c>
      <c r="W579" s="1259">
        <v>1.05</v>
      </c>
      <c r="X579" s="1213" t="s">
        <v>52</v>
      </c>
      <c r="Y579" s="1260">
        <v>1</v>
      </c>
      <c r="Z579" s="1258" t="s">
        <v>1952</v>
      </c>
      <c r="AA579" s="1214">
        <v>0.95</v>
      </c>
      <c r="AB579" s="1213" t="s">
        <v>51</v>
      </c>
      <c r="AC579" s="1258">
        <v>1.05</v>
      </c>
      <c r="AD579" s="1264" t="s">
        <v>52</v>
      </c>
      <c r="AE579" s="1214">
        <v>1</v>
      </c>
      <c r="AF579" s="1267" t="s">
        <v>1950</v>
      </c>
      <c r="AG579" s="1260" t="s">
        <v>1955</v>
      </c>
      <c r="AH579" s="3869">
        <v>4650</v>
      </c>
      <c r="AI579" s="3870"/>
      <c r="AJ579" s="3869">
        <v>2780</v>
      </c>
      <c r="AK579" s="3870"/>
      <c r="AL579" s="1268" t="s">
        <v>29</v>
      </c>
      <c r="AM579" s="199" t="s">
        <v>29</v>
      </c>
      <c r="AN579" s="1269" t="s">
        <v>29</v>
      </c>
      <c r="AO579" s="200" t="s">
        <v>29</v>
      </c>
      <c r="AP579" s="1265" t="s">
        <v>29</v>
      </c>
      <c r="AQ579" s="1263" t="s">
        <v>29</v>
      </c>
      <c r="AR579" s="1793">
        <v>20</v>
      </c>
      <c r="AS579" s="1780">
        <v>1.2</v>
      </c>
      <c r="AT579" s="1795">
        <v>15</v>
      </c>
      <c r="AU579" s="1781">
        <v>1</v>
      </c>
    </row>
    <row r="584" spans="2:47" ht="12.75" customHeight="1">
      <c r="C584">
        <v>1</v>
      </c>
      <c r="D584">
        <v>2</v>
      </c>
      <c r="E584">
        <v>3</v>
      </c>
      <c r="F584">
        <v>4</v>
      </c>
      <c r="G584">
        <v>5</v>
      </c>
      <c r="H584">
        <v>6</v>
      </c>
      <c r="I584">
        <v>7</v>
      </c>
      <c r="J584">
        <v>8</v>
      </c>
      <c r="K584">
        <v>9</v>
      </c>
      <c r="L584">
        <v>10</v>
      </c>
      <c r="M584">
        <v>11</v>
      </c>
      <c r="N584">
        <v>12</v>
      </c>
      <c r="O584">
        <v>13</v>
      </c>
      <c r="P584">
        <v>14</v>
      </c>
      <c r="Q584">
        <v>15</v>
      </c>
    </row>
    <row r="585" spans="2:47" ht="33.75" customHeight="1">
      <c r="B585" s="1578" t="s">
        <v>1370</v>
      </c>
      <c r="C585" s="1573" t="s">
        <v>1374</v>
      </c>
      <c r="D585" s="1621" t="s">
        <v>1398</v>
      </c>
      <c r="E585" s="1621" t="s">
        <v>1399</v>
      </c>
      <c r="F585" s="1621" t="s">
        <v>1400</v>
      </c>
      <c r="G585" s="1621" t="s">
        <v>1401</v>
      </c>
      <c r="H585" s="1621" t="s">
        <v>1402</v>
      </c>
      <c r="I585" s="1621" t="s">
        <v>1403</v>
      </c>
      <c r="J585" s="1574" t="s">
        <v>1397</v>
      </c>
      <c r="K585" s="1621" t="s">
        <v>1404</v>
      </c>
      <c r="L585" s="1621" t="s">
        <v>1405</v>
      </c>
      <c r="M585" s="1621" t="s">
        <v>1406</v>
      </c>
      <c r="N585" s="1574" t="s">
        <v>1371</v>
      </c>
      <c r="O585" s="1574" t="s">
        <v>1372</v>
      </c>
      <c r="P585" s="1574" t="s">
        <v>1369</v>
      </c>
      <c r="Q585" s="1622" t="s">
        <v>1407</v>
      </c>
    </row>
    <row r="586" spans="2:47" ht="12.75" customHeight="1">
      <c r="B586" s="1575"/>
      <c r="C586" s="1237" t="s">
        <v>733</v>
      </c>
      <c r="D586" s="1623">
        <v>8.3000000000000004E-2</v>
      </c>
      <c r="E586" s="1623">
        <v>0.08</v>
      </c>
      <c r="F586" s="1625">
        <v>0.66100000000000003</v>
      </c>
      <c r="G586" s="1623">
        <v>0.1</v>
      </c>
      <c r="H586" s="1625">
        <v>0.76800000000000002</v>
      </c>
      <c r="I586" s="1623">
        <v>8.8999999999999996E-2</v>
      </c>
      <c r="J586" s="1624">
        <v>1.21</v>
      </c>
      <c r="K586" s="1624">
        <v>1.3</v>
      </c>
      <c r="L586" s="1624">
        <v>0.79</v>
      </c>
      <c r="M586" s="1624">
        <v>0.52</v>
      </c>
      <c r="N586" s="1624">
        <v>0.79</v>
      </c>
      <c r="O586" s="1624">
        <v>1.61</v>
      </c>
      <c r="P586" s="2115">
        <f>+N586+O586</f>
        <v>2.4000000000000004</v>
      </c>
      <c r="Q586" s="1624">
        <v>1.3</v>
      </c>
    </row>
    <row r="587" spans="2:47" ht="12.75" customHeight="1">
      <c r="B587" s="1576"/>
      <c r="C587" s="1247" t="s">
        <v>377</v>
      </c>
      <c r="D587" s="1623">
        <v>4.2999999999999997E-2</v>
      </c>
      <c r="E587" s="1623">
        <v>8.5999999999999993E-2</v>
      </c>
      <c r="F587" s="1625">
        <v>0.7</v>
      </c>
      <c r="G587" s="1623">
        <v>0.09</v>
      </c>
      <c r="H587" s="1625">
        <v>0.72</v>
      </c>
      <c r="I587" s="1623">
        <v>9.1999999999999998E-2</v>
      </c>
      <c r="J587" s="1624">
        <v>1.57</v>
      </c>
      <c r="K587" s="1624">
        <v>1.3</v>
      </c>
      <c r="L587" s="1624">
        <v>1.06</v>
      </c>
      <c r="M587" s="1624">
        <v>1.21</v>
      </c>
      <c r="N587" s="1624">
        <v>1.06</v>
      </c>
      <c r="O587" s="1624">
        <v>3</v>
      </c>
      <c r="P587" s="2115">
        <f t="shared" ref="P587:P590" si="21">+N587+O587</f>
        <v>4.0600000000000005</v>
      </c>
      <c r="Q587" s="1624">
        <v>1.3</v>
      </c>
    </row>
    <row r="588" spans="2:47" ht="12.75" customHeight="1">
      <c r="B588" s="1576"/>
      <c r="C588" s="1247" t="s">
        <v>384</v>
      </c>
      <c r="D588" s="1623">
        <v>4.4999999999999998E-2</v>
      </c>
      <c r="E588" s="1623">
        <v>8.8999999999999996E-2</v>
      </c>
      <c r="F588" s="1625">
        <v>0.75600000000000001</v>
      </c>
      <c r="G588" s="1623">
        <v>7.0999999999999994E-2</v>
      </c>
      <c r="H588" s="1625">
        <v>0.65900000000000003</v>
      </c>
      <c r="I588" s="1623">
        <v>8.1000000000000003E-2</v>
      </c>
      <c r="J588" s="1624">
        <v>2.09</v>
      </c>
      <c r="K588" s="1624">
        <v>1.3</v>
      </c>
      <c r="L588" s="1624">
        <v>0.91</v>
      </c>
      <c r="M588" s="1624">
        <v>1.21</v>
      </c>
      <c r="N588" s="1624">
        <v>0.91</v>
      </c>
      <c r="O588" s="1624">
        <v>3.3</v>
      </c>
      <c r="P588" s="2115">
        <f t="shared" si="21"/>
        <v>4.21</v>
      </c>
      <c r="Q588" s="1624">
        <v>1.3</v>
      </c>
    </row>
    <row r="589" spans="2:47" ht="12.75" customHeight="1">
      <c r="B589" s="1576"/>
      <c r="C589" s="1247" t="s">
        <v>386</v>
      </c>
      <c r="D589" s="1623">
        <v>5.7000000000000002E-2</v>
      </c>
      <c r="E589" s="1623">
        <v>8.4000000000000005E-2</v>
      </c>
      <c r="F589" s="1625">
        <v>0.81</v>
      </c>
      <c r="G589" s="1623">
        <v>7.5999999999999998E-2</v>
      </c>
      <c r="H589" s="1625">
        <v>0.61</v>
      </c>
      <c r="I589" s="1623">
        <v>9.1999999999999998E-2</v>
      </c>
      <c r="J589" s="1624">
        <v>1.06</v>
      </c>
      <c r="K589" s="1624">
        <v>1.3</v>
      </c>
      <c r="L589" s="1624">
        <v>0.91</v>
      </c>
      <c r="M589" s="1624">
        <v>0.1</v>
      </c>
      <c r="N589" s="1624">
        <v>0.91</v>
      </c>
      <c r="O589" s="1624">
        <v>1.21</v>
      </c>
      <c r="P589" s="2115">
        <f t="shared" si="21"/>
        <v>2.12</v>
      </c>
      <c r="Q589" s="1624">
        <v>1.3</v>
      </c>
    </row>
    <row r="590" spans="2:47" ht="12.75" customHeight="1">
      <c r="B590" s="1577"/>
      <c r="C590" s="1257" t="s">
        <v>53</v>
      </c>
      <c r="D590" s="1623">
        <v>5.5E-2</v>
      </c>
      <c r="E590" s="1623">
        <v>7.2999999999999995E-2</v>
      </c>
      <c r="F590" s="1625">
        <v>0.65</v>
      </c>
      <c r="G590" s="1623">
        <v>6.0999999999999999E-2</v>
      </c>
      <c r="H590" s="1625">
        <v>0.62</v>
      </c>
      <c r="I590" s="1623">
        <v>0.09</v>
      </c>
      <c r="J590" s="1624">
        <v>1.3</v>
      </c>
      <c r="K590" s="1624">
        <v>1.3</v>
      </c>
      <c r="L590" s="1624">
        <v>1</v>
      </c>
      <c r="M590" s="1624">
        <v>0.52</v>
      </c>
      <c r="N590" s="1624">
        <v>1</v>
      </c>
      <c r="O590" s="1624">
        <v>1.61</v>
      </c>
      <c r="P590" s="2115">
        <f t="shared" si="21"/>
        <v>2.6100000000000003</v>
      </c>
      <c r="Q590" s="1624">
        <v>1.3</v>
      </c>
    </row>
    <row r="594" spans="2:3" ht="12.75" customHeight="1">
      <c r="B594" s="1903" t="s">
        <v>1924</v>
      </c>
      <c r="C594" s="1904" t="s">
        <v>1925</v>
      </c>
    </row>
    <row r="595" spans="2:3" ht="12.75" customHeight="1">
      <c r="B595" s="1905" t="s">
        <v>1926</v>
      </c>
      <c r="C595" s="1905" t="s">
        <v>767</v>
      </c>
    </row>
    <row r="596" spans="2:3" ht="12.75" customHeight="1">
      <c r="B596" s="1905" t="s">
        <v>1927</v>
      </c>
      <c r="C596" s="1905" t="s">
        <v>1928</v>
      </c>
    </row>
    <row r="597" spans="2:3" ht="12.75" customHeight="1">
      <c r="B597" s="1905" t="s">
        <v>1929</v>
      </c>
      <c r="C597" s="1905" t="s">
        <v>1930</v>
      </c>
    </row>
    <row r="598" spans="2:3" ht="12.75" customHeight="1">
      <c r="B598" s="1905" t="s">
        <v>1931</v>
      </c>
      <c r="C598" s="1905" t="s">
        <v>776</v>
      </c>
    </row>
    <row r="599" spans="2:3" ht="12.75" customHeight="1">
      <c r="B599" s="1905" t="s">
        <v>1932</v>
      </c>
      <c r="C599" s="1905" t="s">
        <v>1933</v>
      </c>
    </row>
    <row r="600" spans="2:3" ht="12.75" customHeight="1">
      <c r="B600" s="1905" t="s">
        <v>1261</v>
      </c>
      <c r="C600" s="1905" t="s">
        <v>1261</v>
      </c>
    </row>
  </sheetData>
  <mergeCells count="87">
    <mergeCell ref="J166:K166"/>
    <mergeCell ref="D165:K165"/>
    <mergeCell ref="P545:X545"/>
    <mergeCell ref="D11:I11"/>
    <mergeCell ref="D109:I109"/>
    <mergeCell ref="H110:I110"/>
    <mergeCell ref="D116:I116"/>
    <mergeCell ref="H117:I117"/>
    <mergeCell ref="H12:I12"/>
    <mergeCell ref="D81:I81"/>
    <mergeCell ref="H82:I82"/>
    <mergeCell ref="D88:I88"/>
    <mergeCell ref="H89:I89"/>
    <mergeCell ref="D95:I95"/>
    <mergeCell ref="H96:I96"/>
    <mergeCell ref="D438:I438"/>
    <mergeCell ref="H439:I439"/>
    <mergeCell ref="V554:AE554"/>
    <mergeCell ref="Z285:AA285"/>
    <mergeCell ref="J277:O277"/>
    <mergeCell ref="H271:I271"/>
    <mergeCell ref="N278:O278"/>
    <mergeCell ref="T278:U278"/>
    <mergeCell ref="AB284:AG284"/>
    <mergeCell ref="AD285:AE285"/>
    <mergeCell ref="V278:W278"/>
    <mergeCell ref="AB278:AC278"/>
    <mergeCell ref="P277:U277"/>
    <mergeCell ref="AF285:AG285"/>
    <mergeCell ref="V277:AA277"/>
    <mergeCell ref="AB277:AG277"/>
    <mergeCell ref="X278:Y278"/>
    <mergeCell ref="D270:I270"/>
    <mergeCell ref="D123:I123"/>
    <mergeCell ref="H124:I124"/>
    <mergeCell ref="H138:I138"/>
    <mergeCell ref="D137:I137"/>
    <mergeCell ref="D144:I144"/>
    <mergeCell ref="H145:I145"/>
    <mergeCell ref="D102:I102"/>
    <mergeCell ref="J102:O102"/>
    <mergeCell ref="H103:I103"/>
    <mergeCell ref="N103:O103"/>
    <mergeCell ref="V546:X546"/>
    <mergeCell ref="X285:Y285"/>
    <mergeCell ref="D151:I151"/>
    <mergeCell ref="N285:O285"/>
    <mergeCell ref="J284:O284"/>
    <mergeCell ref="T285:U285"/>
    <mergeCell ref="H152:I152"/>
    <mergeCell ref="D158:I158"/>
    <mergeCell ref="H159:I159"/>
    <mergeCell ref="H166:I166"/>
    <mergeCell ref="J270:O270"/>
    <mergeCell ref="N271:O271"/>
    <mergeCell ref="B561:B566"/>
    <mergeCell ref="B567:B571"/>
    <mergeCell ref="B573:C574"/>
    <mergeCell ref="AL573:AQ573"/>
    <mergeCell ref="BX555:BY555"/>
    <mergeCell ref="AH574:AI574"/>
    <mergeCell ref="V573:AA573"/>
    <mergeCell ref="J573:U573"/>
    <mergeCell ref="AR573:AU573"/>
    <mergeCell ref="AJ574:AK574"/>
    <mergeCell ref="BV555:BW555"/>
    <mergeCell ref="B556:B560"/>
    <mergeCell ref="B554:C555"/>
    <mergeCell ref="BP554:BZ554"/>
    <mergeCell ref="AJ579:AK579"/>
    <mergeCell ref="AH578:AI578"/>
    <mergeCell ref="AJ578:AK578"/>
    <mergeCell ref="B575:B579"/>
    <mergeCell ref="AJ577:AK577"/>
    <mergeCell ref="AH577:AI577"/>
    <mergeCell ref="AH575:AI575"/>
    <mergeCell ref="AH579:AI579"/>
    <mergeCell ref="AH576:AI576"/>
    <mergeCell ref="AJ575:AK575"/>
    <mergeCell ref="AJ576:AK576"/>
    <mergeCell ref="Z278:AA278"/>
    <mergeCell ref="AD278:AE278"/>
    <mergeCell ref="AF278:AG278"/>
    <mergeCell ref="AB285:AC285"/>
    <mergeCell ref="P284:U284"/>
    <mergeCell ref="V284:AA284"/>
    <mergeCell ref="V285:W285"/>
  </mergeCells>
  <phoneticPr fontId="8"/>
  <pageMargins left="0.48" right="0.28000000000000003" top="0.36" bottom="0.37" header="0.2" footer="0.19"/>
  <pageSetup paperSize="8" scale="32" fitToHeight="5" orientation="landscape" r:id="rId1"/>
  <headerFooter alignWithMargins="0"/>
  <rowBreaks count="1" manualBreakCount="1">
    <brk id="423" max="77"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1"/>
  <sheetViews>
    <sheetView workbookViewId="0">
      <selection activeCell="B4" sqref="B4"/>
    </sheetView>
  </sheetViews>
  <sheetFormatPr defaultRowHeight="13.5"/>
  <cols>
    <col min="1" max="1" width="14.1640625" style="1416" customWidth="1"/>
    <col min="2" max="2" width="10.5" style="1416" customWidth="1"/>
    <col min="3" max="3" width="39.83203125" style="1978" customWidth="1"/>
    <col min="4" max="4" width="12.1640625" style="1978" customWidth="1"/>
    <col min="5" max="6" width="9.33203125" style="1416"/>
    <col min="7" max="7" width="21.33203125" style="1416" customWidth="1"/>
    <col min="8" max="8" width="12.5" style="1416" customWidth="1"/>
    <col min="9" max="9" width="8.33203125" style="1416" customWidth="1"/>
    <col min="10" max="10" width="13.33203125" style="1416" customWidth="1"/>
    <col min="11" max="11" width="12.83203125" style="1416" customWidth="1"/>
    <col min="12" max="16384" width="9.33203125" style="1416"/>
  </cols>
  <sheetData>
    <row r="1" spans="1:12">
      <c r="A1" s="1416" t="s">
        <v>1296</v>
      </c>
      <c r="B1" s="2339" t="s">
        <v>2362</v>
      </c>
      <c r="G1" s="1416" t="s">
        <v>1297</v>
      </c>
    </row>
    <row r="3" spans="1:12" ht="28.5" customHeight="1">
      <c r="A3" s="1435" t="s">
        <v>1272</v>
      </c>
      <c r="B3" s="1435" t="s">
        <v>1273</v>
      </c>
      <c r="C3" s="1979" t="s">
        <v>1274</v>
      </c>
      <c r="D3" s="1983" t="s">
        <v>1985</v>
      </c>
      <c r="G3" s="3909" t="s">
        <v>870</v>
      </c>
      <c r="H3" s="3909"/>
      <c r="I3" s="1852"/>
      <c r="J3" s="1585" t="s">
        <v>762</v>
      </c>
      <c r="K3" s="1584" t="s">
        <v>1377</v>
      </c>
    </row>
    <row r="4" spans="1:12">
      <c r="A4" s="1438" t="s">
        <v>1275</v>
      </c>
      <c r="B4" s="1438">
        <v>933</v>
      </c>
      <c r="C4" s="1980" t="s">
        <v>1276</v>
      </c>
      <c r="D4" s="1980"/>
      <c r="G4" s="1922" t="s">
        <v>1945</v>
      </c>
      <c r="H4" s="1919"/>
      <c r="I4" s="1919"/>
      <c r="J4" s="1920"/>
      <c r="K4" s="1921"/>
      <c r="L4" s="1416" t="s">
        <v>1942</v>
      </c>
    </row>
    <row r="5" spans="1:12">
      <c r="A5" s="1439" t="s">
        <v>1275</v>
      </c>
      <c r="B5" s="1439">
        <v>947</v>
      </c>
      <c r="C5" s="1981" t="s">
        <v>1276</v>
      </c>
      <c r="D5" s="1981"/>
      <c r="G5" s="1433" t="s">
        <v>1893</v>
      </c>
      <c r="H5" s="1434" t="s">
        <v>1894</v>
      </c>
      <c r="I5" s="1853" t="s">
        <v>1895</v>
      </c>
      <c r="J5" s="1432">
        <v>1730</v>
      </c>
      <c r="K5" s="1432">
        <v>1730</v>
      </c>
      <c r="L5" s="1416" t="s">
        <v>1938</v>
      </c>
    </row>
    <row r="6" spans="1:12">
      <c r="A6" s="1439" t="s">
        <v>1275</v>
      </c>
      <c r="B6" s="1439">
        <v>370</v>
      </c>
      <c r="C6" s="1981" t="s">
        <v>1277</v>
      </c>
      <c r="D6" s="1981"/>
      <c r="G6" s="1433" t="s">
        <v>1893</v>
      </c>
      <c r="H6" s="1434" t="s">
        <v>1894</v>
      </c>
      <c r="I6" s="1853" t="s">
        <v>1896</v>
      </c>
      <c r="J6" s="1432">
        <v>960</v>
      </c>
      <c r="K6" s="1432">
        <v>960</v>
      </c>
      <c r="L6" s="1416" t="s">
        <v>1939</v>
      </c>
    </row>
    <row r="7" spans="1:12">
      <c r="A7" s="1439" t="s">
        <v>1275</v>
      </c>
      <c r="B7" s="1439">
        <v>320</v>
      </c>
      <c r="C7" s="1981" t="s">
        <v>1278</v>
      </c>
      <c r="D7" s="1981"/>
      <c r="G7" s="1433" t="s">
        <v>1893</v>
      </c>
      <c r="H7" s="1434" t="s">
        <v>1897</v>
      </c>
      <c r="I7" s="1853" t="s">
        <v>1895</v>
      </c>
      <c r="J7" s="1432">
        <v>1700</v>
      </c>
      <c r="K7" s="1432">
        <v>1700</v>
      </c>
      <c r="L7" s="1416" t="s">
        <v>1940</v>
      </c>
    </row>
    <row r="8" spans="1:12">
      <c r="A8" s="1439" t="s">
        <v>1275</v>
      </c>
      <c r="B8" s="1439">
        <v>510</v>
      </c>
      <c r="C8" s="1981" t="s">
        <v>1279</v>
      </c>
      <c r="D8" s="1981"/>
      <c r="G8" s="1433" t="s">
        <v>1893</v>
      </c>
      <c r="H8" s="1434" t="s">
        <v>1897</v>
      </c>
      <c r="I8" s="1853" t="s">
        <v>1896</v>
      </c>
      <c r="J8" s="1432">
        <v>790</v>
      </c>
      <c r="K8" s="1432">
        <v>790</v>
      </c>
      <c r="L8" s="1416" t="s">
        <v>1941</v>
      </c>
    </row>
    <row r="9" spans="1:12">
      <c r="A9" s="1439" t="s">
        <v>1275</v>
      </c>
      <c r="B9" s="1440">
        <v>1543</v>
      </c>
      <c r="C9" s="1981" t="s">
        <v>1898</v>
      </c>
      <c r="D9" s="1981">
        <v>-958</v>
      </c>
      <c r="G9" s="1922" t="s">
        <v>1946</v>
      </c>
      <c r="H9" s="1853"/>
      <c r="I9" s="1853"/>
      <c r="J9" s="1918"/>
      <c r="K9" s="1918"/>
    </row>
    <row r="10" spans="1:12">
      <c r="A10" s="1439" t="s">
        <v>1275</v>
      </c>
      <c r="B10" s="1439">
        <v>811</v>
      </c>
      <c r="C10" s="1981" t="s">
        <v>1899</v>
      </c>
      <c r="D10" s="1981">
        <v>-811</v>
      </c>
      <c r="G10" s="1433" t="s">
        <v>1943</v>
      </c>
      <c r="H10" s="1434"/>
      <c r="I10" s="1853"/>
      <c r="J10" s="1432">
        <v>1880</v>
      </c>
      <c r="K10" s="1432">
        <v>1880</v>
      </c>
    </row>
    <row r="11" spans="1:12">
      <c r="A11" s="1439" t="s">
        <v>1275</v>
      </c>
      <c r="B11" s="1439">
        <v>958</v>
      </c>
      <c r="C11" s="1981" t="s">
        <v>1899</v>
      </c>
      <c r="D11" s="1981">
        <v>-958</v>
      </c>
      <c r="G11" s="1433" t="s">
        <v>1944</v>
      </c>
      <c r="H11" s="1434"/>
      <c r="I11" s="1853"/>
      <c r="J11" s="1432">
        <v>680</v>
      </c>
      <c r="K11" s="1432">
        <v>680</v>
      </c>
    </row>
    <row r="12" spans="1:12">
      <c r="A12" s="1441" t="s">
        <v>1275</v>
      </c>
      <c r="B12" s="1441">
        <v>714</v>
      </c>
      <c r="C12" s="1982" t="s">
        <v>1280</v>
      </c>
      <c r="D12" s="1982"/>
      <c r="G12" s="1433"/>
      <c r="H12" s="1434"/>
      <c r="I12" s="1853"/>
      <c r="J12" s="1432"/>
      <c r="K12" s="1432"/>
    </row>
    <row r="13" spans="1:12">
      <c r="A13" s="1438" t="s">
        <v>1281</v>
      </c>
      <c r="B13" s="1438">
        <v>250</v>
      </c>
      <c r="C13" s="1980" t="s">
        <v>1276</v>
      </c>
      <c r="D13" s="1980"/>
      <c r="G13" s="1433"/>
      <c r="H13" s="1434"/>
      <c r="I13" s="1853"/>
      <c r="J13" s="1432"/>
      <c r="K13" s="1432"/>
    </row>
    <row r="14" spans="1:12">
      <c r="A14" s="1439" t="s">
        <v>1281</v>
      </c>
      <c r="B14" s="1439">
        <v>819</v>
      </c>
      <c r="C14" s="1981" t="s">
        <v>1276</v>
      </c>
      <c r="D14" s="1981"/>
      <c r="G14" s="1433"/>
      <c r="H14" s="1434"/>
      <c r="I14" s="1853"/>
      <c r="J14" s="1432"/>
      <c r="K14" s="1432"/>
    </row>
    <row r="15" spans="1:12">
      <c r="A15" s="1439" t="s">
        <v>1281</v>
      </c>
      <c r="B15" s="1439">
        <v>370</v>
      </c>
      <c r="C15" s="1981" t="s">
        <v>1277</v>
      </c>
      <c r="D15" s="1981"/>
      <c r="G15" s="1433"/>
      <c r="H15" s="1434"/>
      <c r="I15" s="1853"/>
      <c r="J15" s="1432"/>
      <c r="K15" s="1432"/>
    </row>
    <row r="16" spans="1:12">
      <c r="A16" s="1439" t="s">
        <v>1281</v>
      </c>
      <c r="B16" s="1439">
        <v>320</v>
      </c>
      <c r="C16" s="1981" t="s">
        <v>1278</v>
      </c>
      <c r="D16" s="1981"/>
      <c r="G16" s="1433"/>
      <c r="H16" s="1434"/>
      <c r="I16" s="1853"/>
      <c r="J16" s="1432"/>
      <c r="K16" s="1432"/>
    </row>
    <row r="17" spans="1:4">
      <c r="A17" s="1439" t="s">
        <v>1281</v>
      </c>
      <c r="B17" s="1439">
        <v>425</v>
      </c>
      <c r="C17" s="1981" t="s">
        <v>1279</v>
      </c>
      <c r="D17" s="1981"/>
    </row>
    <row r="18" spans="1:4">
      <c r="A18" s="1439" t="s">
        <v>1281</v>
      </c>
      <c r="B18" s="1439">
        <v>958</v>
      </c>
      <c r="C18" s="1981" t="s">
        <v>1900</v>
      </c>
      <c r="D18" s="1981">
        <v>-958</v>
      </c>
    </row>
    <row r="19" spans="1:4">
      <c r="A19" s="1441" t="s">
        <v>1281</v>
      </c>
      <c r="B19" s="1442">
        <v>1748</v>
      </c>
      <c r="C19" s="1982" t="s">
        <v>1901</v>
      </c>
      <c r="D19" s="1982">
        <v>-958</v>
      </c>
    </row>
    <row r="20" spans="1:4">
      <c r="A20" s="1438" t="s">
        <v>1282</v>
      </c>
      <c r="B20" s="1438">
        <v>450</v>
      </c>
      <c r="C20" s="1980" t="s">
        <v>1283</v>
      </c>
      <c r="D20" s="1980"/>
    </row>
    <row r="21" spans="1:4">
      <c r="A21" s="1439" t="s">
        <v>1282</v>
      </c>
      <c r="B21" s="1439">
        <v>425</v>
      </c>
      <c r="C21" s="1981" t="s">
        <v>1279</v>
      </c>
      <c r="D21" s="1981"/>
    </row>
    <row r="22" spans="1:4">
      <c r="A22" s="1439" t="s">
        <v>1282</v>
      </c>
      <c r="B22" s="1439">
        <v>433</v>
      </c>
      <c r="C22" s="1981" t="s">
        <v>1279</v>
      </c>
      <c r="D22" s="1981"/>
    </row>
    <row r="23" spans="1:4">
      <c r="A23" s="1439" t="s">
        <v>1282</v>
      </c>
      <c r="B23" s="1439">
        <v>640</v>
      </c>
      <c r="C23" s="1981" t="s">
        <v>1279</v>
      </c>
      <c r="D23" s="1981"/>
    </row>
    <row r="24" spans="1:4">
      <c r="A24" s="1439" t="s">
        <v>1282</v>
      </c>
      <c r="B24" s="1440">
        <v>3450</v>
      </c>
      <c r="C24" s="1981" t="s">
        <v>1284</v>
      </c>
      <c r="D24" s="1981"/>
    </row>
    <row r="25" spans="1:4">
      <c r="A25" s="1439" t="s">
        <v>1282</v>
      </c>
      <c r="B25" s="1440">
        <v>1416</v>
      </c>
      <c r="C25" s="1981" t="s">
        <v>1902</v>
      </c>
      <c r="D25" s="1981"/>
    </row>
    <row r="26" spans="1:4">
      <c r="A26" s="1439" t="s">
        <v>1282</v>
      </c>
      <c r="B26" s="1439">
        <v>280</v>
      </c>
      <c r="C26" s="1981" t="s">
        <v>1285</v>
      </c>
      <c r="D26" s="1981"/>
    </row>
    <row r="27" spans="1:4">
      <c r="A27" s="1439" t="s">
        <v>1282</v>
      </c>
      <c r="B27" s="1440">
        <v>730</v>
      </c>
      <c r="C27" s="1981" t="s">
        <v>1286</v>
      </c>
      <c r="D27" s="1981"/>
    </row>
    <row r="28" spans="1:4">
      <c r="A28" s="1438" t="s">
        <v>1287</v>
      </c>
      <c r="B28" s="1438">
        <v>920</v>
      </c>
      <c r="C28" s="1980" t="s">
        <v>1288</v>
      </c>
      <c r="D28" s="1980"/>
    </row>
    <row r="29" spans="1:4">
      <c r="A29" s="1439" t="s">
        <v>1287</v>
      </c>
      <c r="B29" s="1440">
        <v>1710</v>
      </c>
      <c r="C29" s="1981" t="s">
        <v>1289</v>
      </c>
      <c r="D29" s="1981"/>
    </row>
    <row r="30" spans="1:4">
      <c r="A30" s="1439" t="s">
        <v>1287</v>
      </c>
      <c r="B30" s="1440">
        <v>3930</v>
      </c>
      <c r="C30" s="1981" t="s">
        <v>1290</v>
      </c>
      <c r="D30" s="1981"/>
    </row>
    <row r="31" spans="1:4">
      <c r="A31" s="1439" t="s">
        <v>1287</v>
      </c>
      <c r="B31" s="1439">
        <v>370</v>
      </c>
      <c r="C31" s="1981" t="s">
        <v>1277</v>
      </c>
      <c r="D31" s="1981"/>
    </row>
    <row r="32" spans="1:4">
      <c r="A32" s="1441" t="s">
        <v>1287</v>
      </c>
      <c r="B32" s="1441">
        <v>320</v>
      </c>
      <c r="C32" s="1982" t="s">
        <v>1278</v>
      </c>
      <c r="D32" s="1982"/>
    </row>
    <row r="33" spans="1:4">
      <c r="A33" s="1438" t="s">
        <v>1291</v>
      </c>
      <c r="B33" s="1443">
        <v>1490</v>
      </c>
      <c r="C33" s="1980" t="s">
        <v>1292</v>
      </c>
      <c r="D33" s="1980"/>
    </row>
    <row r="34" spans="1:4">
      <c r="A34" s="1439" t="s">
        <v>1291</v>
      </c>
      <c r="B34" s="1440">
        <v>4490</v>
      </c>
      <c r="C34" s="1981" t="s">
        <v>1293</v>
      </c>
      <c r="D34" s="1981"/>
    </row>
    <row r="35" spans="1:4">
      <c r="A35" s="1439" t="s">
        <v>1291</v>
      </c>
      <c r="B35" s="1440">
        <v>2568</v>
      </c>
      <c r="C35" s="1981" t="s">
        <v>1903</v>
      </c>
      <c r="D35" s="1981"/>
    </row>
    <row r="36" spans="1:4">
      <c r="A36" s="1439" t="s">
        <v>1291</v>
      </c>
      <c r="B36" s="1440">
        <v>3366</v>
      </c>
      <c r="C36" s="1981" t="s">
        <v>1294</v>
      </c>
      <c r="D36" s="1981"/>
    </row>
    <row r="37" spans="1:4">
      <c r="A37" s="1439" t="s">
        <v>1291</v>
      </c>
      <c r="B37" s="1440">
        <v>3024</v>
      </c>
      <c r="C37" s="1981" t="s">
        <v>1295</v>
      </c>
      <c r="D37" s="1981"/>
    </row>
    <row r="38" spans="1:4">
      <c r="A38" s="1439" t="s">
        <v>1291</v>
      </c>
      <c r="B38" s="1439">
        <v>455</v>
      </c>
      <c r="C38" s="1981" t="s">
        <v>1904</v>
      </c>
      <c r="D38" s="1981"/>
    </row>
    <row r="39" spans="1:4">
      <c r="A39" s="1439" t="s">
        <v>1291</v>
      </c>
      <c r="B39" s="1439">
        <v>947</v>
      </c>
      <c r="C39" s="1981" t="s">
        <v>1905</v>
      </c>
      <c r="D39" s="1981">
        <v>-947</v>
      </c>
    </row>
    <row r="40" spans="1:4">
      <c r="A40" s="1439" t="s">
        <v>1291</v>
      </c>
      <c r="B40" s="1440">
        <v>1307</v>
      </c>
      <c r="C40" s="1981" t="s">
        <v>1905</v>
      </c>
      <c r="D40" s="1981">
        <v>-1307</v>
      </c>
    </row>
    <row r="41" spans="1:4">
      <c r="A41" s="1441" t="s">
        <v>1291</v>
      </c>
      <c r="B41" s="1442">
        <v>2250</v>
      </c>
      <c r="C41" s="1982" t="s">
        <v>1906</v>
      </c>
      <c r="D41" s="1982">
        <v>-1743</v>
      </c>
    </row>
  </sheetData>
  <mergeCells count="1">
    <mergeCell ref="G3:H3"/>
  </mergeCells>
  <phoneticPr fontId="8"/>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zoomScaleNormal="100" zoomScaleSheetLayoutView="100" workbookViewId="0">
      <pane ySplit="3" topLeftCell="A4" activePane="bottomLeft" state="frozen"/>
      <selection pane="bottomLeft" activeCell="B14" sqref="B14"/>
    </sheetView>
  </sheetViews>
  <sheetFormatPr defaultRowHeight="11.25"/>
  <cols>
    <col min="2" max="2" width="10.5" customWidth="1"/>
    <col min="3" max="3" width="11.33203125" customWidth="1"/>
    <col min="4" max="4" width="71.83203125" style="2093" customWidth="1"/>
  </cols>
  <sheetData>
    <row r="1" spans="1:11">
      <c r="G1" t="s">
        <v>2255</v>
      </c>
      <c r="H1" t="s">
        <v>2256</v>
      </c>
      <c r="I1" t="s">
        <v>2257</v>
      </c>
      <c r="J1" t="s">
        <v>2258</v>
      </c>
      <c r="K1" t="s">
        <v>2259</v>
      </c>
    </row>
    <row r="2" spans="1:11">
      <c r="A2" t="s">
        <v>2250</v>
      </c>
    </row>
    <row r="3" spans="1:11">
      <c r="A3" s="2091" t="s">
        <v>2251</v>
      </c>
      <c r="B3" s="2091" t="s">
        <v>2252</v>
      </c>
      <c r="C3" s="2091" t="s">
        <v>2253</v>
      </c>
      <c r="D3" s="2092" t="s">
        <v>2260</v>
      </c>
      <c r="E3" s="2091" t="s">
        <v>2254</v>
      </c>
    </row>
    <row r="4" spans="1:11">
      <c r="A4" s="2090">
        <v>43997</v>
      </c>
      <c r="B4" t="s">
        <v>2304</v>
      </c>
      <c r="E4" t="s">
        <v>2305</v>
      </c>
    </row>
    <row r="5" spans="1:11">
      <c r="A5" s="2090">
        <v>44249</v>
      </c>
      <c r="B5" t="s">
        <v>2306</v>
      </c>
      <c r="D5" s="2093" t="s">
        <v>2313</v>
      </c>
      <c r="E5" t="s">
        <v>2307</v>
      </c>
    </row>
    <row r="6" spans="1:11">
      <c r="A6" s="2090">
        <v>44249</v>
      </c>
      <c r="B6" t="s">
        <v>2257</v>
      </c>
      <c r="D6" s="2093" t="s">
        <v>2320</v>
      </c>
      <c r="E6" s="2100" t="s">
        <v>2307</v>
      </c>
    </row>
    <row r="7" spans="1:11">
      <c r="A7" s="2090">
        <v>44249</v>
      </c>
      <c r="B7" s="2100" t="s">
        <v>2257</v>
      </c>
      <c r="D7" s="2093" t="s">
        <v>2312</v>
      </c>
      <c r="E7" s="2100" t="s">
        <v>2307</v>
      </c>
    </row>
    <row r="8" spans="1:11">
      <c r="A8" s="2090">
        <v>44251</v>
      </c>
      <c r="B8" t="s">
        <v>2257</v>
      </c>
      <c r="D8" s="2093" t="s">
        <v>2322</v>
      </c>
      <c r="E8" s="4" t="s">
        <v>2317</v>
      </c>
    </row>
    <row r="9" spans="1:11">
      <c r="A9" s="2090">
        <v>44251</v>
      </c>
      <c r="B9" s="2241" t="s">
        <v>2257</v>
      </c>
      <c r="C9" s="2241"/>
      <c r="D9" s="2093" t="s">
        <v>2321</v>
      </c>
      <c r="E9" s="4" t="s">
        <v>2317</v>
      </c>
    </row>
    <row r="10" spans="1:11">
      <c r="A10" s="2090">
        <v>44251</v>
      </c>
      <c r="B10" s="2241" t="s">
        <v>2257</v>
      </c>
      <c r="C10" s="2241"/>
      <c r="D10" s="2093" t="s">
        <v>2324</v>
      </c>
      <c r="E10" s="4" t="s">
        <v>2317</v>
      </c>
    </row>
    <row r="11" spans="1:11" ht="45">
      <c r="A11" s="2090">
        <v>44251</v>
      </c>
      <c r="B11" t="s">
        <v>2257</v>
      </c>
      <c r="D11" s="2093" t="s">
        <v>2326</v>
      </c>
      <c r="E11" s="4" t="s">
        <v>2332</v>
      </c>
    </row>
    <row r="12" spans="1:11" ht="90">
      <c r="A12" s="2090">
        <v>44259</v>
      </c>
      <c r="B12" t="s">
        <v>2257</v>
      </c>
      <c r="D12" s="2093" t="s">
        <v>2357</v>
      </c>
      <c r="E12" s="4" t="s">
        <v>2332</v>
      </c>
    </row>
    <row r="13" spans="1:11" ht="45">
      <c r="A13" s="2090">
        <v>44274</v>
      </c>
      <c r="B13" s="2275" t="s">
        <v>2257</v>
      </c>
      <c r="D13" s="2093" t="s">
        <v>2361</v>
      </c>
      <c r="E13" s="4" t="s">
        <v>2360</v>
      </c>
    </row>
    <row r="14" spans="1:11" ht="33.75">
      <c r="A14" s="2090">
        <v>44274</v>
      </c>
      <c r="B14" s="2320" t="s">
        <v>2259</v>
      </c>
      <c r="D14" s="2093" t="s">
        <v>2369</v>
      </c>
      <c r="E14" s="4" t="s">
        <v>2360</v>
      </c>
    </row>
    <row r="15" spans="1:11">
      <c r="A15" s="2090"/>
    </row>
    <row r="16" spans="1:11">
      <c r="A16" s="2090"/>
    </row>
    <row r="17" spans="1:1">
      <c r="A17" s="2090"/>
    </row>
    <row r="18" spans="1:1">
      <c r="A18" s="2090"/>
    </row>
    <row r="19" spans="1:1">
      <c r="A19" s="2090"/>
    </row>
    <row r="20" spans="1:1">
      <c r="A20" s="2090"/>
    </row>
    <row r="21" spans="1:1">
      <c r="A21" s="2090"/>
    </row>
    <row r="22" spans="1:1">
      <c r="A22" s="2090"/>
    </row>
    <row r="23" spans="1:1">
      <c r="A23" s="2090"/>
    </row>
    <row r="24" spans="1:1">
      <c r="A24" s="2090"/>
    </row>
    <row r="25" spans="1:1">
      <c r="A25" s="2090"/>
    </row>
    <row r="26" spans="1:1">
      <c r="A26" s="2090"/>
    </row>
    <row r="27" spans="1:1">
      <c r="A27" s="2090"/>
    </row>
    <row r="28" spans="1:1">
      <c r="A28" s="2090"/>
    </row>
    <row r="29" spans="1:1">
      <c r="A29" s="2090"/>
    </row>
    <row r="30" spans="1:1">
      <c r="A30" s="2090"/>
    </row>
    <row r="31" spans="1:1">
      <c r="A31" s="2090"/>
    </row>
    <row r="32" spans="1:1">
      <c r="A32" s="2090"/>
    </row>
    <row r="33" spans="1:1">
      <c r="A33" s="2090"/>
    </row>
    <row r="34" spans="1:1">
      <c r="A34" s="2090"/>
    </row>
    <row r="35" spans="1:1">
      <c r="A35" s="2090"/>
    </row>
    <row r="36" spans="1:1">
      <c r="A36" s="2090"/>
    </row>
    <row r="37" spans="1:1">
      <c r="A37" s="2090"/>
    </row>
    <row r="38" spans="1:1">
      <c r="A38" s="2090"/>
    </row>
    <row r="39" spans="1:1">
      <c r="A39" s="2090"/>
    </row>
    <row r="40" spans="1:1">
      <c r="A40" s="2090"/>
    </row>
    <row r="41" spans="1:1">
      <c r="A41" s="2090"/>
    </row>
    <row r="42" spans="1:1">
      <c r="A42" s="2090"/>
    </row>
    <row r="43" spans="1:1">
      <c r="A43" s="2090"/>
    </row>
    <row r="44" spans="1:1">
      <c r="A44" s="2090"/>
    </row>
    <row r="45" spans="1:1">
      <c r="A45" s="2090"/>
    </row>
    <row r="46" spans="1:1">
      <c r="A46" s="2090"/>
    </row>
    <row r="47" spans="1:1">
      <c r="A47" s="2090"/>
    </row>
    <row r="48" spans="1:1">
      <c r="A48" s="2090"/>
    </row>
    <row r="49" spans="1:1">
      <c r="A49" s="2090"/>
    </row>
    <row r="50" spans="1:1">
      <c r="A50" s="2090"/>
    </row>
    <row r="51" spans="1:1">
      <c r="A51" s="2090"/>
    </row>
    <row r="52" spans="1:1">
      <c r="A52" s="2090"/>
    </row>
    <row r="53" spans="1:1">
      <c r="A53" s="2090"/>
    </row>
    <row r="54" spans="1:1">
      <c r="A54" s="2090"/>
    </row>
    <row r="55" spans="1:1">
      <c r="A55" s="2090"/>
    </row>
    <row r="56" spans="1:1">
      <c r="A56" s="2090"/>
    </row>
    <row r="57" spans="1:1">
      <c r="A57" s="2090"/>
    </row>
    <row r="58" spans="1:1">
      <c r="A58" s="2090"/>
    </row>
    <row r="59" spans="1:1">
      <c r="A59" s="2090"/>
    </row>
    <row r="60" spans="1:1">
      <c r="A60" s="2090"/>
    </row>
    <row r="61" spans="1:1">
      <c r="A61" s="2090"/>
    </row>
    <row r="62" spans="1:1">
      <c r="A62" s="2090"/>
    </row>
    <row r="63" spans="1:1">
      <c r="A63" s="2090"/>
    </row>
    <row r="64" spans="1:1">
      <c r="A64" s="2090"/>
    </row>
    <row r="65" spans="1:1">
      <c r="A65" s="2090"/>
    </row>
    <row r="66" spans="1:1">
      <c r="A66" s="2090"/>
    </row>
    <row r="67" spans="1:1">
      <c r="A67" s="2090"/>
    </row>
    <row r="68" spans="1:1">
      <c r="A68" s="2090"/>
    </row>
    <row r="69" spans="1:1">
      <c r="A69" s="2090"/>
    </row>
    <row r="70" spans="1:1">
      <c r="A70" s="2090"/>
    </row>
    <row r="71" spans="1:1">
      <c r="A71" s="2090"/>
    </row>
    <row r="72" spans="1:1">
      <c r="A72" s="2090"/>
    </row>
    <row r="73" spans="1:1">
      <c r="A73" s="2090"/>
    </row>
    <row r="74" spans="1:1">
      <c r="A74" s="2090"/>
    </row>
    <row r="75" spans="1:1">
      <c r="A75" s="2090"/>
    </row>
    <row r="76" spans="1:1">
      <c r="A76" s="2090"/>
    </row>
    <row r="77" spans="1:1">
      <c r="A77" s="2090"/>
    </row>
    <row r="78" spans="1:1">
      <c r="A78" s="2090"/>
    </row>
    <row r="79" spans="1:1">
      <c r="A79" s="2090"/>
    </row>
    <row r="80" spans="1:1">
      <c r="A80" s="2090"/>
    </row>
    <row r="81" spans="1:1">
      <c r="A81" s="2090"/>
    </row>
    <row r="82" spans="1:1">
      <c r="A82" s="2090"/>
    </row>
    <row r="83" spans="1:1">
      <c r="A83" s="2090"/>
    </row>
    <row r="84" spans="1:1">
      <c r="A84" s="2090"/>
    </row>
    <row r="85" spans="1:1">
      <c r="A85" s="2090"/>
    </row>
    <row r="86" spans="1:1">
      <c r="A86" s="2090"/>
    </row>
    <row r="87" spans="1:1">
      <c r="A87" s="2090"/>
    </row>
    <row r="88" spans="1:1">
      <c r="A88" s="2090"/>
    </row>
    <row r="89" spans="1:1">
      <c r="A89" s="2090"/>
    </row>
    <row r="90" spans="1:1">
      <c r="A90" s="2090"/>
    </row>
    <row r="91" spans="1:1">
      <c r="A91" s="2090"/>
    </row>
    <row r="92" spans="1:1">
      <c r="A92" s="2090"/>
    </row>
    <row r="93" spans="1:1">
      <c r="A93" s="2090"/>
    </row>
    <row r="94" spans="1:1">
      <c r="A94" s="2090"/>
    </row>
    <row r="95" spans="1:1">
      <c r="A95" s="2090"/>
    </row>
    <row r="96" spans="1:1">
      <c r="A96" s="2090"/>
    </row>
    <row r="97" spans="1:1">
      <c r="A97" s="2090"/>
    </row>
    <row r="98" spans="1:1">
      <c r="A98" s="2090"/>
    </row>
    <row r="99" spans="1:1">
      <c r="A99" s="2090"/>
    </row>
    <row r="100" spans="1:1">
      <c r="A100" s="2090"/>
    </row>
    <row r="101" spans="1:1">
      <c r="A101" s="2090"/>
    </row>
    <row r="102" spans="1:1">
      <c r="A102" s="2090"/>
    </row>
    <row r="103" spans="1:1">
      <c r="A103" s="2090"/>
    </row>
    <row r="104" spans="1:1">
      <c r="A104" s="2090"/>
    </row>
    <row r="105" spans="1:1">
      <c r="A105" s="2090"/>
    </row>
    <row r="106" spans="1:1">
      <c r="A106" s="2090"/>
    </row>
    <row r="107" spans="1:1">
      <c r="A107" s="2090"/>
    </row>
    <row r="108" spans="1:1">
      <c r="A108" s="2090"/>
    </row>
    <row r="109" spans="1:1">
      <c r="A109" s="2090"/>
    </row>
    <row r="110" spans="1:1">
      <c r="A110" s="2090"/>
    </row>
    <row r="111" spans="1:1">
      <c r="A111" s="2090"/>
    </row>
    <row r="112" spans="1:1">
      <c r="A112" s="2090"/>
    </row>
    <row r="113" spans="1:1">
      <c r="A113" s="2090"/>
    </row>
    <row r="114" spans="1:1">
      <c r="A114" s="2090"/>
    </row>
    <row r="115" spans="1:1">
      <c r="A115" s="2090"/>
    </row>
    <row r="116" spans="1:1">
      <c r="A116" s="2090"/>
    </row>
    <row r="117" spans="1:1">
      <c r="A117" s="2090"/>
    </row>
    <row r="118" spans="1:1">
      <c r="A118" s="2090"/>
    </row>
    <row r="119" spans="1:1">
      <c r="A119" s="2090"/>
    </row>
    <row r="120" spans="1:1">
      <c r="A120" s="2090"/>
    </row>
    <row r="121" spans="1:1">
      <c r="A121" s="2090"/>
    </row>
    <row r="122" spans="1:1">
      <c r="A122" s="2090"/>
    </row>
    <row r="123" spans="1:1">
      <c r="A123" s="2090"/>
    </row>
    <row r="124" spans="1:1">
      <c r="A124" s="2090"/>
    </row>
    <row r="125" spans="1:1">
      <c r="A125" s="2090"/>
    </row>
    <row r="126" spans="1:1">
      <c r="A126" s="2090"/>
    </row>
    <row r="127" spans="1:1">
      <c r="A127" s="2090"/>
    </row>
    <row r="128" spans="1:1">
      <c r="A128" s="2090"/>
    </row>
    <row r="129" spans="1:1">
      <c r="A129" s="2090"/>
    </row>
    <row r="130" spans="1:1">
      <c r="A130" s="2090"/>
    </row>
    <row r="131" spans="1:1">
      <c r="A131" s="2090"/>
    </row>
    <row r="132" spans="1:1">
      <c r="A132" s="2090"/>
    </row>
    <row r="133" spans="1:1">
      <c r="A133" s="2090"/>
    </row>
    <row r="134" spans="1:1">
      <c r="A134" s="2090"/>
    </row>
    <row r="135" spans="1:1">
      <c r="A135" s="2090"/>
    </row>
    <row r="136" spans="1:1">
      <c r="A136" s="2090"/>
    </row>
    <row r="137" spans="1:1">
      <c r="A137" s="2090"/>
    </row>
    <row r="138" spans="1:1">
      <c r="A138" s="2090"/>
    </row>
    <row r="139" spans="1:1">
      <c r="A139" s="2090"/>
    </row>
    <row r="140" spans="1:1">
      <c r="A140" s="2090"/>
    </row>
    <row r="141" spans="1:1">
      <c r="A141" s="2090"/>
    </row>
    <row r="142" spans="1:1">
      <c r="A142" s="2090"/>
    </row>
    <row r="143" spans="1:1">
      <c r="A143" s="2090"/>
    </row>
    <row r="144" spans="1:1">
      <c r="A144" s="2090"/>
    </row>
    <row r="145" spans="1:1">
      <c r="A145" s="2090"/>
    </row>
    <row r="146" spans="1:1">
      <c r="A146" s="2090"/>
    </row>
    <row r="147" spans="1:1">
      <c r="A147" s="2090"/>
    </row>
    <row r="148" spans="1:1">
      <c r="A148" s="2090"/>
    </row>
    <row r="149" spans="1:1">
      <c r="A149" s="2090"/>
    </row>
    <row r="150" spans="1:1">
      <c r="A150" s="2090"/>
    </row>
    <row r="151" spans="1:1">
      <c r="A151" s="2090"/>
    </row>
    <row r="152" spans="1:1">
      <c r="A152" s="2090"/>
    </row>
    <row r="153" spans="1:1">
      <c r="A153" s="2090"/>
    </row>
    <row r="154" spans="1:1">
      <c r="A154" s="2090"/>
    </row>
    <row r="155" spans="1:1">
      <c r="A155" s="2090"/>
    </row>
    <row r="156" spans="1:1">
      <c r="A156" s="2090"/>
    </row>
    <row r="157" spans="1:1">
      <c r="A157" s="2090"/>
    </row>
  </sheetData>
  <phoneticPr fontId="8"/>
  <dataValidations count="1">
    <dataValidation type="list" allowBlank="1" showInputMessage="1" showErrorMessage="1" sqref="B4:B109">
      <formula1>$G$1:$K$1</formula1>
    </dataValidation>
  </dataValidations>
  <pageMargins left="0.7" right="0.7" top="0.75" bottom="0.75" header="0.3" footer="0.3"/>
  <pageSetup paperSize="9" scale="9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6"/>
    <pageSetUpPr fitToPage="1"/>
  </sheetPr>
  <dimension ref="A1:V173"/>
  <sheetViews>
    <sheetView zoomScaleNormal="100" workbookViewId="0">
      <selection activeCell="F20" sqref="F20"/>
    </sheetView>
  </sheetViews>
  <sheetFormatPr defaultColWidth="12" defaultRowHeight="15.75" customHeight="1"/>
  <cols>
    <col min="1" max="1" width="1" style="457" customWidth="1"/>
    <col min="2" max="2" width="10" style="457" bestFit="1" customWidth="1"/>
    <col min="3" max="3" width="5.1640625" style="457" customWidth="1"/>
    <col min="4" max="4" width="27.6640625" style="457" customWidth="1"/>
    <col min="5" max="5" width="6" style="457" bestFit="1" customWidth="1"/>
    <col min="6" max="6" width="9.5" style="457" customWidth="1"/>
    <col min="7" max="7" width="3.33203125" style="457" customWidth="1"/>
    <col min="8" max="8" width="9.5" style="457" customWidth="1"/>
    <col min="9" max="9" width="3.33203125" style="457" customWidth="1"/>
    <col min="10" max="10" width="9.5" style="457" customWidth="1"/>
    <col min="11" max="11" width="3.33203125" style="457" customWidth="1"/>
    <col min="12" max="12" width="9.5" style="457" customWidth="1"/>
    <col min="13" max="13" width="3.33203125" style="457" customWidth="1"/>
    <col min="14" max="14" width="9.5" style="457" customWidth="1"/>
    <col min="15" max="15" width="3.33203125" style="457" customWidth="1"/>
    <col min="16" max="16" width="9.5" style="457" customWidth="1"/>
    <col min="17" max="17" width="3.33203125" style="457" customWidth="1"/>
    <col min="18" max="18" width="9.5" style="457" customWidth="1"/>
    <col min="19" max="19" width="3.33203125" style="457" customWidth="1"/>
    <col min="20" max="20" width="9.5" style="457" customWidth="1"/>
    <col min="21" max="21" width="7.33203125" style="457" customWidth="1"/>
    <col min="22" max="16384" width="12" style="457"/>
  </cols>
  <sheetData>
    <row r="1" spans="1:21" s="456" customFormat="1" ht="15.75" customHeight="1"/>
    <row r="2" spans="1:21" ht="11.25">
      <c r="B2" s="458"/>
      <c r="C2" s="458"/>
      <c r="D2" s="458"/>
      <c r="E2" s="458"/>
      <c r="F2" s="458"/>
      <c r="G2" s="458"/>
      <c r="H2" s="458"/>
      <c r="I2" s="458"/>
      <c r="J2" s="458"/>
      <c r="K2" s="458"/>
      <c r="L2" s="458"/>
      <c r="M2" s="458"/>
      <c r="N2" s="458"/>
      <c r="O2" s="458"/>
      <c r="P2" s="458"/>
      <c r="Q2" s="458"/>
      <c r="R2" s="458"/>
      <c r="S2" s="458"/>
      <c r="T2" s="458"/>
    </row>
    <row r="3" spans="1:21" ht="15.75" customHeight="1">
      <c r="B3" s="458"/>
      <c r="C3" s="458"/>
      <c r="D3" s="458"/>
      <c r="E3" s="458"/>
      <c r="F3" s="1634" t="str">
        <f>HYPERLINK("#B"&amp;A6,"主体基礎")</f>
        <v>主体基礎</v>
      </c>
      <c r="G3" s="458"/>
      <c r="H3" s="1634" t="str">
        <f>HYPERLINK("#B"&amp;A39,"各種構造")</f>
        <v>各種構造</v>
      </c>
      <c r="I3" s="458"/>
      <c r="J3" s="1634" t="str">
        <f>HYPERLINK("#B"&amp;A55,"各種骨組")</f>
        <v>各種骨組</v>
      </c>
      <c r="K3" s="458"/>
      <c r="L3" s="1634" t="str">
        <f>HYPERLINK("#B"&amp;A71,"外壁仕上")</f>
        <v>外壁仕上</v>
      </c>
      <c r="M3" s="458"/>
      <c r="N3" s="1634" t="str">
        <f>HYPERLINK("#B"&amp;A89,"内壁仕上")</f>
        <v>内壁仕上</v>
      </c>
      <c r="O3" s="458"/>
      <c r="P3" s="1634" t="str">
        <f>HYPERLINK("#B"&amp;A113,"床 仕 上")</f>
        <v>床 仕 上</v>
      </c>
      <c r="Q3" s="458"/>
      <c r="R3" s="1634" t="str">
        <f>HYPERLINK("#B"&amp;A137,"天井仕上")</f>
        <v>天井仕上</v>
      </c>
      <c r="S3" s="458"/>
      <c r="T3" s="1634" t="str">
        <f>HYPERLINK("#B"&amp;A155,"屋根仕上")</f>
        <v>屋根仕上</v>
      </c>
    </row>
    <row r="4" spans="1:21" ht="11.25">
      <c r="B4" s="458"/>
      <c r="C4" s="458"/>
      <c r="D4" s="458"/>
      <c r="E4" s="458"/>
      <c r="F4" s="458"/>
      <c r="G4" s="458"/>
      <c r="H4" s="458"/>
      <c r="I4" s="458"/>
      <c r="J4" s="458"/>
      <c r="K4" s="458"/>
      <c r="L4" s="458"/>
      <c r="M4" s="458"/>
      <c r="N4" s="458"/>
      <c r="O4" s="458"/>
      <c r="P4" s="458"/>
      <c r="Q4" s="458"/>
      <c r="R4" s="458"/>
      <c r="S4" s="458"/>
      <c r="T4" s="458"/>
    </row>
    <row r="5" spans="1:21" ht="15.75" customHeight="1">
      <c r="B5" s="459" t="s">
        <v>991</v>
      </c>
      <c r="C5" s="459"/>
      <c r="D5" s="460"/>
      <c r="E5" s="221"/>
      <c r="F5" s="221"/>
      <c r="G5" s="221"/>
      <c r="H5" s="221"/>
      <c r="I5" s="221"/>
      <c r="J5" s="221"/>
      <c r="K5" s="221"/>
      <c r="L5" s="221"/>
      <c r="M5" s="221"/>
      <c r="N5" s="221"/>
      <c r="O5" s="221"/>
      <c r="P5" s="221"/>
      <c r="Q5" s="221"/>
      <c r="R5" s="221"/>
      <c r="S5" s="221"/>
      <c r="T5" s="221"/>
      <c r="U5" s="457" t="b">
        <v>1</v>
      </c>
    </row>
    <row r="6" spans="1:21" ht="15.75" customHeight="1">
      <c r="A6" s="457">
        <f>ROW()</f>
        <v>6</v>
      </c>
      <c r="B6" s="3221" t="s">
        <v>992</v>
      </c>
      <c r="C6" s="461" t="s">
        <v>993</v>
      </c>
      <c r="D6" s="462"/>
      <c r="E6" s="463"/>
      <c r="F6" s="463"/>
      <c r="G6" s="463"/>
      <c r="H6" s="463"/>
      <c r="I6" s="463"/>
      <c r="J6" s="463"/>
      <c r="K6" s="463"/>
      <c r="L6" s="463"/>
      <c r="M6" s="463"/>
      <c r="N6" s="463"/>
      <c r="O6" s="463"/>
      <c r="P6" s="463"/>
      <c r="Q6" s="463"/>
      <c r="R6" s="463"/>
      <c r="S6" s="463"/>
      <c r="T6" s="464"/>
      <c r="U6" s="465" t="b">
        <f>SUM(T6:T14)&lt;&gt;0</f>
        <v>0</v>
      </c>
    </row>
    <row r="7" spans="1:21" ht="15.75" customHeight="1">
      <c r="B7" s="3221"/>
      <c r="C7" s="3227"/>
      <c r="D7" s="3233"/>
      <c r="E7" s="467" t="s">
        <v>994</v>
      </c>
      <c r="F7" s="468"/>
      <c r="G7" s="469" t="s">
        <v>995</v>
      </c>
      <c r="H7" s="470"/>
      <c r="I7" s="469" t="s">
        <v>995</v>
      </c>
      <c r="J7" s="470"/>
      <c r="K7" s="469" t="s">
        <v>995</v>
      </c>
      <c r="L7" s="470"/>
      <c r="M7" s="469" t="s">
        <v>995</v>
      </c>
      <c r="N7" s="470"/>
      <c r="O7" s="469" t="s">
        <v>995</v>
      </c>
      <c r="P7" s="470"/>
      <c r="Q7" s="469" t="s">
        <v>995</v>
      </c>
      <c r="R7" s="470"/>
      <c r="S7" s="471" t="s">
        <v>996</v>
      </c>
      <c r="T7" s="472">
        <f>SUM(F7:R7)</f>
        <v>0</v>
      </c>
      <c r="U7" s="457" t="b">
        <f>T7&lt;&gt;0</f>
        <v>0</v>
      </c>
    </row>
    <row r="8" spans="1:21" ht="15.75" customHeight="1">
      <c r="B8" s="3221"/>
      <c r="C8" s="3227"/>
      <c r="D8" s="3233"/>
      <c r="E8" s="473" t="s">
        <v>994</v>
      </c>
      <c r="F8" s="468"/>
      <c r="G8" s="474" t="s">
        <v>995</v>
      </c>
      <c r="H8" s="475"/>
      <c r="I8" s="474" t="s">
        <v>995</v>
      </c>
      <c r="J8" s="475"/>
      <c r="K8" s="474" t="s">
        <v>995</v>
      </c>
      <c r="L8" s="475"/>
      <c r="M8" s="474" t="s">
        <v>995</v>
      </c>
      <c r="N8" s="475"/>
      <c r="O8" s="474" t="s">
        <v>995</v>
      </c>
      <c r="P8" s="475"/>
      <c r="Q8" s="474" t="s">
        <v>995</v>
      </c>
      <c r="R8" s="475"/>
      <c r="S8" s="476" t="s">
        <v>996</v>
      </c>
      <c r="T8" s="477">
        <f>SUM(F8:R8)</f>
        <v>0</v>
      </c>
      <c r="U8" s="457" t="b">
        <f>T8&lt;&gt;0</f>
        <v>0</v>
      </c>
    </row>
    <row r="9" spans="1:21" ht="15.75" customHeight="1">
      <c r="B9" s="3221"/>
      <c r="C9" s="3227"/>
      <c r="D9" s="3233"/>
      <c r="E9" s="473" t="s">
        <v>994</v>
      </c>
      <c r="F9" s="468"/>
      <c r="G9" s="474" t="s">
        <v>995</v>
      </c>
      <c r="H9" s="475"/>
      <c r="I9" s="474" t="s">
        <v>995</v>
      </c>
      <c r="J9" s="475"/>
      <c r="K9" s="474" t="s">
        <v>995</v>
      </c>
      <c r="L9" s="475"/>
      <c r="M9" s="474" t="s">
        <v>995</v>
      </c>
      <c r="N9" s="475"/>
      <c r="O9" s="474" t="s">
        <v>995</v>
      </c>
      <c r="P9" s="475"/>
      <c r="Q9" s="474" t="s">
        <v>995</v>
      </c>
      <c r="R9" s="475"/>
      <c r="S9" s="476" t="s">
        <v>996</v>
      </c>
      <c r="T9" s="477">
        <f>SUM(F9:R9)</f>
        <v>0</v>
      </c>
      <c r="U9" s="457" t="b">
        <f>T9&lt;&gt;0</f>
        <v>0</v>
      </c>
    </row>
    <row r="10" spans="1:21" ht="15.75" customHeight="1">
      <c r="A10" s="457">
        <f>ROW()</f>
        <v>10</v>
      </c>
      <c r="B10" s="3221"/>
      <c r="C10" s="3240" t="s">
        <v>2198</v>
      </c>
      <c r="D10" s="3241"/>
      <c r="E10" s="463"/>
      <c r="F10" s="463"/>
      <c r="G10" s="463"/>
      <c r="H10" s="463"/>
      <c r="I10" s="463"/>
      <c r="J10" s="463"/>
      <c r="K10" s="463"/>
      <c r="L10" s="463"/>
      <c r="M10" s="463"/>
      <c r="N10" s="463"/>
      <c r="O10" s="463"/>
      <c r="P10" s="463"/>
      <c r="Q10" s="463"/>
      <c r="R10" s="463"/>
      <c r="S10" s="463"/>
      <c r="T10" s="464"/>
      <c r="U10" s="465" t="b">
        <f>SUM(T10:T18)&lt;&gt;0</f>
        <v>0</v>
      </c>
    </row>
    <row r="11" spans="1:21" ht="15.75" customHeight="1">
      <c r="B11" s="3221"/>
      <c r="C11" s="3227"/>
      <c r="D11" s="3233"/>
      <c r="E11" s="467" t="s">
        <v>994</v>
      </c>
      <c r="F11" s="468"/>
      <c r="G11" s="469" t="s">
        <v>995</v>
      </c>
      <c r="H11" s="470"/>
      <c r="I11" s="469" t="s">
        <v>995</v>
      </c>
      <c r="J11" s="470"/>
      <c r="K11" s="469" t="s">
        <v>995</v>
      </c>
      <c r="L11" s="470"/>
      <c r="M11" s="469" t="s">
        <v>995</v>
      </c>
      <c r="N11" s="470"/>
      <c r="O11" s="469" t="s">
        <v>995</v>
      </c>
      <c r="P11" s="470"/>
      <c r="Q11" s="469" t="s">
        <v>995</v>
      </c>
      <c r="R11" s="470"/>
      <c r="S11" s="471" t="s">
        <v>559</v>
      </c>
      <c r="T11" s="472">
        <f>SUM(F11:R11)</f>
        <v>0</v>
      </c>
      <c r="U11" s="457" t="b">
        <f>T11&lt;&gt;0</f>
        <v>0</v>
      </c>
    </row>
    <row r="12" spans="1:21" ht="15.75" customHeight="1">
      <c r="B12" s="3221"/>
      <c r="C12" s="3227"/>
      <c r="D12" s="3233"/>
      <c r="E12" s="473" t="s">
        <v>994</v>
      </c>
      <c r="F12" s="468"/>
      <c r="G12" s="474" t="s">
        <v>995</v>
      </c>
      <c r="H12" s="2025"/>
      <c r="I12" s="474" t="s">
        <v>995</v>
      </c>
      <c r="J12" s="2025"/>
      <c r="K12" s="474" t="s">
        <v>995</v>
      </c>
      <c r="L12" s="2025"/>
      <c r="M12" s="474" t="s">
        <v>995</v>
      </c>
      <c r="N12" s="2025"/>
      <c r="O12" s="474" t="s">
        <v>995</v>
      </c>
      <c r="P12" s="2025"/>
      <c r="Q12" s="474" t="s">
        <v>995</v>
      </c>
      <c r="R12" s="2025"/>
      <c r="S12" s="476" t="s">
        <v>559</v>
      </c>
      <c r="T12" s="477">
        <f>SUM(F12:R12)</f>
        <v>0</v>
      </c>
      <c r="U12" s="457" t="b">
        <f>T12&lt;&gt;0</f>
        <v>0</v>
      </c>
    </row>
    <row r="13" spans="1:21" ht="15.75" customHeight="1">
      <c r="B13" s="3221"/>
      <c r="C13" s="3227"/>
      <c r="D13" s="3233"/>
      <c r="E13" s="473" t="s">
        <v>994</v>
      </c>
      <c r="F13" s="468"/>
      <c r="G13" s="474" t="s">
        <v>995</v>
      </c>
      <c r="H13" s="2025"/>
      <c r="I13" s="474" t="s">
        <v>995</v>
      </c>
      <c r="J13" s="2025"/>
      <c r="K13" s="474" t="s">
        <v>995</v>
      </c>
      <c r="L13" s="2025"/>
      <c r="M13" s="474" t="s">
        <v>995</v>
      </c>
      <c r="N13" s="2025"/>
      <c r="O13" s="474" t="s">
        <v>995</v>
      </c>
      <c r="P13" s="2025"/>
      <c r="Q13" s="474" t="s">
        <v>995</v>
      </c>
      <c r="R13" s="2025"/>
      <c r="S13" s="476" t="s">
        <v>559</v>
      </c>
      <c r="T13" s="477">
        <f>SUM(F13:R13)</f>
        <v>0</v>
      </c>
      <c r="U13" s="457" t="b">
        <f>T13&lt;&gt;0</f>
        <v>0</v>
      </c>
    </row>
    <row r="14" spans="1:21" ht="15.75" customHeight="1">
      <c r="A14" s="457">
        <f>ROW()</f>
        <v>14</v>
      </c>
      <c r="B14" s="3221"/>
      <c r="C14" s="461" t="s">
        <v>997</v>
      </c>
      <c r="D14" s="462"/>
      <c r="E14" s="463"/>
      <c r="F14" s="463"/>
      <c r="G14" s="463"/>
      <c r="H14" s="463"/>
      <c r="I14" s="463"/>
      <c r="J14" s="463"/>
      <c r="K14" s="463"/>
      <c r="L14" s="463"/>
      <c r="M14" s="463"/>
      <c r="N14" s="463"/>
      <c r="O14" s="463"/>
      <c r="P14" s="463"/>
      <c r="Q14" s="463"/>
      <c r="R14" s="463"/>
      <c r="S14" s="463"/>
      <c r="T14" s="464"/>
      <c r="U14" s="457" t="b">
        <f>SUM(T14:T16)&lt;&gt;0</f>
        <v>0</v>
      </c>
    </row>
    <row r="15" spans="1:21" ht="15.75" customHeight="1">
      <c r="B15" s="3221"/>
      <c r="C15" s="3236"/>
      <c r="D15" s="3237"/>
      <c r="E15" s="473" t="s">
        <v>994</v>
      </c>
      <c r="F15" s="478"/>
      <c r="G15" s="474" t="s">
        <v>995</v>
      </c>
      <c r="H15" s="475"/>
      <c r="I15" s="474" t="s">
        <v>995</v>
      </c>
      <c r="J15" s="475"/>
      <c r="K15" s="474" t="s">
        <v>995</v>
      </c>
      <c r="L15" s="475"/>
      <c r="M15" s="474" t="s">
        <v>995</v>
      </c>
      <c r="N15" s="475"/>
      <c r="O15" s="474" t="s">
        <v>995</v>
      </c>
      <c r="P15" s="475"/>
      <c r="Q15" s="474" t="s">
        <v>995</v>
      </c>
      <c r="R15" s="475"/>
      <c r="S15" s="476" t="s">
        <v>996</v>
      </c>
      <c r="T15" s="477">
        <f>SUM(F15:R15)</f>
        <v>0</v>
      </c>
      <c r="U15" s="457" t="b">
        <f>T15&lt;&gt;0</f>
        <v>0</v>
      </c>
    </row>
    <row r="16" spans="1:21" ht="15.75" customHeight="1">
      <c r="A16" s="457">
        <f>ROW()</f>
        <v>16</v>
      </c>
      <c r="B16" s="3221"/>
      <c r="C16" s="461" t="s">
        <v>998</v>
      </c>
      <c r="D16" s="462"/>
      <c r="E16" s="463"/>
      <c r="F16" s="463"/>
      <c r="G16" s="463"/>
      <c r="H16" s="463"/>
      <c r="I16" s="463"/>
      <c r="J16" s="463"/>
      <c r="K16" s="463"/>
      <c r="L16" s="463"/>
      <c r="M16" s="463"/>
      <c r="N16" s="463"/>
      <c r="O16" s="463"/>
      <c r="P16" s="463"/>
      <c r="Q16" s="463"/>
      <c r="R16" s="463"/>
      <c r="S16" s="463"/>
      <c r="T16" s="464"/>
      <c r="U16" s="457" t="b">
        <f>SUM(T16:T28)&lt;&gt;0</f>
        <v>0</v>
      </c>
    </row>
    <row r="17" spans="1:22" ht="15.75" customHeight="1">
      <c r="B17" s="3221"/>
      <c r="C17" s="3227"/>
      <c r="D17" s="3233"/>
      <c r="E17" s="467" t="s">
        <v>994</v>
      </c>
      <c r="F17" s="468"/>
      <c r="G17" s="469" t="s">
        <v>995</v>
      </c>
      <c r="H17" s="470"/>
      <c r="I17" s="469" t="s">
        <v>995</v>
      </c>
      <c r="J17" s="470"/>
      <c r="K17" s="469" t="s">
        <v>995</v>
      </c>
      <c r="L17" s="470"/>
      <c r="M17" s="469" t="s">
        <v>995</v>
      </c>
      <c r="N17" s="470"/>
      <c r="O17" s="469" t="s">
        <v>995</v>
      </c>
      <c r="P17" s="470"/>
      <c r="Q17" s="469" t="s">
        <v>995</v>
      </c>
      <c r="R17" s="470"/>
      <c r="S17" s="471" t="s">
        <v>996</v>
      </c>
      <c r="T17" s="472">
        <f t="shared" ref="T17:T23" si="0">SUM(F17:R17)</f>
        <v>0</v>
      </c>
      <c r="U17" s="457" t="b">
        <f t="shared" ref="U17:U23" si="1">T17&lt;&gt;0</f>
        <v>0</v>
      </c>
      <c r="V17" s="457" t="s">
        <v>1983</v>
      </c>
    </row>
    <row r="18" spans="1:22" ht="15.75" customHeight="1">
      <c r="B18" s="3221"/>
      <c r="C18" s="3227"/>
      <c r="D18" s="3233"/>
      <c r="E18" s="473" t="s">
        <v>994</v>
      </c>
      <c r="F18" s="479"/>
      <c r="G18" s="480" t="s">
        <v>995</v>
      </c>
      <c r="H18" s="481"/>
      <c r="I18" s="480" t="s">
        <v>995</v>
      </c>
      <c r="J18" s="481"/>
      <c r="K18" s="480" t="s">
        <v>995</v>
      </c>
      <c r="L18" s="481"/>
      <c r="M18" s="480" t="s">
        <v>995</v>
      </c>
      <c r="N18" s="481"/>
      <c r="O18" s="480" t="s">
        <v>995</v>
      </c>
      <c r="P18" s="481"/>
      <c r="Q18" s="480" t="s">
        <v>995</v>
      </c>
      <c r="R18" s="481"/>
      <c r="S18" s="482" t="s">
        <v>996</v>
      </c>
      <c r="T18" s="483">
        <f t="shared" si="0"/>
        <v>0</v>
      </c>
      <c r="U18" s="457" t="b">
        <f t="shared" si="1"/>
        <v>0</v>
      </c>
    </row>
    <row r="19" spans="1:22" ht="15.75" customHeight="1">
      <c r="B19" s="3221"/>
      <c r="C19" s="3227"/>
      <c r="D19" s="3233"/>
      <c r="E19" s="473" t="s">
        <v>994</v>
      </c>
      <c r="F19" s="479"/>
      <c r="G19" s="480" t="s">
        <v>995</v>
      </c>
      <c r="H19" s="481"/>
      <c r="I19" s="480" t="s">
        <v>995</v>
      </c>
      <c r="J19" s="481"/>
      <c r="K19" s="480" t="s">
        <v>995</v>
      </c>
      <c r="L19" s="481"/>
      <c r="M19" s="480" t="s">
        <v>995</v>
      </c>
      <c r="N19" s="481"/>
      <c r="O19" s="480" t="s">
        <v>995</v>
      </c>
      <c r="P19" s="481"/>
      <c r="Q19" s="480" t="s">
        <v>995</v>
      </c>
      <c r="R19" s="481"/>
      <c r="S19" s="482" t="s">
        <v>996</v>
      </c>
      <c r="T19" s="483">
        <f t="shared" si="0"/>
        <v>0</v>
      </c>
      <c r="U19" s="457" t="b">
        <f t="shared" si="1"/>
        <v>0</v>
      </c>
    </row>
    <row r="20" spans="1:22" ht="15.75" customHeight="1">
      <c r="B20" s="3221"/>
      <c r="C20" s="3227"/>
      <c r="D20" s="3233"/>
      <c r="E20" s="473" t="s">
        <v>994</v>
      </c>
      <c r="F20" s="479"/>
      <c r="G20" s="480" t="s">
        <v>995</v>
      </c>
      <c r="H20" s="481"/>
      <c r="I20" s="480" t="s">
        <v>995</v>
      </c>
      <c r="J20" s="481"/>
      <c r="K20" s="480" t="s">
        <v>995</v>
      </c>
      <c r="L20" s="481"/>
      <c r="M20" s="480" t="s">
        <v>995</v>
      </c>
      <c r="N20" s="481"/>
      <c r="O20" s="480" t="s">
        <v>995</v>
      </c>
      <c r="P20" s="481"/>
      <c r="Q20" s="480" t="s">
        <v>995</v>
      </c>
      <c r="R20" s="481"/>
      <c r="S20" s="482" t="s">
        <v>996</v>
      </c>
      <c r="T20" s="483">
        <f t="shared" si="0"/>
        <v>0</v>
      </c>
      <c r="U20" s="457" t="b">
        <f t="shared" si="1"/>
        <v>0</v>
      </c>
    </row>
    <row r="21" spans="1:22" ht="15.75" customHeight="1">
      <c r="B21" s="3221"/>
      <c r="C21" s="3227"/>
      <c r="D21" s="3233"/>
      <c r="E21" s="473" t="s">
        <v>994</v>
      </c>
      <c r="F21" s="479"/>
      <c r="G21" s="480" t="s">
        <v>995</v>
      </c>
      <c r="H21" s="481"/>
      <c r="I21" s="480" t="s">
        <v>995</v>
      </c>
      <c r="J21" s="481"/>
      <c r="K21" s="480" t="s">
        <v>995</v>
      </c>
      <c r="L21" s="481"/>
      <c r="M21" s="480" t="s">
        <v>995</v>
      </c>
      <c r="N21" s="481"/>
      <c r="O21" s="480" t="s">
        <v>995</v>
      </c>
      <c r="P21" s="481"/>
      <c r="Q21" s="480" t="s">
        <v>995</v>
      </c>
      <c r="R21" s="481"/>
      <c r="S21" s="482" t="s">
        <v>996</v>
      </c>
      <c r="T21" s="483">
        <f t="shared" si="0"/>
        <v>0</v>
      </c>
      <c r="U21" s="457" t="b">
        <f t="shared" si="1"/>
        <v>0</v>
      </c>
    </row>
    <row r="22" spans="1:22" ht="15.75" customHeight="1">
      <c r="B22" s="3221"/>
      <c r="C22" s="3227"/>
      <c r="D22" s="3233"/>
      <c r="E22" s="473" t="s">
        <v>994</v>
      </c>
      <c r="F22" s="479"/>
      <c r="G22" s="480" t="s">
        <v>995</v>
      </c>
      <c r="H22" s="481"/>
      <c r="I22" s="480" t="s">
        <v>995</v>
      </c>
      <c r="J22" s="481"/>
      <c r="K22" s="480" t="s">
        <v>995</v>
      </c>
      <c r="L22" s="481"/>
      <c r="M22" s="480" t="s">
        <v>995</v>
      </c>
      <c r="N22" s="481"/>
      <c r="O22" s="480" t="s">
        <v>995</v>
      </c>
      <c r="P22" s="481"/>
      <c r="Q22" s="480" t="s">
        <v>995</v>
      </c>
      <c r="R22" s="481"/>
      <c r="S22" s="482" t="s">
        <v>996</v>
      </c>
      <c r="T22" s="483">
        <f t="shared" si="0"/>
        <v>0</v>
      </c>
      <c r="U22" s="457" t="b">
        <f t="shared" si="1"/>
        <v>0</v>
      </c>
    </row>
    <row r="23" spans="1:22" ht="15.75" customHeight="1">
      <c r="B23" s="3221"/>
      <c r="C23" s="3227"/>
      <c r="D23" s="3233"/>
      <c r="E23" s="473" t="s">
        <v>994</v>
      </c>
      <c r="F23" s="479"/>
      <c r="G23" s="480" t="s">
        <v>995</v>
      </c>
      <c r="H23" s="481"/>
      <c r="I23" s="480" t="s">
        <v>995</v>
      </c>
      <c r="J23" s="481"/>
      <c r="K23" s="480" t="s">
        <v>995</v>
      </c>
      <c r="L23" s="481"/>
      <c r="M23" s="480" t="s">
        <v>995</v>
      </c>
      <c r="N23" s="481"/>
      <c r="O23" s="480" t="s">
        <v>995</v>
      </c>
      <c r="P23" s="481"/>
      <c r="Q23" s="480" t="s">
        <v>995</v>
      </c>
      <c r="R23" s="481"/>
      <c r="S23" s="482" t="s">
        <v>996</v>
      </c>
      <c r="T23" s="483">
        <f t="shared" si="0"/>
        <v>0</v>
      </c>
      <c r="U23" s="457" t="b">
        <f t="shared" si="1"/>
        <v>0</v>
      </c>
    </row>
    <row r="24" spans="1:22" ht="15.75" customHeight="1">
      <c r="A24" s="457">
        <f>ROW()</f>
        <v>24</v>
      </c>
      <c r="B24" s="3221"/>
      <c r="C24" s="461" t="s">
        <v>1613</v>
      </c>
      <c r="D24" s="462"/>
      <c r="E24" s="463"/>
      <c r="F24" s="463"/>
      <c r="G24" s="463"/>
      <c r="H24" s="463"/>
      <c r="I24" s="463"/>
      <c r="J24" s="463"/>
      <c r="K24" s="463"/>
      <c r="L24" s="463"/>
      <c r="M24" s="463"/>
      <c r="N24" s="463"/>
      <c r="O24" s="463"/>
      <c r="P24" s="463"/>
      <c r="Q24" s="463"/>
      <c r="R24" s="463"/>
      <c r="S24" s="463"/>
      <c r="T24" s="464"/>
      <c r="U24" s="457" t="b">
        <f>SUM(T24:T28)&lt;&gt;0</f>
        <v>0</v>
      </c>
    </row>
    <row r="25" spans="1:22" ht="15.75" customHeight="1">
      <c r="B25" s="3221"/>
      <c r="C25" s="3227" t="str">
        <f>+調書!F75</f>
        <v>コンクリートブロック ［臥梁共］（㎡）</v>
      </c>
      <c r="D25" s="3233"/>
      <c r="E25" s="467" t="s">
        <v>994</v>
      </c>
      <c r="F25" s="1784"/>
      <c r="G25" s="490" t="s">
        <v>995</v>
      </c>
      <c r="H25" s="1783"/>
      <c r="I25" s="490" t="s">
        <v>995</v>
      </c>
      <c r="J25" s="1783"/>
      <c r="K25" s="490" t="s">
        <v>995</v>
      </c>
      <c r="L25" s="1783"/>
      <c r="M25" s="490" t="s">
        <v>995</v>
      </c>
      <c r="N25" s="1783"/>
      <c r="O25" s="490" t="s">
        <v>995</v>
      </c>
      <c r="P25" s="1783"/>
      <c r="Q25" s="490" t="s">
        <v>995</v>
      </c>
      <c r="R25" s="1783"/>
      <c r="S25" s="492" t="s">
        <v>996</v>
      </c>
      <c r="T25" s="493">
        <f>SUM(F25:R25)</f>
        <v>0</v>
      </c>
      <c r="U25" s="457" t="b">
        <f>T25&lt;&gt;0</f>
        <v>0</v>
      </c>
    </row>
    <row r="26" spans="1:22" ht="15.75" customHeight="1">
      <c r="A26" s="457">
        <f>ROW()</f>
        <v>26</v>
      </c>
      <c r="B26" s="3221"/>
      <c r="C26" s="461" t="s">
        <v>999</v>
      </c>
      <c r="D26" s="462"/>
      <c r="E26" s="463"/>
      <c r="F26" s="463"/>
      <c r="G26" s="463"/>
      <c r="H26" s="463"/>
      <c r="I26" s="463"/>
      <c r="J26" s="463"/>
      <c r="K26" s="463"/>
      <c r="L26" s="463"/>
      <c r="M26" s="463"/>
      <c r="N26" s="463"/>
      <c r="O26" s="463"/>
      <c r="P26" s="463"/>
      <c r="Q26" s="463"/>
      <c r="R26" s="463"/>
      <c r="S26" s="463"/>
      <c r="T26" s="464"/>
      <c r="U26" s="457" t="b">
        <f>U27</f>
        <v>0</v>
      </c>
    </row>
    <row r="27" spans="1:22" ht="15.75" customHeight="1">
      <c r="B27" s="3221"/>
      <c r="C27" s="3234" t="s">
        <v>845</v>
      </c>
      <c r="D27" s="3235"/>
      <c r="E27" s="484" t="s">
        <v>994</v>
      </c>
      <c r="F27" s="485"/>
      <c r="G27" s="486" t="s">
        <v>995</v>
      </c>
      <c r="H27" s="487"/>
      <c r="I27" s="486" t="s">
        <v>995</v>
      </c>
      <c r="J27" s="487"/>
      <c r="K27" s="486" t="s">
        <v>995</v>
      </c>
      <c r="L27" s="487"/>
      <c r="M27" s="486" t="s">
        <v>995</v>
      </c>
      <c r="N27" s="487"/>
      <c r="O27" s="486" t="s">
        <v>995</v>
      </c>
      <c r="P27" s="487"/>
      <c r="Q27" s="486" t="s">
        <v>995</v>
      </c>
      <c r="R27" s="487"/>
      <c r="S27" s="222" t="s">
        <v>996</v>
      </c>
      <c r="T27" s="488">
        <f>SUM(F27:R27)</f>
        <v>0</v>
      </c>
      <c r="U27" s="457" t="b">
        <f>T27&lt;&gt;0</f>
        <v>0</v>
      </c>
    </row>
    <row r="28" spans="1:22" ht="15.75" customHeight="1">
      <c r="A28" s="457">
        <f>ROW()</f>
        <v>28</v>
      </c>
      <c r="B28" s="3221"/>
      <c r="C28" s="461" t="s">
        <v>1000</v>
      </c>
      <c r="D28" s="462"/>
      <c r="E28" s="463"/>
      <c r="F28" s="463"/>
      <c r="G28" s="463"/>
      <c r="H28" s="463"/>
      <c r="I28" s="463"/>
      <c r="J28" s="463"/>
      <c r="K28" s="463"/>
      <c r="L28" s="463"/>
      <c r="M28" s="463"/>
      <c r="N28" s="463"/>
      <c r="O28" s="463"/>
      <c r="P28" s="463"/>
      <c r="Q28" s="463"/>
      <c r="R28" s="463"/>
      <c r="S28" s="463"/>
      <c r="T28" s="464"/>
      <c r="U28" s="457" t="b">
        <f>SUM(T28:T32)&lt;&gt;0</f>
        <v>0</v>
      </c>
    </row>
    <row r="29" spans="1:22" ht="15.75" customHeight="1">
      <c r="B29" s="3221"/>
      <c r="C29" s="3227"/>
      <c r="D29" s="3233"/>
      <c r="E29" s="467" t="s">
        <v>994</v>
      </c>
      <c r="F29" s="489"/>
      <c r="G29" s="490" t="s">
        <v>995</v>
      </c>
      <c r="H29" s="491"/>
      <c r="I29" s="490" t="s">
        <v>995</v>
      </c>
      <c r="J29" s="491"/>
      <c r="K29" s="490" t="s">
        <v>995</v>
      </c>
      <c r="L29" s="491"/>
      <c r="M29" s="490" t="s">
        <v>995</v>
      </c>
      <c r="N29" s="491"/>
      <c r="O29" s="490" t="s">
        <v>995</v>
      </c>
      <c r="P29" s="491"/>
      <c r="Q29" s="490" t="s">
        <v>995</v>
      </c>
      <c r="R29" s="491"/>
      <c r="S29" s="492" t="s">
        <v>996</v>
      </c>
      <c r="T29" s="493">
        <f>SUM(F29:R29)</f>
        <v>0</v>
      </c>
      <c r="U29" s="457" t="b">
        <f>T29&lt;&gt;0</f>
        <v>0</v>
      </c>
    </row>
    <row r="30" spans="1:22" ht="15.75" customHeight="1">
      <c r="B30" s="3221"/>
      <c r="C30" s="3227"/>
      <c r="D30" s="3233"/>
      <c r="E30" s="494" t="s">
        <v>994</v>
      </c>
      <c r="F30" s="495"/>
      <c r="G30" s="496" t="s">
        <v>995</v>
      </c>
      <c r="H30" s="497"/>
      <c r="I30" s="496" t="s">
        <v>995</v>
      </c>
      <c r="J30" s="497"/>
      <c r="K30" s="496" t="s">
        <v>995</v>
      </c>
      <c r="L30" s="497"/>
      <c r="M30" s="496" t="s">
        <v>995</v>
      </c>
      <c r="N30" s="497"/>
      <c r="O30" s="496" t="s">
        <v>995</v>
      </c>
      <c r="P30" s="497"/>
      <c r="Q30" s="496" t="s">
        <v>995</v>
      </c>
      <c r="R30" s="497"/>
      <c r="S30" s="498" t="s">
        <v>996</v>
      </c>
      <c r="T30" s="499">
        <f>SUM(F30:R30)</f>
        <v>0</v>
      </c>
      <c r="U30" s="457" t="b">
        <f>T30&lt;&gt;0</f>
        <v>0</v>
      </c>
    </row>
    <row r="31" spans="1:22" ht="15.75" customHeight="1">
      <c r="B31" s="3221"/>
      <c r="C31" s="3227"/>
      <c r="D31" s="3233"/>
      <c r="E31" s="494" t="s">
        <v>994</v>
      </c>
      <c r="F31" s="495"/>
      <c r="G31" s="496" t="s">
        <v>995</v>
      </c>
      <c r="H31" s="497"/>
      <c r="I31" s="496" t="s">
        <v>995</v>
      </c>
      <c r="J31" s="497"/>
      <c r="K31" s="496" t="s">
        <v>995</v>
      </c>
      <c r="L31" s="497"/>
      <c r="M31" s="496" t="s">
        <v>995</v>
      </c>
      <c r="N31" s="497"/>
      <c r="O31" s="496" t="s">
        <v>995</v>
      </c>
      <c r="P31" s="497"/>
      <c r="Q31" s="496" t="s">
        <v>995</v>
      </c>
      <c r="R31" s="497"/>
      <c r="S31" s="498" t="s">
        <v>996</v>
      </c>
      <c r="T31" s="499">
        <f>SUM(F31:R31)</f>
        <v>0</v>
      </c>
      <c r="U31" s="457" t="b">
        <f>T31&lt;&gt;0</f>
        <v>0</v>
      </c>
    </row>
    <row r="32" spans="1:22" ht="15.75" customHeight="1">
      <c r="A32" s="457">
        <f>ROW()</f>
        <v>32</v>
      </c>
      <c r="B32" s="3221"/>
      <c r="C32" s="461" t="s">
        <v>1001</v>
      </c>
      <c r="D32" s="462"/>
      <c r="E32" s="463"/>
      <c r="F32" s="463"/>
      <c r="G32" s="463"/>
      <c r="H32" s="463"/>
      <c r="I32" s="463"/>
      <c r="J32" s="463"/>
      <c r="K32" s="463"/>
      <c r="L32" s="463"/>
      <c r="M32" s="463"/>
      <c r="N32" s="463"/>
      <c r="O32" s="463"/>
      <c r="P32" s="463"/>
      <c r="Q32" s="463"/>
      <c r="R32" s="463"/>
      <c r="S32" s="463"/>
      <c r="T32" s="464"/>
      <c r="U32" s="457" t="b">
        <f>U33</f>
        <v>0</v>
      </c>
    </row>
    <row r="33" spans="1:21" ht="15.75" customHeight="1">
      <c r="B33" s="3221"/>
      <c r="C33" s="3234"/>
      <c r="D33" s="3235"/>
      <c r="E33" s="484" t="s">
        <v>994</v>
      </c>
      <c r="F33" s="500"/>
      <c r="G33" s="501" t="s">
        <v>995</v>
      </c>
      <c r="H33" s="502"/>
      <c r="I33" s="501" t="s">
        <v>995</v>
      </c>
      <c r="J33" s="502"/>
      <c r="K33" s="501" t="s">
        <v>995</v>
      </c>
      <c r="L33" s="502"/>
      <c r="M33" s="501" t="s">
        <v>995</v>
      </c>
      <c r="N33" s="502"/>
      <c r="O33" s="501" t="s">
        <v>995</v>
      </c>
      <c r="P33" s="502"/>
      <c r="Q33" s="501" t="s">
        <v>995</v>
      </c>
      <c r="R33" s="502"/>
      <c r="S33" s="221" t="s">
        <v>996</v>
      </c>
      <c r="T33" s="503">
        <f>SUM(F33:R33)</f>
        <v>0</v>
      </c>
      <c r="U33" s="457" t="b">
        <f>T33&lt;&gt;0</f>
        <v>0</v>
      </c>
    </row>
    <row r="34" spans="1:21" ht="15.75" customHeight="1">
      <c r="A34" s="457">
        <f>ROW()</f>
        <v>34</v>
      </c>
      <c r="B34" s="3221"/>
      <c r="C34" s="461" t="s">
        <v>1002</v>
      </c>
      <c r="D34" s="462"/>
      <c r="E34" s="463"/>
      <c r="F34" s="463"/>
      <c r="G34" s="463"/>
      <c r="H34" s="463"/>
      <c r="I34" s="463"/>
      <c r="J34" s="463"/>
      <c r="K34" s="463"/>
      <c r="L34" s="463"/>
      <c r="M34" s="463"/>
      <c r="N34" s="463"/>
      <c r="O34" s="463"/>
      <c r="P34" s="463"/>
      <c r="Q34" s="463"/>
      <c r="R34" s="463"/>
      <c r="S34" s="463"/>
      <c r="T34" s="464"/>
      <c r="U34" s="457" t="b">
        <f>U35</f>
        <v>0</v>
      </c>
    </row>
    <row r="35" spans="1:21" ht="15.75" customHeight="1">
      <c r="B35" s="3221"/>
      <c r="C35" s="3238"/>
      <c r="D35" s="3239"/>
      <c r="E35" s="504" t="s">
        <v>994</v>
      </c>
      <c r="F35" s="3253" t="str">
        <f>HYPERLINK("#調書!B151","&lt;調書直接入力&gt;")</f>
        <v>&lt;調書直接入力&gt;</v>
      </c>
      <c r="G35" s="3254"/>
      <c r="H35" s="3255"/>
      <c r="I35" s="3250" t="s">
        <v>472</v>
      </c>
      <c r="J35" s="3251"/>
      <c r="K35" s="3251"/>
      <c r="L35" s="3251"/>
      <c r="M35" s="3251"/>
      <c r="N35" s="3251"/>
      <c r="O35" s="3251"/>
      <c r="P35" s="3251"/>
      <c r="Q35" s="3251"/>
      <c r="R35" s="3251"/>
      <c r="S35" s="3251"/>
      <c r="T35" s="3252"/>
      <c r="U35" s="457" t="b">
        <f>C35&lt;&gt;0</f>
        <v>0</v>
      </c>
    </row>
    <row r="36" spans="1:21" ht="15.75" customHeight="1">
      <c r="B36" s="3222"/>
      <c r="C36" s="292"/>
      <c r="D36" s="292"/>
      <c r="E36" s="506"/>
      <c r="F36" s="506"/>
      <c r="G36" s="506"/>
      <c r="H36" s="506"/>
      <c r="I36" s="506"/>
      <c r="J36" s="506"/>
      <c r="K36" s="506"/>
      <c r="L36" s="506"/>
      <c r="M36" s="506"/>
      <c r="N36" s="506"/>
      <c r="O36" s="506"/>
      <c r="P36" s="506"/>
      <c r="Q36" s="507"/>
      <c r="R36" s="508" t="s">
        <v>473</v>
      </c>
      <c r="S36" s="506"/>
      <c r="T36" s="509" t="s">
        <v>474</v>
      </c>
      <c r="U36" s="457" t="b">
        <f>COUNTIF(U6:U35,TRUE)&lt;&gt;0</f>
        <v>0</v>
      </c>
    </row>
    <row r="37" spans="1:21" ht="15.75" customHeight="1">
      <c r="B37" s="510"/>
      <c r="C37" s="511"/>
      <c r="D37" s="511"/>
      <c r="E37" s="510"/>
      <c r="F37" s="510"/>
      <c r="G37" s="510"/>
      <c r="H37" s="510"/>
      <c r="I37" s="510"/>
      <c r="J37" s="510"/>
      <c r="K37" s="510"/>
      <c r="L37" s="510"/>
      <c r="M37" s="510"/>
      <c r="N37" s="510"/>
      <c r="O37" s="510"/>
      <c r="P37" s="510"/>
      <c r="Q37" s="510"/>
      <c r="R37" s="510"/>
      <c r="S37" s="510"/>
      <c r="T37" s="510"/>
    </row>
    <row r="38" spans="1:21" ht="15.75" customHeight="1">
      <c r="B38" s="221"/>
      <c r="C38" s="512"/>
      <c r="D38" s="512"/>
      <c r="E38" s="221"/>
      <c r="F38" s="221"/>
      <c r="G38" s="221"/>
      <c r="H38" s="221"/>
      <c r="I38" s="221"/>
      <c r="J38" s="221"/>
      <c r="K38" s="221"/>
      <c r="L38" s="221"/>
      <c r="M38" s="221"/>
      <c r="N38" s="221"/>
      <c r="O38" s="221"/>
      <c r="P38" s="221"/>
      <c r="Q38" s="221"/>
      <c r="R38" s="221"/>
      <c r="S38" s="221"/>
      <c r="T38" s="221"/>
    </row>
    <row r="39" spans="1:21" ht="15.75" customHeight="1">
      <c r="A39" s="457">
        <f>ROW()</f>
        <v>39</v>
      </c>
      <c r="B39" s="2681" t="s">
        <v>475</v>
      </c>
      <c r="C39" s="3227"/>
      <c r="D39" s="3228"/>
      <c r="E39" s="467" t="s">
        <v>994</v>
      </c>
      <c r="F39" s="489"/>
      <c r="G39" s="324" t="s">
        <v>995</v>
      </c>
      <c r="H39" s="491"/>
      <c r="I39" s="324" t="s">
        <v>995</v>
      </c>
      <c r="J39" s="491"/>
      <c r="K39" s="324" t="s">
        <v>995</v>
      </c>
      <c r="L39" s="491"/>
      <c r="M39" s="324" t="s">
        <v>995</v>
      </c>
      <c r="N39" s="491"/>
      <c r="O39" s="324" t="s">
        <v>995</v>
      </c>
      <c r="P39" s="491"/>
      <c r="Q39" s="324" t="s">
        <v>995</v>
      </c>
      <c r="R39" s="491"/>
      <c r="S39" s="354" t="s">
        <v>996</v>
      </c>
      <c r="T39" s="493">
        <f>SUM(F39:R39)</f>
        <v>0</v>
      </c>
      <c r="U39" s="457" t="b">
        <f>C39&lt;&gt;0</f>
        <v>0</v>
      </c>
    </row>
    <row r="40" spans="1:21" ht="15.75" customHeight="1">
      <c r="B40" s="2681"/>
      <c r="C40" s="3223"/>
      <c r="D40" s="3229"/>
      <c r="E40" s="473" t="s">
        <v>994</v>
      </c>
      <c r="F40" s="479"/>
      <c r="G40" s="513" t="s">
        <v>995</v>
      </c>
      <c r="H40" s="481"/>
      <c r="I40" s="513" t="s">
        <v>995</v>
      </c>
      <c r="J40" s="481"/>
      <c r="K40" s="513" t="s">
        <v>995</v>
      </c>
      <c r="L40" s="481"/>
      <c r="M40" s="513" t="s">
        <v>995</v>
      </c>
      <c r="N40" s="481"/>
      <c r="O40" s="513" t="s">
        <v>995</v>
      </c>
      <c r="P40" s="481"/>
      <c r="Q40" s="513" t="s">
        <v>995</v>
      </c>
      <c r="R40" s="481"/>
      <c r="S40" s="254" t="s">
        <v>996</v>
      </c>
      <c r="T40" s="483">
        <f>SUM(F40:R40)</f>
        <v>0</v>
      </c>
      <c r="U40" s="457" t="b">
        <f>C40&lt;&gt;0</f>
        <v>0</v>
      </c>
    </row>
    <row r="41" spans="1:21" ht="15.75" customHeight="1">
      <c r="B41" s="2681"/>
      <c r="C41" s="3223"/>
      <c r="D41" s="3224"/>
      <c r="E41" s="473" t="s">
        <v>994</v>
      </c>
      <c r="F41" s="479"/>
      <c r="G41" s="513" t="s">
        <v>995</v>
      </c>
      <c r="H41" s="481"/>
      <c r="I41" s="513" t="s">
        <v>995</v>
      </c>
      <c r="J41" s="481"/>
      <c r="K41" s="513" t="s">
        <v>995</v>
      </c>
      <c r="L41" s="481"/>
      <c r="M41" s="513" t="s">
        <v>995</v>
      </c>
      <c r="N41" s="481"/>
      <c r="O41" s="513" t="s">
        <v>995</v>
      </c>
      <c r="P41" s="481"/>
      <c r="Q41" s="513" t="s">
        <v>995</v>
      </c>
      <c r="R41" s="481"/>
      <c r="S41" s="254" t="s">
        <v>996</v>
      </c>
      <c r="T41" s="483">
        <f>SUM(F41:R41)</f>
        <v>0</v>
      </c>
      <c r="U41" s="457" t="b">
        <f>C41&lt;&gt;0</f>
        <v>0</v>
      </c>
    </row>
    <row r="42" spans="1:21" ht="15.75" customHeight="1">
      <c r="B42" s="2681"/>
      <c r="C42" s="3223"/>
      <c r="D42" s="3224"/>
      <c r="E42" s="473" t="s">
        <v>994</v>
      </c>
      <c r="F42" s="479"/>
      <c r="G42" s="513" t="s">
        <v>995</v>
      </c>
      <c r="H42" s="481"/>
      <c r="I42" s="513" t="s">
        <v>995</v>
      </c>
      <c r="J42" s="481"/>
      <c r="K42" s="513" t="s">
        <v>995</v>
      </c>
      <c r="L42" s="481"/>
      <c r="M42" s="513" t="s">
        <v>995</v>
      </c>
      <c r="N42" s="481"/>
      <c r="O42" s="513" t="s">
        <v>995</v>
      </c>
      <c r="P42" s="481"/>
      <c r="Q42" s="513" t="s">
        <v>995</v>
      </c>
      <c r="R42" s="481"/>
      <c r="S42" s="254" t="s">
        <v>996</v>
      </c>
      <c r="T42" s="483">
        <f>SUM(F42:R42)</f>
        <v>0</v>
      </c>
      <c r="U42" s="457" t="b">
        <f>C42&lt;&gt;0</f>
        <v>0</v>
      </c>
    </row>
    <row r="43" spans="1:21" ht="15.75" customHeight="1">
      <c r="B43" s="2681"/>
      <c r="C43" s="3225"/>
      <c r="D43" s="3226"/>
      <c r="E43" s="515" t="s">
        <v>994</v>
      </c>
      <c r="F43" s="23"/>
      <c r="G43" s="516" t="s">
        <v>995</v>
      </c>
      <c r="H43" s="22"/>
      <c r="I43" s="516" t="s">
        <v>995</v>
      </c>
      <c r="J43" s="22"/>
      <c r="K43" s="516" t="s">
        <v>995</v>
      </c>
      <c r="L43" s="22"/>
      <c r="M43" s="516" t="s">
        <v>995</v>
      </c>
      <c r="N43" s="22"/>
      <c r="O43" s="516" t="s">
        <v>995</v>
      </c>
      <c r="P43" s="22"/>
      <c r="Q43" s="516" t="s">
        <v>995</v>
      </c>
      <c r="R43" s="22"/>
      <c r="S43" s="256" t="s">
        <v>996</v>
      </c>
      <c r="T43" s="517">
        <f>SUM(F43:R43)</f>
        <v>0</v>
      </c>
      <c r="U43" s="457" t="b">
        <f>C43&lt;&gt;0</f>
        <v>0</v>
      </c>
    </row>
    <row r="44" spans="1:21" ht="15.75" customHeight="1">
      <c r="B44" s="3222"/>
      <c r="C44" s="292"/>
      <c r="D44" s="292"/>
      <c r="E44" s="506"/>
      <c r="F44" s="506"/>
      <c r="G44" s="506"/>
      <c r="H44" s="506"/>
      <c r="I44" s="506"/>
      <c r="J44" s="506"/>
      <c r="K44" s="506"/>
      <c r="L44" s="506"/>
      <c r="M44" s="506"/>
      <c r="N44" s="506"/>
      <c r="O44" s="506"/>
      <c r="P44" s="506"/>
      <c r="Q44" s="507"/>
      <c r="R44" s="508" t="s">
        <v>476</v>
      </c>
      <c r="S44" s="506"/>
      <c r="T44" s="518">
        <f>SUM(T39:T43)</f>
        <v>0</v>
      </c>
      <c r="U44" s="457" t="b">
        <f>T44&lt;&gt;0</f>
        <v>0</v>
      </c>
    </row>
    <row r="45" spans="1:21" ht="15.75" customHeight="1">
      <c r="C45" s="519"/>
      <c r="D45" s="519"/>
    </row>
    <row r="46" spans="1:21" ht="15.75" customHeight="1">
      <c r="B46" s="221"/>
      <c r="C46" s="512"/>
      <c r="D46" s="512"/>
      <c r="E46" s="221"/>
      <c r="F46" s="221"/>
      <c r="G46" s="221"/>
      <c r="H46" s="221"/>
      <c r="I46" s="221"/>
      <c r="J46" s="221"/>
      <c r="K46" s="221"/>
      <c r="L46" s="221"/>
      <c r="M46" s="221"/>
      <c r="N46" s="221"/>
      <c r="O46" s="221"/>
      <c r="P46" s="221"/>
      <c r="Q46" s="221"/>
      <c r="R46" s="221"/>
      <c r="S46" s="221"/>
      <c r="T46" s="221"/>
    </row>
    <row r="47" spans="1:21" ht="15.75" customHeight="1">
      <c r="B47" s="2681" t="s">
        <v>477</v>
      </c>
      <c r="C47" s="3227"/>
      <c r="D47" s="3228"/>
      <c r="E47" s="467" t="s">
        <v>994</v>
      </c>
      <c r="F47" s="489"/>
      <c r="G47" s="324" t="s">
        <v>995</v>
      </c>
      <c r="H47" s="491"/>
      <c r="I47" s="324" t="s">
        <v>995</v>
      </c>
      <c r="J47" s="491"/>
      <c r="K47" s="324" t="s">
        <v>995</v>
      </c>
      <c r="L47" s="491"/>
      <c r="M47" s="324" t="s">
        <v>995</v>
      </c>
      <c r="N47" s="491"/>
      <c r="O47" s="324" t="s">
        <v>995</v>
      </c>
      <c r="P47" s="491"/>
      <c r="Q47" s="324" t="s">
        <v>995</v>
      </c>
      <c r="R47" s="491"/>
      <c r="S47" s="354" t="s">
        <v>996</v>
      </c>
      <c r="T47" s="493">
        <f>SUM(F47:R47)</f>
        <v>0</v>
      </c>
      <c r="U47" s="457" t="b">
        <f>C47&lt;&gt;0</f>
        <v>0</v>
      </c>
    </row>
    <row r="48" spans="1:21" ht="15.75" customHeight="1">
      <c r="B48" s="2681"/>
      <c r="C48" s="3223"/>
      <c r="D48" s="3224"/>
      <c r="E48" s="473" t="s">
        <v>994</v>
      </c>
      <c r="F48" s="479"/>
      <c r="G48" s="513" t="s">
        <v>995</v>
      </c>
      <c r="H48" s="481"/>
      <c r="I48" s="513" t="s">
        <v>995</v>
      </c>
      <c r="J48" s="481"/>
      <c r="K48" s="513" t="s">
        <v>995</v>
      </c>
      <c r="L48" s="481"/>
      <c r="M48" s="513" t="s">
        <v>995</v>
      </c>
      <c r="N48" s="481"/>
      <c r="O48" s="513" t="s">
        <v>995</v>
      </c>
      <c r="P48" s="481"/>
      <c r="Q48" s="513" t="s">
        <v>995</v>
      </c>
      <c r="R48" s="481"/>
      <c r="S48" s="254" t="s">
        <v>996</v>
      </c>
      <c r="T48" s="483">
        <f>SUM(F48:R48)</f>
        <v>0</v>
      </c>
      <c r="U48" s="457" t="b">
        <f>C48&lt;&gt;0</f>
        <v>0</v>
      </c>
    </row>
    <row r="49" spans="1:21" ht="15.75" customHeight="1">
      <c r="B49" s="2681"/>
      <c r="C49" s="3223"/>
      <c r="D49" s="3224"/>
      <c r="E49" s="473" t="s">
        <v>994</v>
      </c>
      <c r="F49" s="479"/>
      <c r="G49" s="513" t="s">
        <v>995</v>
      </c>
      <c r="H49" s="481"/>
      <c r="I49" s="513" t="s">
        <v>995</v>
      </c>
      <c r="J49" s="481"/>
      <c r="K49" s="513" t="s">
        <v>995</v>
      </c>
      <c r="L49" s="481"/>
      <c r="M49" s="513" t="s">
        <v>995</v>
      </c>
      <c r="N49" s="481"/>
      <c r="O49" s="513" t="s">
        <v>995</v>
      </c>
      <c r="P49" s="481"/>
      <c r="Q49" s="513" t="s">
        <v>995</v>
      </c>
      <c r="R49" s="481"/>
      <c r="S49" s="254" t="s">
        <v>996</v>
      </c>
      <c r="T49" s="483">
        <f>SUM(F49:R49)</f>
        <v>0</v>
      </c>
      <c r="U49" s="457" t="b">
        <f>C49&lt;&gt;0</f>
        <v>0</v>
      </c>
    </row>
    <row r="50" spans="1:21" ht="15.75" customHeight="1">
      <c r="B50" s="2681"/>
      <c r="C50" s="3223"/>
      <c r="D50" s="3224"/>
      <c r="E50" s="473" t="s">
        <v>994</v>
      </c>
      <c r="F50" s="479"/>
      <c r="G50" s="513" t="s">
        <v>995</v>
      </c>
      <c r="H50" s="481"/>
      <c r="I50" s="513" t="s">
        <v>995</v>
      </c>
      <c r="J50" s="481"/>
      <c r="K50" s="513" t="s">
        <v>995</v>
      </c>
      <c r="L50" s="481"/>
      <c r="M50" s="513" t="s">
        <v>995</v>
      </c>
      <c r="N50" s="481"/>
      <c r="O50" s="513" t="s">
        <v>995</v>
      </c>
      <c r="P50" s="481"/>
      <c r="Q50" s="513" t="s">
        <v>995</v>
      </c>
      <c r="R50" s="481"/>
      <c r="S50" s="254" t="s">
        <v>996</v>
      </c>
      <c r="T50" s="483">
        <f>SUM(F50:R50)</f>
        <v>0</v>
      </c>
      <c r="U50" s="457" t="b">
        <f>C50&lt;&gt;0</f>
        <v>0</v>
      </c>
    </row>
    <row r="51" spans="1:21" ht="15.75" customHeight="1">
      <c r="B51" s="2681"/>
      <c r="C51" s="3225"/>
      <c r="D51" s="3226"/>
      <c r="E51" s="515" t="s">
        <v>994</v>
      </c>
      <c r="F51" s="23"/>
      <c r="G51" s="516" t="s">
        <v>995</v>
      </c>
      <c r="H51" s="22"/>
      <c r="I51" s="516" t="s">
        <v>995</v>
      </c>
      <c r="J51" s="22"/>
      <c r="K51" s="516" t="s">
        <v>995</v>
      </c>
      <c r="L51" s="22"/>
      <c r="M51" s="516" t="s">
        <v>995</v>
      </c>
      <c r="N51" s="22"/>
      <c r="O51" s="516" t="s">
        <v>995</v>
      </c>
      <c r="P51" s="22"/>
      <c r="Q51" s="516" t="s">
        <v>995</v>
      </c>
      <c r="R51" s="22"/>
      <c r="S51" s="256" t="s">
        <v>996</v>
      </c>
      <c r="T51" s="517">
        <f>SUM(F51:R51)</f>
        <v>0</v>
      </c>
      <c r="U51" s="457" t="b">
        <f>C51&lt;&gt;0</f>
        <v>0</v>
      </c>
    </row>
    <row r="52" spans="1:21" ht="15.75" customHeight="1">
      <c r="B52" s="3222"/>
      <c r="C52" s="292"/>
      <c r="D52" s="292"/>
      <c r="E52" s="506"/>
      <c r="F52" s="506"/>
      <c r="G52" s="506"/>
      <c r="H52" s="506"/>
      <c r="I52" s="506"/>
      <c r="J52" s="506"/>
      <c r="K52" s="506"/>
      <c r="L52" s="506"/>
      <c r="M52" s="506"/>
      <c r="N52" s="506"/>
      <c r="O52" s="506"/>
      <c r="P52" s="506"/>
      <c r="Q52" s="507"/>
      <c r="R52" s="508" t="s">
        <v>476</v>
      </c>
      <c r="S52" s="506"/>
      <c r="T52" s="518">
        <f>SUM(T47:T51)</f>
        <v>0</v>
      </c>
      <c r="U52" s="457" t="b">
        <f>T52&lt;&gt;0</f>
        <v>0</v>
      </c>
    </row>
    <row r="53" spans="1:21" ht="15.75" customHeight="1">
      <c r="C53" s="519"/>
      <c r="D53" s="519"/>
    </row>
    <row r="54" spans="1:21" ht="15.75" customHeight="1">
      <c r="B54" s="221"/>
      <c r="C54" s="512"/>
      <c r="D54" s="512"/>
      <c r="E54" s="221"/>
      <c r="F54" s="221"/>
      <c r="G54" s="221"/>
      <c r="H54" s="221"/>
      <c r="I54" s="221"/>
      <c r="J54" s="221"/>
      <c r="K54" s="221"/>
      <c r="L54" s="221"/>
      <c r="M54" s="221"/>
      <c r="N54" s="221"/>
      <c r="O54" s="221"/>
      <c r="P54" s="221"/>
      <c r="Q54" s="221"/>
      <c r="R54" s="221"/>
      <c r="S54" s="221"/>
      <c r="T54" s="221"/>
    </row>
    <row r="55" spans="1:21" ht="15.75" customHeight="1">
      <c r="A55" s="457">
        <f>ROW()</f>
        <v>55</v>
      </c>
      <c r="B55" s="2681" t="s">
        <v>478</v>
      </c>
      <c r="C55" s="3227"/>
      <c r="D55" s="3228"/>
      <c r="E55" s="467" t="s">
        <v>994</v>
      </c>
      <c r="F55" s="491"/>
      <c r="G55" s="324" t="s">
        <v>995</v>
      </c>
      <c r="H55" s="491"/>
      <c r="I55" s="324" t="s">
        <v>995</v>
      </c>
      <c r="J55" s="491"/>
      <c r="K55" s="324" t="s">
        <v>995</v>
      </c>
      <c r="L55" s="491"/>
      <c r="M55" s="324" t="s">
        <v>995</v>
      </c>
      <c r="N55" s="491"/>
      <c r="O55" s="324" t="s">
        <v>995</v>
      </c>
      <c r="P55" s="491"/>
      <c r="Q55" s="324" t="s">
        <v>995</v>
      </c>
      <c r="R55" s="491"/>
      <c r="S55" s="354" t="s">
        <v>996</v>
      </c>
      <c r="T55" s="493">
        <f>SUM(F55:R55)</f>
        <v>0</v>
      </c>
      <c r="U55" s="457" t="b">
        <f>C55&lt;&gt;0</f>
        <v>0</v>
      </c>
    </row>
    <row r="56" spans="1:21" ht="15.75" customHeight="1">
      <c r="B56" s="2681"/>
      <c r="C56" s="3223"/>
      <c r="D56" s="3224"/>
      <c r="E56" s="473" t="s">
        <v>994</v>
      </c>
      <c r="F56" s="481"/>
      <c r="G56" s="513" t="s">
        <v>995</v>
      </c>
      <c r="H56" s="481"/>
      <c r="I56" s="513" t="s">
        <v>995</v>
      </c>
      <c r="J56" s="481"/>
      <c r="K56" s="513" t="s">
        <v>995</v>
      </c>
      <c r="L56" s="481"/>
      <c r="M56" s="513" t="s">
        <v>995</v>
      </c>
      <c r="N56" s="481"/>
      <c r="O56" s="513" t="s">
        <v>995</v>
      </c>
      <c r="P56" s="481"/>
      <c r="Q56" s="513" t="s">
        <v>995</v>
      </c>
      <c r="R56" s="481"/>
      <c r="S56" s="254" t="s">
        <v>996</v>
      </c>
      <c r="T56" s="483">
        <f>SUM(F56:R56)</f>
        <v>0</v>
      </c>
      <c r="U56" s="457" t="b">
        <f>C56&lt;&gt;0</f>
        <v>0</v>
      </c>
    </row>
    <row r="57" spans="1:21" ht="15.75" customHeight="1">
      <c r="B57" s="2681"/>
      <c r="C57" s="3223"/>
      <c r="D57" s="3224"/>
      <c r="E57" s="473" t="s">
        <v>994</v>
      </c>
      <c r="F57" s="481"/>
      <c r="G57" s="513" t="s">
        <v>995</v>
      </c>
      <c r="H57" s="481"/>
      <c r="I57" s="513" t="s">
        <v>995</v>
      </c>
      <c r="J57" s="481"/>
      <c r="K57" s="513" t="s">
        <v>995</v>
      </c>
      <c r="L57" s="481"/>
      <c r="M57" s="513" t="s">
        <v>995</v>
      </c>
      <c r="N57" s="481"/>
      <c r="O57" s="513" t="s">
        <v>995</v>
      </c>
      <c r="P57" s="481"/>
      <c r="Q57" s="513" t="s">
        <v>995</v>
      </c>
      <c r="R57" s="481"/>
      <c r="S57" s="254" t="s">
        <v>996</v>
      </c>
      <c r="T57" s="483">
        <f>SUM(F57:R57)</f>
        <v>0</v>
      </c>
      <c r="U57" s="457" t="b">
        <f>C57&lt;&gt;0</f>
        <v>0</v>
      </c>
    </row>
    <row r="58" spans="1:21" ht="15.75" customHeight="1">
      <c r="B58" s="2681"/>
      <c r="C58" s="3223"/>
      <c r="D58" s="3224"/>
      <c r="E58" s="473" t="s">
        <v>994</v>
      </c>
      <c r="F58" s="481"/>
      <c r="G58" s="513" t="s">
        <v>995</v>
      </c>
      <c r="H58" s="481"/>
      <c r="I58" s="513" t="s">
        <v>995</v>
      </c>
      <c r="J58" s="481"/>
      <c r="K58" s="513" t="s">
        <v>995</v>
      </c>
      <c r="L58" s="481"/>
      <c r="M58" s="513" t="s">
        <v>995</v>
      </c>
      <c r="N58" s="481"/>
      <c r="O58" s="513" t="s">
        <v>995</v>
      </c>
      <c r="P58" s="481"/>
      <c r="Q58" s="513" t="s">
        <v>995</v>
      </c>
      <c r="R58" s="481"/>
      <c r="S58" s="254" t="s">
        <v>996</v>
      </c>
      <c r="T58" s="483">
        <f>SUM(F58:R58)</f>
        <v>0</v>
      </c>
      <c r="U58" s="457" t="b">
        <f>C58&lt;&gt;0</f>
        <v>0</v>
      </c>
    </row>
    <row r="59" spans="1:21" ht="15.75" customHeight="1">
      <c r="B59" s="2681"/>
      <c r="C59" s="3225"/>
      <c r="D59" s="3226"/>
      <c r="E59" s="515" t="s">
        <v>994</v>
      </c>
      <c r="F59" s="22"/>
      <c r="G59" s="516" t="s">
        <v>995</v>
      </c>
      <c r="H59" s="22"/>
      <c r="I59" s="516" t="s">
        <v>995</v>
      </c>
      <c r="J59" s="22"/>
      <c r="K59" s="516" t="s">
        <v>995</v>
      </c>
      <c r="L59" s="22"/>
      <c r="M59" s="516" t="s">
        <v>995</v>
      </c>
      <c r="N59" s="22"/>
      <c r="O59" s="516" t="s">
        <v>995</v>
      </c>
      <c r="P59" s="22"/>
      <c r="Q59" s="516" t="s">
        <v>995</v>
      </c>
      <c r="R59" s="22"/>
      <c r="S59" s="256" t="s">
        <v>996</v>
      </c>
      <c r="T59" s="517">
        <f>SUM(F59:R59)</f>
        <v>0</v>
      </c>
      <c r="U59" s="457" t="b">
        <f>C59&lt;&gt;0</f>
        <v>0</v>
      </c>
    </row>
    <row r="60" spans="1:21" ht="15.75" customHeight="1">
      <c r="B60" s="3222"/>
      <c r="C60" s="292"/>
      <c r="D60" s="292"/>
      <c r="E60" s="506"/>
      <c r="F60" s="506"/>
      <c r="G60" s="506"/>
      <c r="H60" s="506"/>
      <c r="I60" s="506"/>
      <c r="J60" s="506"/>
      <c r="K60" s="506"/>
      <c r="L60" s="506"/>
      <c r="M60" s="506"/>
      <c r="N60" s="506"/>
      <c r="O60" s="506"/>
      <c r="P60" s="506"/>
      <c r="Q60" s="507"/>
      <c r="R60" s="508" t="s">
        <v>476</v>
      </c>
      <c r="S60" s="506"/>
      <c r="T60" s="518">
        <f>SUM(T55:T59)</f>
        <v>0</v>
      </c>
      <c r="U60" s="457" t="b">
        <f>T60&lt;&gt;0</f>
        <v>0</v>
      </c>
    </row>
    <row r="61" spans="1:21" ht="15.75" customHeight="1">
      <c r="C61" s="519"/>
      <c r="D61" s="519"/>
    </row>
    <row r="62" spans="1:21" ht="15.75" customHeight="1">
      <c r="B62" s="221"/>
      <c r="C62" s="512"/>
      <c r="D62" s="512"/>
      <c r="E62" s="221"/>
      <c r="F62" s="221"/>
      <c r="G62" s="221"/>
      <c r="H62" s="221"/>
      <c r="I62" s="221"/>
      <c r="J62" s="221"/>
      <c r="K62" s="221"/>
      <c r="L62" s="221"/>
      <c r="M62" s="221"/>
      <c r="N62" s="221"/>
      <c r="O62" s="221"/>
      <c r="P62" s="221"/>
      <c r="Q62" s="221"/>
      <c r="R62" s="221"/>
      <c r="S62" s="221"/>
      <c r="T62" s="221"/>
    </row>
    <row r="63" spans="1:21" ht="15.75" customHeight="1">
      <c r="B63" s="2681" t="s">
        <v>479</v>
      </c>
      <c r="C63" s="3227"/>
      <c r="D63" s="3228"/>
      <c r="E63" s="467" t="s">
        <v>994</v>
      </c>
      <c r="F63" s="491"/>
      <c r="G63" s="324" t="s">
        <v>995</v>
      </c>
      <c r="H63" s="491"/>
      <c r="I63" s="324" t="s">
        <v>995</v>
      </c>
      <c r="J63" s="491"/>
      <c r="K63" s="324" t="s">
        <v>995</v>
      </c>
      <c r="L63" s="491"/>
      <c r="M63" s="324" t="s">
        <v>995</v>
      </c>
      <c r="N63" s="491"/>
      <c r="O63" s="324" t="s">
        <v>995</v>
      </c>
      <c r="P63" s="491"/>
      <c r="Q63" s="324" t="s">
        <v>995</v>
      </c>
      <c r="R63" s="491"/>
      <c r="S63" s="354" t="s">
        <v>996</v>
      </c>
      <c r="T63" s="493">
        <f>SUM(F63:R63)</f>
        <v>0</v>
      </c>
      <c r="U63" s="457" t="b">
        <f>C63&lt;&gt;0</f>
        <v>0</v>
      </c>
    </row>
    <row r="64" spans="1:21" ht="15.75" customHeight="1">
      <c r="B64" s="2681"/>
      <c r="C64" s="3223"/>
      <c r="D64" s="3224"/>
      <c r="E64" s="473" t="s">
        <v>994</v>
      </c>
      <c r="F64" s="481"/>
      <c r="G64" s="513" t="s">
        <v>995</v>
      </c>
      <c r="H64" s="481"/>
      <c r="I64" s="513" t="s">
        <v>995</v>
      </c>
      <c r="J64" s="481"/>
      <c r="K64" s="513" t="s">
        <v>995</v>
      </c>
      <c r="L64" s="481"/>
      <c r="M64" s="513" t="s">
        <v>995</v>
      </c>
      <c r="N64" s="481"/>
      <c r="O64" s="513" t="s">
        <v>995</v>
      </c>
      <c r="P64" s="481"/>
      <c r="Q64" s="513" t="s">
        <v>995</v>
      </c>
      <c r="R64" s="481"/>
      <c r="S64" s="254" t="s">
        <v>996</v>
      </c>
      <c r="T64" s="483">
        <f>SUM(F64:R64)</f>
        <v>0</v>
      </c>
      <c r="U64" s="457" t="b">
        <f>C64&lt;&gt;0</f>
        <v>0</v>
      </c>
    </row>
    <row r="65" spans="1:21" ht="15.75" customHeight="1">
      <c r="B65" s="2681"/>
      <c r="C65" s="3223"/>
      <c r="D65" s="3224"/>
      <c r="E65" s="473" t="s">
        <v>994</v>
      </c>
      <c r="F65" s="481"/>
      <c r="G65" s="513" t="s">
        <v>995</v>
      </c>
      <c r="H65" s="481"/>
      <c r="I65" s="513" t="s">
        <v>995</v>
      </c>
      <c r="J65" s="481"/>
      <c r="K65" s="513" t="s">
        <v>995</v>
      </c>
      <c r="L65" s="481"/>
      <c r="M65" s="513" t="s">
        <v>995</v>
      </c>
      <c r="N65" s="481"/>
      <c r="O65" s="513" t="s">
        <v>995</v>
      </c>
      <c r="P65" s="481"/>
      <c r="Q65" s="513" t="s">
        <v>995</v>
      </c>
      <c r="R65" s="481"/>
      <c r="S65" s="254" t="s">
        <v>996</v>
      </c>
      <c r="T65" s="483">
        <f>SUM(F65:R65)</f>
        <v>0</v>
      </c>
      <c r="U65" s="457" t="b">
        <f>C65&lt;&gt;0</f>
        <v>0</v>
      </c>
    </row>
    <row r="66" spans="1:21" ht="15.75" customHeight="1">
      <c r="B66" s="2681"/>
      <c r="C66" s="3223"/>
      <c r="D66" s="3224"/>
      <c r="E66" s="473" t="s">
        <v>994</v>
      </c>
      <c r="F66" s="481"/>
      <c r="G66" s="513" t="s">
        <v>995</v>
      </c>
      <c r="H66" s="481"/>
      <c r="I66" s="513" t="s">
        <v>995</v>
      </c>
      <c r="J66" s="481"/>
      <c r="K66" s="513" t="s">
        <v>995</v>
      </c>
      <c r="L66" s="481"/>
      <c r="M66" s="513" t="s">
        <v>995</v>
      </c>
      <c r="N66" s="481"/>
      <c r="O66" s="513" t="s">
        <v>995</v>
      </c>
      <c r="P66" s="481"/>
      <c r="Q66" s="513" t="s">
        <v>995</v>
      </c>
      <c r="R66" s="481"/>
      <c r="S66" s="254" t="s">
        <v>996</v>
      </c>
      <c r="T66" s="483">
        <f>SUM(F66:R66)</f>
        <v>0</v>
      </c>
      <c r="U66" s="457" t="b">
        <f>C66&lt;&gt;0</f>
        <v>0</v>
      </c>
    </row>
    <row r="67" spans="1:21" ht="15.75" customHeight="1">
      <c r="B67" s="2681"/>
      <c r="C67" s="3225"/>
      <c r="D67" s="3226"/>
      <c r="E67" s="515" t="s">
        <v>994</v>
      </c>
      <c r="F67" s="22"/>
      <c r="G67" s="516" t="s">
        <v>995</v>
      </c>
      <c r="H67" s="22"/>
      <c r="I67" s="516" t="s">
        <v>995</v>
      </c>
      <c r="J67" s="22"/>
      <c r="K67" s="516" t="s">
        <v>995</v>
      </c>
      <c r="L67" s="22"/>
      <c r="M67" s="516" t="s">
        <v>995</v>
      </c>
      <c r="N67" s="22"/>
      <c r="O67" s="516" t="s">
        <v>995</v>
      </c>
      <c r="P67" s="22"/>
      <c r="Q67" s="516" t="s">
        <v>995</v>
      </c>
      <c r="R67" s="22"/>
      <c r="S67" s="256" t="s">
        <v>996</v>
      </c>
      <c r="T67" s="517">
        <f>SUM(F67:R67)</f>
        <v>0</v>
      </c>
      <c r="U67" s="457" t="b">
        <f>C67&lt;&gt;0</f>
        <v>0</v>
      </c>
    </row>
    <row r="68" spans="1:21" ht="15.75" customHeight="1">
      <c r="B68" s="3222"/>
      <c r="C68" s="292"/>
      <c r="D68" s="292"/>
      <c r="E68" s="506"/>
      <c r="F68" s="506"/>
      <c r="G68" s="506"/>
      <c r="H68" s="506"/>
      <c r="I68" s="506"/>
      <c r="J68" s="506"/>
      <c r="K68" s="506"/>
      <c r="L68" s="506"/>
      <c r="M68" s="506"/>
      <c r="N68" s="506"/>
      <c r="O68" s="506"/>
      <c r="P68" s="506"/>
      <c r="Q68" s="507"/>
      <c r="R68" s="508" t="s">
        <v>476</v>
      </c>
      <c r="S68" s="506"/>
      <c r="T68" s="518">
        <f>SUM(T63:T67)</f>
        <v>0</v>
      </c>
      <c r="U68" s="457" t="b">
        <f>T68&lt;&gt;0</f>
        <v>0</v>
      </c>
    </row>
    <row r="69" spans="1:21" ht="15.75" customHeight="1">
      <c r="C69" s="519"/>
      <c r="D69" s="519"/>
    </row>
    <row r="70" spans="1:21" ht="15.75" customHeight="1">
      <c r="B70" s="221"/>
      <c r="C70" s="512"/>
      <c r="D70" s="512"/>
      <c r="E70" s="221"/>
      <c r="F70" s="221"/>
      <c r="G70" s="221"/>
      <c r="H70" s="221"/>
      <c r="I70" s="221"/>
      <c r="J70" s="221"/>
      <c r="K70" s="221"/>
      <c r="L70" s="221"/>
      <c r="M70" s="221"/>
      <c r="N70" s="221"/>
      <c r="O70" s="221"/>
      <c r="P70" s="221"/>
      <c r="Q70" s="221"/>
      <c r="R70" s="221"/>
      <c r="S70" s="221"/>
      <c r="T70" s="221"/>
    </row>
    <row r="71" spans="1:21" ht="15.75" customHeight="1">
      <c r="A71" s="457">
        <f>ROW()</f>
        <v>71</v>
      </c>
      <c r="B71" s="2681" t="s">
        <v>2074</v>
      </c>
      <c r="C71" s="3231" t="s">
        <v>480</v>
      </c>
      <c r="D71" s="520"/>
      <c r="E71" s="467" t="s">
        <v>994</v>
      </c>
      <c r="F71" s="491"/>
      <c r="G71" s="324" t="s">
        <v>995</v>
      </c>
      <c r="H71" s="491"/>
      <c r="I71" s="324" t="s">
        <v>995</v>
      </c>
      <c r="J71" s="491"/>
      <c r="K71" s="324" t="s">
        <v>995</v>
      </c>
      <c r="L71" s="491"/>
      <c r="M71" s="324" t="s">
        <v>995</v>
      </c>
      <c r="N71" s="491"/>
      <c r="O71" s="324" t="s">
        <v>995</v>
      </c>
      <c r="P71" s="491"/>
      <c r="Q71" s="324" t="s">
        <v>995</v>
      </c>
      <c r="R71" s="491"/>
      <c r="S71" s="354" t="s">
        <v>996</v>
      </c>
      <c r="T71" s="521">
        <f t="shared" ref="T71:T85" si="2">SUM(F71:R71)</f>
        <v>0</v>
      </c>
      <c r="U71" s="457" t="b">
        <f>D71&lt;&gt;0</f>
        <v>0</v>
      </c>
    </row>
    <row r="72" spans="1:21" ht="15.75" customHeight="1">
      <c r="B72" s="2681"/>
      <c r="C72" s="3231"/>
      <c r="D72" s="522"/>
      <c r="E72" s="473" t="s">
        <v>994</v>
      </c>
      <c r="F72" s="481"/>
      <c r="G72" s="513" t="s">
        <v>995</v>
      </c>
      <c r="H72" s="481"/>
      <c r="I72" s="513" t="s">
        <v>995</v>
      </c>
      <c r="J72" s="481"/>
      <c r="K72" s="513" t="s">
        <v>995</v>
      </c>
      <c r="L72" s="481"/>
      <c r="M72" s="513" t="s">
        <v>995</v>
      </c>
      <c r="N72" s="481"/>
      <c r="O72" s="513" t="s">
        <v>995</v>
      </c>
      <c r="P72" s="481"/>
      <c r="Q72" s="513" t="s">
        <v>995</v>
      </c>
      <c r="R72" s="481"/>
      <c r="S72" s="254" t="s">
        <v>996</v>
      </c>
      <c r="T72" s="523">
        <f t="shared" si="2"/>
        <v>0</v>
      </c>
      <c r="U72" s="457" t="b">
        <f>D72&lt;&gt;0</f>
        <v>0</v>
      </c>
    </row>
    <row r="73" spans="1:21" ht="15.75" customHeight="1">
      <c r="B73" s="2681"/>
      <c r="C73" s="3231"/>
      <c r="D73" s="522"/>
      <c r="E73" s="473" t="s">
        <v>994</v>
      </c>
      <c r="F73" s="481"/>
      <c r="G73" s="513" t="s">
        <v>995</v>
      </c>
      <c r="H73" s="481"/>
      <c r="I73" s="513" t="s">
        <v>995</v>
      </c>
      <c r="J73" s="481"/>
      <c r="K73" s="513" t="s">
        <v>995</v>
      </c>
      <c r="L73" s="481"/>
      <c r="M73" s="513" t="s">
        <v>995</v>
      </c>
      <c r="N73" s="481"/>
      <c r="O73" s="513" t="s">
        <v>995</v>
      </c>
      <c r="P73" s="481"/>
      <c r="Q73" s="513" t="s">
        <v>995</v>
      </c>
      <c r="R73" s="481"/>
      <c r="S73" s="254" t="s">
        <v>996</v>
      </c>
      <c r="T73" s="523">
        <f t="shared" si="2"/>
        <v>0</v>
      </c>
      <c r="U73" s="457" t="b">
        <f>D73&lt;&gt;0</f>
        <v>0</v>
      </c>
    </row>
    <row r="74" spans="1:21" ht="15.75" customHeight="1">
      <c r="B74" s="2681"/>
      <c r="C74" s="3231"/>
      <c r="D74" s="522"/>
      <c r="E74" s="473" t="s">
        <v>994</v>
      </c>
      <c r="F74" s="481"/>
      <c r="G74" s="513" t="s">
        <v>995</v>
      </c>
      <c r="H74" s="481"/>
      <c r="I74" s="513" t="s">
        <v>995</v>
      </c>
      <c r="J74" s="481"/>
      <c r="K74" s="513" t="s">
        <v>995</v>
      </c>
      <c r="L74" s="481"/>
      <c r="M74" s="513" t="s">
        <v>995</v>
      </c>
      <c r="N74" s="481"/>
      <c r="O74" s="513" t="s">
        <v>995</v>
      </c>
      <c r="P74" s="481"/>
      <c r="Q74" s="513" t="s">
        <v>995</v>
      </c>
      <c r="R74" s="481"/>
      <c r="S74" s="254" t="s">
        <v>996</v>
      </c>
      <c r="T74" s="523">
        <f t="shared" si="2"/>
        <v>0</v>
      </c>
      <c r="U74" s="457" t="b">
        <f>D74&lt;&gt;0</f>
        <v>0</v>
      </c>
    </row>
    <row r="75" spans="1:21" ht="15.75" customHeight="1">
      <c r="B75" s="2681"/>
      <c r="C75" s="3232"/>
      <c r="D75" s="524"/>
      <c r="E75" s="515" t="s">
        <v>994</v>
      </c>
      <c r="F75" s="22"/>
      <c r="G75" s="516" t="s">
        <v>995</v>
      </c>
      <c r="H75" s="22"/>
      <c r="I75" s="516" t="s">
        <v>995</v>
      </c>
      <c r="J75" s="22"/>
      <c r="K75" s="516" t="s">
        <v>995</v>
      </c>
      <c r="L75" s="22"/>
      <c r="M75" s="516" t="s">
        <v>995</v>
      </c>
      <c r="N75" s="22"/>
      <c r="O75" s="516" t="s">
        <v>995</v>
      </c>
      <c r="P75" s="22"/>
      <c r="Q75" s="516" t="s">
        <v>995</v>
      </c>
      <c r="R75" s="22"/>
      <c r="S75" s="256" t="s">
        <v>996</v>
      </c>
      <c r="T75" s="142">
        <f t="shared" si="2"/>
        <v>0</v>
      </c>
      <c r="U75" s="457" t="b">
        <f>D75&lt;&gt;0</f>
        <v>0</v>
      </c>
    </row>
    <row r="76" spans="1:21" ht="15.75" customHeight="1">
      <c r="B76" s="2681"/>
      <c r="C76" s="3227"/>
      <c r="D76" s="3228"/>
      <c r="E76" s="467" t="s">
        <v>994</v>
      </c>
      <c r="F76" s="491"/>
      <c r="G76" s="324" t="s">
        <v>995</v>
      </c>
      <c r="H76" s="491"/>
      <c r="I76" s="324" t="s">
        <v>995</v>
      </c>
      <c r="J76" s="491"/>
      <c r="K76" s="324" t="s">
        <v>995</v>
      </c>
      <c r="L76" s="491"/>
      <c r="M76" s="324" t="s">
        <v>995</v>
      </c>
      <c r="N76" s="491"/>
      <c r="O76" s="324" t="s">
        <v>995</v>
      </c>
      <c r="P76" s="491"/>
      <c r="Q76" s="324" t="s">
        <v>995</v>
      </c>
      <c r="R76" s="491"/>
      <c r="S76" s="354" t="s">
        <v>996</v>
      </c>
      <c r="T76" s="493">
        <f t="shared" si="2"/>
        <v>0</v>
      </c>
      <c r="U76" s="457" t="b">
        <f>C76&lt;&gt;0</f>
        <v>0</v>
      </c>
    </row>
    <row r="77" spans="1:21" ht="15.75" customHeight="1">
      <c r="B77" s="2681"/>
      <c r="C77" s="3223"/>
      <c r="D77" s="3224"/>
      <c r="E77" s="473" t="s">
        <v>994</v>
      </c>
      <c r="F77" s="481"/>
      <c r="G77" s="513" t="s">
        <v>995</v>
      </c>
      <c r="H77" s="481"/>
      <c r="I77" s="513" t="s">
        <v>995</v>
      </c>
      <c r="J77" s="481"/>
      <c r="K77" s="513" t="s">
        <v>995</v>
      </c>
      <c r="L77" s="481"/>
      <c r="M77" s="513" t="s">
        <v>995</v>
      </c>
      <c r="N77" s="481"/>
      <c r="O77" s="513" t="s">
        <v>995</v>
      </c>
      <c r="P77" s="481"/>
      <c r="Q77" s="513" t="s">
        <v>995</v>
      </c>
      <c r="R77" s="481"/>
      <c r="S77" s="254" t="s">
        <v>996</v>
      </c>
      <c r="T77" s="483">
        <f t="shared" si="2"/>
        <v>0</v>
      </c>
      <c r="U77" s="457" t="b">
        <f>C77&lt;&gt;0</f>
        <v>0</v>
      </c>
    </row>
    <row r="78" spans="1:21" ht="15.75" customHeight="1">
      <c r="B78" s="2681"/>
      <c r="C78" s="3223"/>
      <c r="D78" s="3224"/>
      <c r="E78" s="473" t="s">
        <v>994</v>
      </c>
      <c r="F78" s="481"/>
      <c r="G78" s="513" t="s">
        <v>995</v>
      </c>
      <c r="H78" s="481"/>
      <c r="I78" s="513" t="s">
        <v>995</v>
      </c>
      <c r="J78" s="481"/>
      <c r="K78" s="513" t="s">
        <v>995</v>
      </c>
      <c r="L78" s="481"/>
      <c r="M78" s="513" t="s">
        <v>995</v>
      </c>
      <c r="N78" s="481"/>
      <c r="O78" s="513" t="s">
        <v>995</v>
      </c>
      <c r="P78" s="481"/>
      <c r="Q78" s="513" t="s">
        <v>995</v>
      </c>
      <c r="R78" s="481"/>
      <c r="S78" s="254" t="s">
        <v>996</v>
      </c>
      <c r="T78" s="483">
        <f t="shared" si="2"/>
        <v>0</v>
      </c>
      <c r="U78" s="457" t="b">
        <f>C78&lt;&gt;0</f>
        <v>0</v>
      </c>
    </row>
    <row r="79" spans="1:21" ht="15.75" customHeight="1">
      <c r="B79" s="2681"/>
      <c r="C79" s="3223"/>
      <c r="D79" s="3224"/>
      <c r="E79" s="473" t="s">
        <v>994</v>
      </c>
      <c r="F79" s="481"/>
      <c r="G79" s="513" t="s">
        <v>995</v>
      </c>
      <c r="H79" s="481"/>
      <c r="I79" s="513" t="s">
        <v>995</v>
      </c>
      <c r="J79" s="481"/>
      <c r="K79" s="513" t="s">
        <v>995</v>
      </c>
      <c r="L79" s="481"/>
      <c r="M79" s="513" t="s">
        <v>995</v>
      </c>
      <c r="N79" s="481"/>
      <c r="O79" s="513" t="s">
        <v>995</v>
      </c>
      <c r="P79" s="481"/>
      <c r="Q79" s="513" t="s">
        <v>995</v>
      </c>
      <c r="R79" s="481"/>
      <c r="S79" s="254" t="s">
        <v>996</v>
      </c>
      <c r="T79" s="483">
        <f t="shared" si="2"/>
        <v>0</v>
      </c>
      <c r="U79" s="457" t="b">
        <f>C79&lt;&gt;0</f>
        <v>0</v>
      </c>
    </row>
    <row r="80" spans="1:21" ht="15.75" customHeight="1">
      <c r="B80" s="2681"/>
      <c r="C80" s="3225"/>
      <c r="D80" s="3226"/>
      <c r="E80" s="515" t="s">
        <v>994</v>
      </c>
      <c r="F80" s="22"/>
      <c r="G80" s="516" t="s">
        <v>995</v>
      </c>
      <c r="H80" s="22"/>
      <c r="I80" s="516" t="s">
        <v>995</v>
      </c>
      <c r="J80" s="22"/>
      <c r="K80" s="516" t="s">
        <v>995</v>
      </c>
      <c r="L80" s="22"/>
      <c r="M80" s="516" t="s">
        <v>995</v>
      </c>
      <c r="N80" s="22"/>
      <c r="O80" s="516" t="s">
        <v>995</v>
      </c>
      <c r="P80" s="22"/>
      <c r="Q80" s="516" t="s">
        <v>995</v>
      </c>
      <c r="R80" s="22"/>
      <c r="S80" s="256" t="s">
        <v>996</v>
      </c>
      <c r="T80" s="517">
        <f t="shared" si="2"/>
        <v>0</v>
      </c>
      <c r="U80" s="457" t="b">
        <f>C80&lt;&gt;0</f>
        <v>0</v>
      </c>
    </row>
    <row r="81" spans="1:21" ht="15.75" customHeight="1">
      <c r="B81" s="3221"/>
      <c r="C81" s="2674" t="s">
        <v>481</v>
      </c>
      <c r="D81" s="466"/>
      <c r="E81" s="467" t="s">
        <v>994</v>
      </c>
      <c r="F81" s="491"/>
      <c r="G81" s="324" t="s">
        <v>995</v>
      </c>
      <c r="H81" s="491"/>
      <c r="I81" s="324" t="s">
        <v>995</v>
      </c>
      <c r="J81" s="491"/>
      <c r="K81" s="324" t="s">
        <v>995</v>
      </c>
      <c r="L81" s="491"/>
      <c r="M81" s="324" t="s">
        <v>995</v>
      </c>
      <c r="N81" s="491"/>
      <c r="O81" s="324" t="s">
        <v>995</v>
      </c>
      <c r="P81" s="491"/>
      <c r="Q81" s="324" t="s">
        <v>995</v>
      </c>
      <c r="R81" s="491"/>
      <c r="S81" s="354" t="s">
        <v>996</v>
      </c>
      <c r="T81" s="493">
        <f t="shared" si="2"/>
        <v>0</v>
      </c>
      <c r="U81" s="457" t="b">
        <f>D81&lt;&gt;0</f>
        <v>0</v>
      </c>
    </row>
    <row r="82" spans="1:21" ht="15.75" customHeight="1">
      <c r="B82" s="3221"/>
      <c r="C82" s="2791"/>
      <c r="D82" s="1947"/>
      <c r="E82" s="473" t="s">
        <v>1965</v>
      </c>
      <c r="F82" s="1950"/>
      <c r="G82" s="513" t="s">
        <v>896</v>
      </c>
      <c r="H82" s="1950"/>
      <c r="I82" s="513" t="s">
        <v>896</v>
      </c>
      <c r="J82" s="1950"/>
      <c r="K82" s="513" t="s">
        <v>896</v>
      </c>
      <c r="L82" s="1950"/>
      <c r="M82" s="513" t="s">
        <v>896</v>
      </c>
      <c r="N82" s="1950"/>
      <c r="O82" s="513" t="s">
        <v>896</v>
      </c>
      <c r="P82" s="1950"/>
      <c r="Q82" s="513" t="s">
        <v>896</v>
      </c>
      <c r="R82" s="1950"/>
      <c r="S82" s="1942" t="s">
        <v>980</v>
      </c>
      <c r="T82" s="483">
        <f t="shared" si="2"/>
        <v>0</v>
      </c>
      <c r="U82" s="457" t="b">
        <f t="shared" ref="U82:U83" si="3">D82&lt;&gt;0</f>
        <v>0</v>
      </c>
    </row>
    <row r="83" spans="1:21" ht="15.75" customHeight="1">
      <c r="B83" s="3221"/>
      <c r="C83" s="2791"/>
      <c r="D83" s="1947"/>
      <c r="E83" s="473" t="s">
        <v>1965</v>
      </c>
      <c r="F83" s="1950"/>
      <c r="G83" s="513" t="s">
        <v>896</v>
      </c>
      <c r="H83" s="1950"/>
      <c r="I83" s="513" t="s">
        <v>896</v>
      </c>
      <c r="J83" s="1950"/>
      <c r="K83" s="513" t="s">
        <v>896</v>
      </c>
      <c r="L83" s="1950"/>
      <c r="M83" s="513" t="s">
        <v>896</v>
      </c>
      <c r="N83" s="1950"/>
      <c r="O83" s="513" t="s">
        <v>896</v>
      </c>
      <c r="P83" s="1950"/>
      <c r="Q83" s="513" t="s">
        <v>896</v>
      </c>
      <c r="R83" s="1950"/>
      <c r="S83" s="1942" t="s">
        <v>980</v>
      </c>
      <c r="T83" s="483">
        <f t="shared" si="2"/>
        <v>0</v>
      </c>
      <c r="U83" s="457" t="b">
        <f t="shared" si="3"/>
        <v>0</v>
      </c>
    </row>
    <row r="84" spans="1:21" ht="15.75" customHeight="1">
      <c r="B84" s="3221"/>
      <c r="C84" s="2791"/>
      <c r="D84" s="1947"/>
      <c r="E84" s="473" t="s">
        <v>1965</v>
      </c>
      <c r="F84" s="1950"/>
      <c r="G84" s="513" t="s">
        <v>896</v>
      </c>
      <c r="H84" s="1950"/>
      <c r="I84" s="513" t="s">
        <v>896</v>
      </c>
      <c r="J84" s="1950"/>
      <c r="K84" s="513" t="s">
        <v>896</v>
      </c>
      <c r="L84" s="1950"/>
      <c r="M84" s="513" t="s">
        <v>896</v>
      </c>
      <c r="N84" s="1950"/>
      <c r="O84" s="513" t="s">
        <v>896</v>
      </c>
      <c r="P84" s="1950"/>
      <c r="Q84" s="513" t="s">
        <v>896</v>
      </c>
      <c r="R84" s="1950"/>
      <c r="S84" s="1942" t="s">
        <v>980</v>
      </c>
      <c r="T84" s="483">
        <f t="shared" ref="T84" si="4">SUM(F84:R84)</f>
        <v>0</v>
      </c>
      <c r="U84" s="457" t="b">
        <f>D84&lt;&gt;0</f>
        <v>0</v>
      </c>
    </row>
    <row r="85" spans="1:21" ht="15.75" customHeight="1">
      <c r="B85" s="3221"/>
      <c r="C85" s="2674"/>
      <c r="D85" s="514"/>
      <c r="E85" s="515" t="s">
        <v>994</v>
      </c>
      <c r="F85" s="22"/>
      <c r="G85" s="516" t="s">
        <v>995</v>
      </c>
      <c r="H85" s="22"/>
      <c r="I85" s="516" t="s">
        <v>995</v>
      </c>
      <c r="J85" s="22"/>
      <c r="K85" s="516" t="s">
        <v>995</v>
      </c>
      <c r="L85" s="22"/>
      <c r="M85" s="516" t="s">
        <v>995</v>
      </c>
      <c r="N85" s="22"/>
      <c r="O85" s="516" t="s">
        <v>995</v>
      </c>
      <c r="P85" s="22"/>
      <c r="Q85" s="516" t="s">
        <v>995</v>
      </c>
      <c r="R85" s="22"/>
      <c r="S85" s="256" t="s">
        <v>996</v>
      </c>
      <c r="T85" s="517">
        <f t="shared" si="2"/>
        <v>0</v>
      </c>
      <c r="U85" s="457" t="b">
        <f>D85&lt;&gt;0</f>
        <v>0</v>
      </c>
    </row>
    <row r="86" spans="1:21" ht="15.75" customHeight="1">
      <c r="B86" s="3222"/>
      <c r="C86" s="292"/>
      <c r="D86" s="292"/>
      <c r="E86" s="506"/>
      <c r="F86" s="506"/>
      <c r="G86" s="506"/>
      <c r="H86" s="506"/>
      <c r="I86" s="506"/>
      <c r="J86" s="506"/>
      <c r="K86" s="506"/>
      <c r="L86" s="506"/>
      <c r="M86" s="506"/>
      <c r="N86" s="506"/>
      <c r="O86" s="506"/>
      <c r="P86" s="506"/>
      <c r="Q86" s="507"/>
      <c r="R86" s="508" t="s">
        <v>482</v>
      </c>
      <c r="S86" s="506"/>
      <c r="T86" s="518">
        <f>SUM(T76:T80)</f>
        <v>0</v>
      </c>
      <c r="U86" s="457" t="b">
        <f>T86&lt;&gt;0</f>
        <v>0</v>
      </c>
    </row>
    <row r="87" spans="1:21" ht="15.75" customHeight="1">
      <c r="C87" s="519"/>
      <c r="D87" s="519"/>
    </row>
    <row r="88" spans="1:21" ht="15.75" customHeight="1">
      <c r="B88" s="221"/>
      <c r="C88" s="512"/>
      <c r="D88" s="512"/>
      <c r="E88" s="221"/>
      <c r="F88" s="221"/>
      <c r="G88" s="221"/>
      <c r="H88" s="221"/>
      <c r="I88" s="221"/>
      <c r="J88" s="221"/>
      <c r="K88" s="221"/>
      <c r="L88" s="221"/>
      <c r="M88" s="221"/>
      <c r="N88" s="221"/>
      <c r="O88" s="221"/>
      <c r="P88" s="221"/>
      <c r="Q88" s="221"/>
      <c r="R88" s="221"/>
      <c r="S88" s="221"/>
      <c r="T88" s="221"/>
    </row>
    <row r="89" spans="1:21" ht="15.75" customHeight="1">
      <c r="A89" s="457">
        <f>ROW()</f>
        <v>89</v>
      </c>
      <c r="B89" s="2681" t="s">
        <v>2075</v>
      </c>
      <c r="C89" s="3242" t="s">
        <v>480</v>
      </c>
      <c r="D89" s="520"/>
      <c r="E89" s="467" t="s">
        <v>994</v>
      </c>
      <c r="F89" s="491"/>
      <c r="G89" s="324" t="s">
        <v>995</v>
      </c>
      <c r="H89" s="491"/>
      <c r="I89" s="324" t="s">
        <v>995</v>
      </c>
      <c r="J89" s="491"/>
      <c r="K89" s="324" t="s">
        <v>995</v>
      </c>
      <c r="L89" s="491"/>
      <c r="M89" s="324" t="s">
        <v>995</v>
      </c>
      <c r="N89" s="491"/>
      <c r="O89" s="324" t="s">
        <v>995</v>
      </c>
      <c r="P89" s="491"/>
      <c r="Q89" s="324" t="s">
        <v>995</v>
      </c>
      <c r="R89" s="491"/>
      <c r="S89" s="354" t="s">
        <v>996</v>
      </c>
      <c r="T89" s="521">
        <f t="shared" ref="T89:T109" si="5">SUM(F89:R89)</f>
        <v>0</v>
      </c>
      <c r="U89" s="457" t="b">
        <f t="shared" ref="U89:U95" si="6">D89&lt;&gt;0</f>
        <v>0</v>
      </c>
    </row>
    <row r="90" spans="1:21" ht="15.75" customHeight="1">
      <c r="B90" s="2681"/>
      <c r="C90" s="3243"/>
      <c r="D90" s="522"/>
      <c r="E90" s="473" t="s">
        <v>994</v>
      </c>
      <c r="F90" s="481"/>
      <c r="G90" s="513" t="s">
        <v>995</v>
      </c>
      <c r="H90" s="481"/>
      <c r="I90" s="513" t="s">
        <v>995</v>
      </c>
      <c r="J90" s="481"/>
      <c r="K90" s="513" t="s">
        <v>995</v>
      </c>
      <c r="L90" s="481"/>
      <c r="M90" s="513" t="s">
        <v>995</v>
      </c>
      <c r="N90" s="481"/>
      <c r="O90" s="513" t="s">
        <v>995</v>
      </c>
      <c r="P90" s="481"/>
      <c r="Q90" s="513" t="s">
        <v>995</v>
      </c>
      <c r="R90" s="481"/>
      <c r="S90" s="254" t="s">
        <v>996</v>
      </c>
      <c r="T90" s="523">
        <f t="shared" si="5"/>
        <v>0</v>
      </c>
      <c r="U90" s="457" t="b">
        <f t="shared" si="6"/>
        <v>0</v>
      </c>
    </row>
    <row r="91" spans="1:21" ht="15.75" customHeight="1">
      <c r="B91" s="2681"/>
      <c r="C91" s="3243"/>
      <c r="D91" s="522"/>
      <c r="E91" s="473" t="s">
        <v>994</v>
      </c>
      <c r="F91" s="481"/>
      <c r="G91" s="513" t="s">
        <v>995</v>
      </c>
      <c r="H91" s="481"/>
      <c r="I91" s="513" t="s">
        <v>995</v>
      </c>
      <c r="J91" s="481"/>
      <c r="K91" s="513" t="s">
        <v>995</v>
      </c>
      <c r="L91" s="481"/>
      <c r="M91" s="513" t="s">
        <v>995</v>
      </c>
      <c r="N91" s="481"/>
      <c r="O91" s="513" t="s">
        <v>995</v>
      </c>
      <c r="P91" s="481"/>
      <c r="Q91" s="513" t="s">
        <v>995</v>
      </c>
      <c r="R91" s="481"/>
      <c r="S91" s="254" t="s">
        <v>996</v>
      </c>
      <c r="T91" s="523">
        <f t="shared" si="5"/>
        <v>0</v>
      </c>
      <c r="U91" s="457" t="b">
        <f t="shared" si="6"/>
        <v>0</v>
      </c>
    </row>
    <row r="92" spans="1:21" ht="15.75" customHeight="1">
      <c r="B92" s="2681"/>
      <c r="C92" s="3243"/>
      <c r="D92" s="522"/>
      <c r="E92" s="473" t="s">
        <v>994</v>
      </c>
      <c r="F92" s="481"/>
      <c r="G92" s="513" t="s">
        <v>995</v>
      </c>
      <c r="H92" s="481"/>
      <c r="I92" s="513" t="s">
        <v>995</v>
      </c>
      <c r="J92" s="481"/>
      <c r="K92" s="513" t="s">
        <v>995</v>
      </c>
      <c r="L92" s="481"/>
      <c r="M92" s="513" t="s">
        <v>995</v>
      </c>
      <c r="N92" s="481"/>
      <c r="O92" s="513" t="s">
        <v>995</v>
      </c>
      <c r="P92" s="481"/>
      <c r="Q92" s="513" t="s">
        <v>995</v>
      </c>
      <c r="R92" s="481"/>
      <c r="S92" s="254" t="s">
        <v>996</v>
      </c>
      <c r="T92" s="523">
        <f t="shared" si="5"/>
        <v>0</v>
      </c>
      <c r="U92" s="457" t="b">
        <f t="shared" si="6"/>
        <v>0</v>
      </c>
    </row>
    <row r="93" spans="1:21" ht="15.75" customHeight="1">
      <c r="B93" s="2681"/>
      <c r="C93" s="3243"/>
      <c r="D93" s="522"/>
      <c r="E93" s="473" t="s">
        <v>994</v>
      </c>
      <c r="F93" s="481"/>
      <c r="G93" s="513" t="s">
        <v>995</v>
      </c>
      <c r="H93" s="481"/>
      <c r="I93" s="513" t="s">
        <v>995</v>
      </c>
      <c r="J93" s="481"/>
      <c r="K93" s="513" t="s">
        <v>995</v>
      </c>
      <c r="L93" s="481"/>
      <c r="M93" s="513" t="s">
        <v>995</v>
      </c>
      <c r="N93" s="481"/>
      <c r="O93" s="513" t="s">
        <v>995</v>
      </c>
      <c r="P93" s="481"/>
      <c r="Q93" s="513" t="s">
        <v>995</v>
      </c>
      <c r="R93" s="481"/>
      <c r="S93" s="254" t="s">
        <v>996</v>
      </c>
      <c r="T93" s="523">
        <f t="shared" si="5"/>
        <v>0</v>
      </c>
      <c r="U93" s="457" t="b">
        <f t="shared" si="6"/>
        <v>0</v>
      </c>
    </row>
    <row r="94" spans="1:21" ht="15.75" customHeight="1">
      <c r="B94" s="2681"/>
      <c r="C94" s="3243"/>
      <c r="D94" s="522"/>
      <c r="E94" s="473" t="s">
        <v>994</v>
      </c>
      <c r="F94" s="481"/>
      <c r="G94" s="513" t="s">
        <v>995</v>
      </c>
      <c r="H94" s="481"/>
      <c r="I94" s="513" t="s">
        <v>995</v>
      </c>
      <c r="J94" s="481"/>
      <c r="K94" s="513" t="s">
        <v>995</v>
      </c>
      <c r="L94" s="481"/>
      <c r="M94" s="513" t="s">
        <v>995</v>
      </c>
      <c r="N94" s="481"/>
      <c r="O94" s="513" t="s">
        <v>995</v>
      </c>
      <c r="P94" s="481"/>
      <c r="Q94" s="513" t="s">
        <v>995</v>
      </c>
      <c r="R94" s="481"/>
      <c r="S94" s="254" t="s">
        <v>996</v>
      </c>
      <c r="T94" s="523">
        <f t="shared" si="5"/>
        <v>0</v>
      </c>
      <c r="U94" s="457" t="b">
        <f t="shared" si="6"/>
        <v>0</v>
      </c>
    </row>
    <row r="95" spans="1:21" ht="15.75" customHeight="1">
      <c r="B95" s="2681"/>
      <c r="C95" s="3244"/>
      <c r="D95" s="524"/>
      <c r="E95" s="515" t="s">
        <v>994</v>
      </c>
      <c r="F95" s="22"/>
      <c r="G95" s="516" t="s">
        <v>995</v>
      </c>
      <c r="H95" s="22"/>
      <c r="I95" s="516" t="s">
        <v>995</v>
      </c>
      <c r="J95" s="22"/>
      <c r="K95" s="516" t="s">
        <v>995</v>
      </c>
      <c r="L95" s="22"/>
      <c r="M95" s="516" t="s">
        <v>995</v>
      </c>
      <c r="N95" s="22"/>
      <c r="O95" s="516" t="s">
        <v>995</v>
      </c>
      <c r="P95" s="22"/>
      <c r="Q95" s="516" t="s">
        <v>995</v>
      </c>
      <c r="R95" s="22"/>
      <c r="S95" s="256" t="s">
        <v>996</v>
      </c>
      <c r="T95" s="142">
        <f t="shared" si="5"/>
        <v>0</v>
      </c>
      <c r="U95" s="457" t="b">
        <f t="shared" si="6"/>
        <v>0</v>
      </c>
    </row>
    <row r="96" spans="1:21" ht="15.75" customHeight="1">
      <c r="B96" s="2681"/>
      <c r="C96" s="3227"/>
      <c r="D96" s="3228"/>
      <c r="E96" s="467" t="s">
        <v>994</v>
      </c>
      <c r="F96" s="491"/>
      <c r="G96" s="324" t="s">
        <v>995</v>
      </c>
      <c r="H96" s="491"/>
      <c r="I96" s="324" t="s">
        <v>995</v>
      </c>
      <c r="J96" s="491"/>
      <c r="K96" s="324" t="s">
        <v>995</v>
      </c>
      <c r="L96" s="491"/>
      <c r="M96" s="324" t="s">
        <v>995</v>
      </c>
      <c r="N96" s="491"/>
      <c r="O96" s="324" t="s">
        <v>995</v>
      </c>
      <c r="P96" s="491"/>
      <c r="Q96" s="324" t="s">
        <v>995</v>
      </c>
      <c r="R96" s="491"/>
      <c r="S96" s="354" t="s">
        <v>996</v>
      </c>
      <c r="T96" s="493">
        <f t="shared" si="5"/>
        <v>0</v>
      </c>
      <c r="U96" s="457" t="b">
        <f t="shared" ref="U96:U104" si="7">C96&lt;&gt;0</f>
        <v>0</v>
      </c>
    </row>
    <row r="97" spans="2:21" ht="15.75" customHeight="1">
      <c r="B97" s="2681"/>
      <c r="C97" s="3223"/>
      <c r="D97" s="3224"/>
      <c r="E97" s="473" t="s">
        <v>994</v>
      </c>
      <c r="F97" s="481"/>
      <c r="G97" s="513" t="s">
        <v>995</v>
      </c>
      <c r="H97" s="481"/>
      <c r="I97" s="513" t="s">
        <v>995</v>
      </c>
      <c r="J97" s="481"/>
      <c r="K97" s="513" t="s">
        <v>995</v>
      </c>
      <c r="L97" s="481"/>
      <c r="M97" s="513" t="s">
        <v>995</v>
      </c>
      <c r="N97" s="481"/>
      <c r="O97" s="513" t="s">
        <v>995</v>
      </c>
      <c r="P97" s="481"/>
      <c r="Q97" s="513" t="s">
        <v>995</v>
      </c>
      <c r="R97" s="481"/>
      <c r="S97" s="254" t="s">
        <v>996</v>
      </c>
      <c r="T97" s="483">
        <f t="shared" si="5"/>
        <v>0</v>
      </c>
      <c r="U97" s="457" t="b">
        <f t="shared" si="7"/>
        <v>0</v>
      </c>
    </row>
    <row r="98" spans="2:21" ht="15.75" customHeight="1">
      <c r="B98" s="2681"/>
      <c r="C98" s="3223"/>
      <c r="D98" s="3224"/>
      <c r="E98" s="473" t="s">
        <v>994</v>
      </c>
      <c r="F98" s="481"/>
      <c r="G98" s="513" t="s">
        <v>995</v>
      </c>
      <c r="H98" s="481"/>
      <c r="I98" s="513" t="s">
        <v>995</v>
      </c>
      <c r="J98" s="481"/>
      <c r="K98" s="513" t="s">
        <v>995</v>
      </c>
      <c r="L98" s="481"/>
      <c r="M98" s="513" t="s">
        <v>995</v>
      </c>
      <c r="N98" s="481"/>
      <c r="O98" s="513" t="s">
        <v>995</v>
      </c>
      <c r="P98" s="481"/>
      <c r="Q98" s="513" t="s">
        <v>995</v>
      </c>
      <c r="R98" s="481"/>
      <c r="S98" s="254" t="s">
        <v>996</v>
      </c>
      <c r="T98" s="483">
        <f t="shared" si="5"/>
        <v>0</v>
      </c>
      <c r="U98" s="457" t="b">
        <f t="shared" si="7"/>
        <v>0</v>
      </c>
    </row>
    <row r="99" spans="2:21" ht="15.75" customHeight="1">
      <c r="B99" s="2681"/>
      <c r="C99" s="3223"/>
      <c r="D99" s="3224"/>
      <c r="E99" s="473" t="s">
        <v>994</v>
      </c>
      <c r="F99" s="481"/>
      <c r="G99" s="513" t="s">
        <v>995</v>
      </c>
      <c r="H99" s="481"/>
      <c r="I99" s="513" t="s">
        <v>995</v>
      </c>
      <c r="J99" s="481"/>
      <c r="K99" s="513" t="s">
        <v>995</v>
      </c>
      <c r="L99" s="481"/>
      <c r="M99" s="513" t="s">
        <v>995</v>
      </c>
      <c r="N99" s="481"/>
      <c r="O99" s="513" t="s">
        <v>995</v>
      </c>
      <c r="P99" s="481"/>
      <c r="Q99" s="513" t="s">
        <v>995</v>
      </c>
      <c r="R99" s="481"/>
      <c r="S99" s="254" t="s">
        <v>996</v>
      </c>
      <c r="T99" s="483">
        <f t="shared" si="5"/>
        <v>0</v>
      </c>
      <c r="U99" s="457" t="b">
        <f t="shared" si="7"/>
        <v>0</v>
      </c>
    </row>
    <row r="100" spans="2:21" ht="15.75" customHeight="1">
      <c r="B100" s="2681"/>
      <c r="C100" s="3223"/>
      <c r="D100" s="3224"/>
      <c r="E100" s="473" t="s">
        <v>994</v>
      </c>
      <c r="F100" s="481"/>
      <c r="G100" s="513" t="s">
        <v>995</v>
      </c>
      <c r="H100" s="481"/>
      <c r="I100" s="513" t="s">
        <v>995</v>
      </c>
      <c r="J100" s="481"/>
      <c r="K100" s="513" t="s">
        <v>995</v>
      </c>
      <c r="L100" s="481"/>
      <c r="M100" s="513" t="s">
        <v>995</v>
      </c>
      <c r="N100" s="481"/>
      <c r="O100" s="513" t="s">
        <v>995</v>
      </c>
      <c r="P100" s="481"/>
      <c r="Q100" s="513" t="s">
        <v>995</v>
      </c>
      <c r="R100" s="481"/>
      <c r="S100" s="254" t="s">
        <v>996</v>
      </c>
      <c r="T100" s="483">
        <f t="shared" si="5"/>
        <v>0</v>
      </c>
      <c r="U100" s="457" t="b">
        <f t="shared" si="7"/>
        <v>0</v>
      </c>
    </row>
    <row r="101" spans="2:21" ht="15.75" customHeight="1">
      <c r="B101" s="2681"/>
      <c r="C101" s="3223"/>
      <c r="D101" s="3224"/>
      <c r="E101" s="473" t="s">
        <v>994</v>
      </c>
      <c r="F101" s="481"/>
      <c r="G101" s="513" t="s">
        <v>995</v>
      </c>
      <c r="H101" s="481"/>
      <c r="I101" s="513" t="s">
        <v>995</v>
      </c>
      <c r="J101" s="481"/>
      <c r="K101" s="513" t="s">
        <v>995</v>
      </c>
      <c r="L101" s="481"/>
      <c r="M101" s="513" t="s">
        <v>995</v>
      </c>
      <c r="N101" s="481"/>
      <c r="O101" s="513" t="s">
        <v>995</v>
      </c>
      <c r="P101" s="481"/>
      <c r="Q101" s="513" t="s">
        <v>995</v>
      </c>
      <c r="R101" s="481"/>
      <c r="S101" s="254" t="s">
        <v>996</v>
      </c>
      <c r="T101" s="483">
        <f t="shared" si="5"/>
        <v>0</v>
      </c>
      <c r="U101" s="457" t="b">
        <f t="shared" si="7"/>
        <v>0</v>
      </c>
    </row>
    <row r="102" spans="2:21" ht="15.75" customHeight="1">
      <c r="B102" s="2681"/>
      <c r="C102" s="3223"/>
      <c r="D102" s="3224"/>
      <c r="E102" s="473" t="s">
        <v>994</v>
      </c>
      <c r="F102" s="481"/>
      <c r="G102" s="513" t="s">
        <v>995</v>
      </c>
      <c r="H102" s="481"/>
      <c r="I102" s="513" t="s">
        <v>995</v>
      </c>
      <c r="J102" s="481"/>
      <c r="K102" s="513" t="s">
        <v>995</v>
      </c>
      <c r="L102" s="481"/>
      <c r="M102" s="513" t="s">
        <v>995</v>
      </c>
      <c r="N102" s="481"/>
      <c r="O102" s="513" t="s">
        <v>995</v>
      </c>
      <c r="P102" s="481"/>
      <c r="Q102" s="513" t="s">
        <v>995</v>
      </c>
      <c r="R102" s="481"/>
      <c r="S102" s="254" t="s">
        <v>996</v>
      </c>
      <c r="T102" s="483">
        <f t="shared" si="5"/>
        <v>0</v>
      </c>
      <c r="U102" s="457" t="b">
        <f t="shared" si="7"/>
        <v>0</v>
      </c>
    </row>
    <row r="103" spans="2:21" ht="15.75" customHeight="1">
      <c r="B103" s="2681"/>
      <c r="C103" s="3223"/>
      <c r="D103" s="3224"/>
      <c r="E103" s="473" t="s">
        <v>994</v>
      </c>
      <c r="F103" s="481"/>
      <c r="G103" s="513" t="s">
        <v>995</v>
      </c>
      <c r="H103" s="481"/>
      <c r="I103" s="513" t="s">
        <v>995</v>
      </c>
      <c r="J103" s="481"/>
      <c r="K103" s="513" t="s">
        <v>995</v>
      </c>
      <c r="L103" s="481"/>
      <c r="M103" s="513" t="s">
        <v>995</v>
      </c>
      <c r="N103" s="481"/>
      <c r="O103" s="513" t="s">
        <v>995</v>
      </c>
      <c r="P103" s="481"/>
      <c r="Q103" s="513" t="s">
        <v>995</v>
      </c>
      <c r="R103" s="481"/>
      <c r="S103" s="254" t="s">
        <v>996</v>
      </c>
      <c r="T103" s="483">
        <f t="shared" si="5"/>
        <v>0</v>
      </c>
      <c r="U103" s="457" t="b">
        <f t="shared" si="7"/>
        <v>0</v>
      </c>
    </row>
    <row r="104" spans="2:21" ht="15.75" customHeight="1">
      <c r="B104" s="2681"/>
      <c r="C104" s="3225"/>
      <c r="D104" s="3226"/>
      <c r="E104" s="515" t="s">
        <v>994</v>
      </c>
      <c r="F104" s="22"/>
      <c r="G104" s="516" t="s">
        <v>995</v>
      </c>
      <c r="H104" s="22"/>
      <c r="I104" s="516" t="s">
        <v>995</v>
      </c>
      <c r="J104" s="22"/>
      <c r="K104" s="516" t="s">
        <v>995</v>
      </c>
      <c r="L104" s="22"/>
      <c r="M104" s="516" t="s">
        <v>995</v>
      </c>
      <c r="N104" s="22"/>
      <c r="O104" s="516" t="s">
        <v>995</v>
      </c>
      <c r="P104" s="22"/>
      <c r="Q104" s="516" t="s">
        <v>995</v>
      </c>
      <c r="R104" s="22"/>
      <c r="S104" s="256" t="s">
        <v>996</v>
      </c>
      <c r="T104" s="517">
        <f t="shared" si="5"/>
        <v>0</v>
      </c>
      <c r="U104" s="457" t="b">
        <f t="shared" si="7"/>
        <v>0</v>
      </c>
    </row>
    <row r="105" spans="2:21" ht="15.75" customHeight="1">
      <c r="B105" s="3221"/>
      <c r="C105" s="2674" t="s">
        <v>481</v>
      </c>
      <c r="D105" s="1949"/>
      <c r="E105" s="504" t="s">
        <v>994</v>
      </c>
      <c r="F105" s="1953"/>
      <c r="G105" s="1954" t="s">
        <v>995</v>
      </c>
      <c r="H105" s="1953"/>
      <c r="I105" s="1954" t="s">
        <v>995</v>
      </c>
      <c r="J105" s="1953"/>
      <c r="K105" s="1954" t="s">
        <v>995</v>
      </c>
      <c r="L105" s="1953"/>
      <c r="M105" s="1954" t="s">
        <v>995</v>
      </c>
      <c r="N105" s="1953"/>
      <c r="O105" s="1954" t="s">
        <v>995</v>
      </c>
      <c r="P105" s="1953"/>
      <c r="Q105" s="1954" t="s">
        <v>995</v>
      </c>
      <c r="R105" s="1953"/>
      <c r="S105" s="1944" t="s">
        <v>996</v>
      </c>
      <c r="T105" s="1955">
        <f t="shared" si="5"/>
        <v>0</v>
      </c>
      <c r="U105" s="457" t="b">
        <f>D105&lt;&gt;0</f>
        <v>0</v>
      </c>
    </row>
    <row r="106" spans="2:21" ht="15.75" customHeight="1">
      <c r="B106" s="3221"/>
      <c r="C106" s="2791"/>
      <c r="D106" s="1947"/>
      <c r="E106" s="473" t="s">
        <v>1965</v>
      </c>
      <c r="F106" s="1950"/>
      <c r="G106" s="513" t="s">
        <v>896</v>
      </c>
      <c r="H106" s="1950"/>
      <c r="I106" s="513" t="s">
        <v>896</v>
      </c>
      <c r="J106" s="1950"/>
      <c r="K106" s="513" t="s">
        <v>896</v>
      </c>
      <c r="L106" s="1950"/>
      <c r="M106" s="513" t="s">
        <v>896</v>
      </c>
      <c r="N106" s="1950"/>
      <c r="O106" s="513" t="s">
        <v>896</v>
      </c>
      <c r="P106" s="1950"/>
      <c r="Q106" s="513" t="s">
        <v>896</v>
      </c>
      <c r="R106" s="1950"/>
      <c r="S106" s="1942" t="s">
        <v>980</v>
      </c>
      <c r="T106" s="483">
        <f t="shared" si="5"/>
        <v>0</v>
      </c>
      <c r="U106" s="457" t="b">
        <f t="shared" ref="U106:U107" si="8">D106&lt;&gt;0</f>
        <v>0</v>
      </c>
    </row>
    <row r="107" spans="2:21" ht="15.75" customHeight="1">
      <c r="B107" s="3221"/>
      <c r="C107" s="2791"/>
      <c r="D107" s="1947"/>
      <c r="E107" s="473" t="s">
        <v>1965</v>
      </c>
      <c r="F107" s="1950"/>
      <c r="G107" s="513" t="s">
        <v>896</v>
      </c>
      <c r="H107" s="1950"/>
      <c r="I107" s="513" t="s">
        <v>896</v>
      </c>
      <c r="J107" s="1950"/>
      <c r="K107" s="513" t="s">
        <v>896</v>
      </c>
      <c r="L107" s="1950"/>
      <c r="M107" s="513" t="s">
        <v>896</v>
      </c>
      <c r="N107" s="1950"/>
      <c r="O107" s="513" t="s">
        <v>896</v>
      </c>
      <c r="P107" s="1950"/>
      <c r="Q107" s="513" t="s">
        <v>896</v>
      </c>
      <c r="R107" s="1950"/>
      <c r="S107" s="1942" t="s">
        <v>980</v>
      </c>
      <c r="T107" s="483">
        <f t="shared" si="5"/>
        <v>0</v>
      </c>
      <c r="U107" s="457" t="b">
        <f t="shared" si="8"/>
        <v>0</v>
      </c>
    </row>
    <row r="108" spans="2:21" ht="15.75" customHeight="1">
      <c r="B108" s="3221"/>
      <c r="C108" s="2791"/>
      <c r="D108" s="1947"/>
      <c r="E108" s="473" t="s">
        <v>1965</v>
      </c>
      <c r="F108" s="1950"/>
      <c r="G108" s="513" t="s">
        <v>896</v>
      </c>
      <c r="H108" s="1950"/>
      <c r="I108" s="513" t="s">
        <v>896</v>
      </c>
      <c r="J108" s="1950"/>
      <c r="K108" s="513" t="s">
        <v>896</v>
      </c>
      <c r="L108" s="1950"/>
      <c r="M108" s="513" t="s">
        <v>896</v>
      </c>
      <c r="N108" s="1950"/>
      <c r="O108" s="513" t="s">
        <v>896</v>
      </c>
      <c r="P108" s="1950"/>
      <c r="Q108" s="513" t="s">
        <v>896</v>
      </c>
      <c r="R108" s="1950"/>
      <c r="S108" s="1942" t="s">
        <v>980</v>
      </c>
      <c r="T108" s="483">
        <f t="shared" ref="T108" si="9">SUM(F108:R108)</f>
        <v>0</v>
      </c>
      <c r="U108" s="457" t="b">
        <f>D108&lt;&gt;0</f>
        <v>0</v>
      </c>
    </row>
    <row r="109" spans="2:21" ht="15.75" customHeight="1">
      <c r="B109" s="3221"/>
      <c r="C109" s="2674"/>
      <c r="D109" s="1948"/>
      <c r="E109" s="515" t="s">
        <v>994</v>
      </c>
      <c r="F109" s="1945"/>
      <c r="G109" s="516" t="s">
        <v>995</v>
      </c>
      <c r="H109" s="1945"/>
      <c r="I109" s="516" t="s">
        <v>995</v>
      </c>
      <c r="J109" s="1945"/>
      <c r="K109" s="516" t="s">
        <v>995</v>
      </c>
      <c r="L109" s="1945"/>
      <c r="M109" s="516" t="s">
        <v>995</v>
      </c>
      <c r="N109" s="1945"/>
      <c r="O109" s="516" t="s">
        <v>995</v>
      </c>
      <c r="P109" s="1945"/>
      <c r="Q109" s="516" t="s">
        <v>995</v>
      </c>
      <c r="R109" s="1945"/>
      <c r="S109" s="1943" t="s">
        <v>996</v>
      </c>
      <c r="T109" s="517">
        <f t="shared" si="5"/>
        <v>0</v>
      </c>
      <c r="U109" s="457" t="b">
        <f>D109&lt;&gt;0</f>
        <v>0</v>
      </c>
    </row>
    <row r="110" spans="2:21" ht="15.75" customHeight="1">
      <c r="B110" s="3222"/>
      <c r="C110" s="292"/>
      <c r="D110" s="292"/>
      <c r="E110" s="506"/>
      <c r="F110" s="506"/>
      <c r="G110" s="506"/>
      <c r="H110" s="506"/>
      <c r="I110" s="506"/>
      <c r="J110" s="506"/>
      <c r="K110" s="506"/>
      <c r="L110" s="506"/>
      <c r="M110" s="506"/>
      <c r="N110" s="506"/>
      <c r="O110" s="506"/>
      <c r="P110" s="506"/>
      <c r="Q110" s="507"/>
      <c r="R110" s="508" t="s">
        <v>482</v>
      </c>
      <c r="S110" s="506"/>
      <c r="T110" s="518">
        <f>SUM(T96:T104)</f>
        <v>0</v>
      </c>
      <c r="U110" s="457" t="b">
        <f>T110&lt;&gt;0</f>
        <v>0</v>
      </c>
    </row>
    <row r="111" spans="2:21" ht="15.75" customHeight="1">
      <c r="C111" s="519"/>
      <c r="D111" s="519"/>
    </row>
    <row r="112" spans="2:21" ht="15.75" customHeight="1">
      <c r="B112" s="221"/>
      <c r="C112" s="512"/>
      <c r="D112" s="512"/>
      <c r="E112" s="221"/>
      <c r="F112" s="221"/>
      <c r="G112" s="221"/>
      <c r="H112" s="221"/>
      <c r="I112" s="221"/>
      <c r="J112" s="221"/>
      <c r="K112" s="221"/>
      <c r="L112" s="221"/>
      <c r="M112" s="221"/>
      <c r="N112" s="221"/>
      <c r="O112" s="221"/>
      <c r="P112" s="221"/>
      <c r="Q112" s="221"/>
      <c r="R112" s="221"/>
      <c r="S112" s="221"/>
      <c r="T112" s="221"/>
    </row>
    <row r="113" spans="1:22" ht="15.75" customHeight="1">
      <c r="A113" s="457">
        <f>ROW()</f>
        <v>113</v>
      </c>
      <c r="B113" s="2681" t="s">
        <v>483</v>
      </c>
      <c r="C113" s="3242" t="s">
        <v>480</v>
      </c>
      <c r="D113" s="520"/>
      <c r="E113" s="467" t="s">
        <v>994</v>
      </c>
      <c r="F113" s="491"/>
      <c r="G113" s="324" t="s">
        <v>995</v>
      </c>
      <c r="H113" s="491"/>
      <c r="I113" s="324" t="s">
        <v>995</v>
      </c>
      <c r="J113" s="491"/>
      <c r="K113" s="324" t="s">
        <v>995</v>
      </c>
      <c r="L113" s="491"/>
      <c r="M113" s="324" t="s">
        <v>995</v>
      </c>
      <c r="N113" s="491"/>
      <c r="O113" s="324" t="s">
        <v>995</v>
      </c>
      <c r="P113" s="491"/>
      <c r="Q113" s="324" t="s">
        <v>995</v>
      </c>
      <c r="R113" s="491"/>
      <c r="S113" s="354" t="s">
        <v>996</v>
      </c>
      <c r="T113" s="521">
        <f t="shared" ref="T113:T133" si="10">SUM(F113:R113)</f>
        <v>0</v>
      </c>
      <c r="U113" s="457" t="b">
        <f t="shared" ref="U113:U119" si="11">D113&lt;&gt;0</f>
        <v>0</v>
      </c>
    </row>
    <row r="114" spans="1:22" ht="15.75" customHeight="1">
      <c r="B114" s="2681"/>
      <c r="C114" s="3243"/>
      <c r="D114" s="522"/>
      <c r="E114" s="473" t="s">
        <v>994</v>
      </c>
      <c r="F114" s="481"/>
      <c r="G114" s="513" t="s">
        <v>995</v>
      </c>
      <c r="H114" s="481"/>
      <c r="I114" s="513" t="s">
        <v>995</v>
      </c>
      <c r="J114" s="481"/>
      <c r="K114" s="513" t="s">
        <v>995</v>
      </c>
      <c r="L114" s="481"/>
      <c r="M114" s="513" t="s">
        <v>995</v>
      </c>
      <c r="N114" s="481"/>
      <c r="O114" s="513" t="s">
        <v>995</v>
      </c>
      <c r="P114" s="481"/>
      <c r="Q114" s="513" t="s">
        <v>995</v>
      </c>
      <c r="R114" s="481"/>
      <c r="S114" s="254" t="s">
        <v>996</v>
      </c>
      <c r="T114" s="523">
        <f t="shared" si="10"/>
        <v>0</v>
      </c>
      <c r="U114" s="457" t="b">
        <f t="shared" si="11"/>
        <v>0</v>
      </c>
    </row>
    <row r="115" spans="1:22" ht="15.75" customHeight="1">
      <c r="B115" s="2681"/>
      <c r="C115" s="3243"/>
      <c r="D115" s="522"/>
      <c r="E115" s="473" t="s">
        <v>994</v>
      </c>
      <c r="F115" s="481"/>
      <c r="G115" s="513" t="s">
        <v>995</v>
      </c>
      <c r="H115" s="481"/>
      <c r="I115" s="513" t="s">
        <v>995</v>
      </c>
      <c r="J115" s="481"/>
      <c r="K115" s="513" t="s">
        <v>995</v>
      </c>
      <c r="L115" s="481"/>
      <c r="M115" s="513" t="s">
        <v>995</v>
      </c>
      <c r="N115" s="481"/>
      <c r="O115" s="513" t="s">
        <v>995</v>
      </c>
      <c r="P115" s="481"/>
      <c r="Q115" s="513" t="s">
        <v>995</v>
      </c>
      <c r="R115" s="481"/>
      <c r="S115" s="254" t="s">
        <v>996</v>
      </c>
      <c r="T115" s="523">
        <f t="shared" si="10"/>
        <v>0</v>
      </c>
      <c r="U115" s="457" t="b">
        <f t="shared" si="11"/>
        <v>0</v>
      </c>
    </row>
    <row r="116" spans="1:22" ht="15.75" customHeight="1">
      <c r="B116" s="2681"/>
      <c r="C116" s="3243"/>
      <c r="D116" s="522"/>
      <c r="E116" s="473" t="s">
        <v>994</v>
      </c>
      <c r="F116" s="481"/>
      <c r="G116" s="513" t="s">
        <v>995</v>
      </c>
      <c r="H116" s="481"/>
      <c r="I116" s="513" t="s">
        <v>995</v>
      </c>
      <c r="J116" s="481"/>
      <c r="K116" s="513" t="s">
        <v>995</v>
      </c>
      <c r="L116" s="481"/>
      <c r="M116" s="513" t="s">
        <v>995</v>
      </c>
      <c r="N116" s="481"/>
      <c r="O116" s="513" t="s">
        <v>995</v>
      </c>
      <c r="P116" s="481"/>
      <c r="Q116" s="513" t="s">
        <v>995</v>
      </c>
      <c r="R116" s="481"/>
      <c r="S116" s="254" t="s">
        <v>996</v>
      </c>
      <c r="T116" s="523">
        <f t="shared" si="10"/>
        <v>0</v>
      </c>
      <c r="U116" s="457" t="b">
        <f t="shared" si="11"/>
        <v>0</v>
      </c>
    </row>
    <row r="117" spans="1:22" ht="15.75" customHeight="1">
      <c r="B117" s="2681"/>
      <c r="C117" s="3243"/>
      <c r="D117" s="522"/>
      <c r="E117" s="473" t="s">
        <v>994</v>
      </c>
      <c r="F117" s="481"/>
      <c r="G117" s="513" t="s">
        <v>995</v>
      </c>
      <c r="H117" s="481"/>
      <c r="I117" s="513" t="s">
        <v>995</v>
      </c>
      <c r="J117" s="481"/>
      <c r="K117" s="513" t="s">
        <v>995</v>
      </c>
      <c r="L117" s="481"/>
      <c r="M117" s="513" t="s">
        <v>995</v>
      </c>
      <c r="N117" s="481"/>
      <c r="O117" s="513" t="s">
        <v>995</v>
      </c>
      <c r="P117" s="481"/>
      <c r="Q117" s="513" t="s">
        <v>995</v>
      </c>
      <c r="R117" s="481"/>
      <c r="S117" s="254" t="s">
        <v>996</v>
      </c>
      <c r="T117" s="523">
        <f t="shared" si="10"/>
        <v>0</v>
      </c>
      <c r="U117" s="457" t="b">
        <f t="shared" si="11"/>
        <v>0</v>
      </c>
    </row>
    <row r="118" spans="1:22" ht="15.75" customHeight="1">
      <c r="B118" s="2681"/>
      <c r="C118" s="3243"/>
      <c r="D118" s="522"/>
      <c r="E118" s="473" t="s">
        <v>994</v>
      </c>
      <c r="F118" s="481"/>
      <c r="G118" s="513" t="s">
        <v>995</v>
      </c>
      <c r="H118" s="481"/>
      <c r="I118" s="513" t="s">
        <v>995</v>
      </c>
      <c r="J118" s="481"/>
      <c r="K118" s="513" t="s">
        <v>995</v>
      </c>
      <c r="L118" s="481"/>
      <c r="M118" s="513" t="s">
        <v>995</v>
      </c>
      <c r="N118" s="481"/>
      <c r="O118" s="513" t="s">
        <v>995</v>
      </c>
      <c r="P118" s="481"/>
      <c r="Q118" s="513" t="s">
        <v>995</v>
      </c>
      <c r="R118" s="481"/>
      <c r="S118" s="254" t="s">
        <v>996</v>
      </c>
      <c r="T118" s="523">
        <f t="shared" si="10"/>
        <v>0</v>
      </c>
      <c r="U118" s="457" t="b">
        <f t="shared" si="11"/>
        <v>0</v>
      </c>
    </row>
    <row r="119" spans="1:22" ht="15.75" customHeight="1">
      <c r="B119" s="2681"/>
      <c r="C119" s="3244"/>
      <c r="D119" s="524"/>
      <c r="E119" s="515" t="s">
        <v>994</v>
      </c>
      <c r="F119" s="22"/>
      <c r="G119" s="516" t="s">
        <v>995</v>
      </c>
      <c r="H119" s="22"/>
      <c r="I119" s="516" t="s">
        <v>995</v>
      </c>
      <c r="J119" s="22"/>
      <c r="K119" s="516" t="s">
        <v>995</v>
      </c>
      <c r="L119" s="22"/>
      <c r="M119" s="516" t="s">
        <v>995</v>
      </c>
      <c r="N119" s="22"/>
      <c r="O119" s="516" t="s">
        <v>995</v>
      </c>
      <c r="P119" s="22"/>
      <c r="Q119" s="516" t="s">
        <v>995</v>
      </c>
      <c r="R119" s="22"/>
      <c r="S119" s="256" t="s">
        <v>996</v>
      </c>
      <c r="T119" s="142">
        <f t="shared" si="10"/>
        <v>0</v>
      </c>
      <c r="U119" s="457" t="b">
        <f t="shared" si="11"/>
        <v>0</v>
      </c>
    </row>
    <row r="120" spans="1:22" ht="15.75" customHeight="1">
      <c r="B120" s="2681"/>
      <c r="C120" s="3227"/>
      <c r="D120" s="3233"/>
      <c r="E120" s="467" t="s">
        <v>994</v>
      </c>
      <c r="F120" s="491"/>
      <c r="G120" s="324" t="s">
        <v>995</v>
      </c>
      <c r="H120" s="491"/>
      <c r="I120" s="324" t="s">
        <v>995</v>
      </c>
      <c r="J120" s="491"/>
      <c r="K120" s="324" t="s">
        <v>995</v>
      </c>
      <c r="L120" s="491"/>
      <c r="M120" s="324" t="s">
        <v>995</v>
      </c>
      <c r="N120" s="491"/>
      <c r="O120" s="324" t="s">
        <v>995</v>
      </c>
      <c r="P120" s="491"/>
      <c r="Q120" s="324" t="s">
        <v>995</v>
      </c>
      <c r="R120" s="491"/>
      <c r="S120" s="354" t="s">
        <v>996</v>
      </c>
      <c r="T120" s="493">
        <f t="shared" si="10"/>
        <v>0</v>
      </c>
      <c r="U120" s="457" t="b">
        <f t="shared" ref="U120:U128" si="12">C120&lt;&gt;0</f>
        <v>0</v>
      </c>
    </row>
    <row r="121" spans="1:22" ht="15.75" customHeight="1">
      <c r="B121" s="2681"/>
      <c r="C121" s="3223"/>
      <c r="D121" s="3229"/>
      <c r="E121" s="473" t="s">
        <v>994</v>
      </c>
      <c r="F121" s="481"/>
      <c r="G121" s="513" t="s">
        <v>995</v>
      </c>
      <c r="H121" s="481"/>
      <c r="I121" s="513" t="s">
        <v>995</v>
      </c>
      <c r="J121" s="481"/>
      <c r="K121" s="513" t="s">
        <v>995</v>
      </c>
      <c r="L121" s="481"/>
      <c r="M121" s="513" t="s">
        <v>995</v>
      </c>
      <c r="N121" s="481"/>
      <c r="O121" s="513" t="s">
        <v>995</v>
      </c>
      <c r="P121" s="481"/>
      <c r="Q121" s="513" t="s">
        <v>995</v>
      </c>
      <c r="R121" s="481"/>
      <c r="S121" s="254" t="s">
        <v>996</v>
      </c>
      <c r="T121" s="483">
        <f t="shared" si="10"/>
        <v>0</v>
      </c>
      <c r="U121" s="457" t="b">
        <f t="shared" si="12"/>
        <v>0</v>
      </c>
      <c r="V121" s="457" t="s">
        <v>1641</v>
      </c>
    </row>
    <row r="122" spans="1:22" ht="15.75" customHeight="1">
      <c r="B122" s="2681"/>
      <c r="C122" s="3223"/>
      <c r="D122" s="3229"/>
      <c r="E122" s="473" t="s">
        <v>994</v>
      </c>
      <c r="F122" s="481"/>
      <c r="G122" s="513" t="s">
        <v>995</v>
      </c>
      <c r="H122" s="481"/>
      <c r="I122" s="513" t="s">
        <v>995</v>
      </c>
      <c r="J122" s="481"/>
      <c r="K122" s="513" t="s">
        <v>995</v>
      </c>
      <c r="L122" s="481"/>
      <c r="M122" s="513" t="s">
        <v>995</v>
      </c>
      <c r="N122" s="481"/>
      <c r="O122" s="513" t="s">
        <v>995</v>
      </c>
      <c r="P122" s="481"/>
      <c r="Q122" s="513" t="s">
        <v>995</v>
      </c>
      <c r="R122" s="481"/>
      <c r="S122" s="254" t="s">
        <v>996</v>
      </c>
      <c r="T122" s="483">
        <f t="shared" si="10"/>
        <v>0</v>
      </c>
      <c r="U122" s="457" t="b">
        <f t="shared" si="12"/>
        <v>0</v>
      </c>
    </row>
    <row r="123" spans="1:22" ht="15.75" customHeight="1">
      <c r="B123" s="2681"/>
      <c r="C123" s="3223"/>
      <c r="D123" s="3229"/>
      <c r="E123" s="473" t="s">
        <v>994</v>
      </c>
      <c r="F123" s="481"/>
      <c r="G123" s="513" t="s">
        <v>995</v>
      </c>
      <c r="H123" s="481"/>
      <c r="I123" s="513" t="s">
        <v>995</v>
      </c>
      <c r="J123" s="481"/>
      <c r="K123" s="513" t="s">
        <v>995</v>
      </c>
      <c r="L123" s="481"/>
      <c r="M123" s="513" t="s">
        <v>995</v>
      </c>
      <c r="N123" s="481"/>
      <c r="O123" s="513" t="s">
        <v>995</v>
      </c>
      <c r="P123" s="481"/>
      <c r="Q123" s="513" t="s">
        <v>995</v>
      </c>
      <c r="R123" s="481"/>
      <c r="S123" s="254" t="s">
        <v>996</v>
      </c>
      <c r="T123" s="483">
        <f t="shared" si="10"/>
        <v>0</v>
      </c>
      <c r="U123" s="457" t="b">
        <f t="shared" si="12"/>
        <v>0</v>
      </c>
    </row>
    <row r="124" spans="1:22" ht="15.75" customHeight="1">
      <c r="B124" s="2681"/>
      <c r="C124" s="3223"/>
      <c r="D124" s="3229"/>
      <c r="E124" s="473" t="s">
        <v>994</v>
      </c>
      <c r="F124" s="481"/>
      <c r="G124" s="513" t="s">
        <v>995</v>
      </c>
      <c r="H124" s="481"/>
      <c r="I124" s="513" t="s">
        <v>995</v>
      </c>
      <c r="J124" s="481"/>
      <c r="K124" s="513" t="s">
        <v>995</v>
      </c>
      <c r="L124" s="481"/>
      <c r="M124" s="513" t="s">
        <v>995</v>
      </c>
      <c r="N124" s="481"/>
      <c r="O124" s="513" t="s">
        <v>995</v>
      </c>
      <c r="P124" s="481"/>
      <c r="Q124" s="513" t="s">
        <v>995</v>
      </c>
      <c r="R124" s="481"/>
      <c r="S124" s="254" t="s">
        <v>996</v>
      </c>
      <c r="T124" s="483">
        <f t="shared" si="10"/>
        <v>0</v>
      </c>
      <c r="U124" s="457" t="b">
        <f t="shared" si="12"/>
        <v>0</v>
      </c>
    </row>
    <row r="125" spans="1:22" ht="15.75" customHeight="1">
      <c r="B125" s="2681"/>
      <c r="C125" s="3223"/>
      <c r="D125" s="3229"/>
      <c r="E125" s="473" t="s">
        <v>994</v>
      </c>
      <c r="F125" s="481"/>
      <c r="G125" s="513" t="s">
        <v>995</v>
      </c>
      <c r="H125" s="481"/>
      <c r="I125" s="513" t="s">
        <v>995</v>
      </c>
      <c r="J125" s="481"/>
      <c r="K125" s="513" t="s">
        <v>995</v>
      </c>
      <c r="L125" s="481"/>
      <c r="M125" s="513" t="s">
        <v>995</v>
      </c>
      <c r="N125" s="481"/>
      <c r="O125" s="513" t="s">
        <v>995</v>
      </c>
      <c r="P125" s="481"/>
      <c r="Q125" s="513" t="s">
        <v>995</v>
      </c>
      <c r="R125" s="481"/>
      <c r="S125" s="254" t="s">
        <v>996</v>
      </c>
      <c r="T125" s="483">
        <f t="shared" si="10"/>
        <v>0</v>
      </c>
      <c r="U125" s="457" t="b">
        <f t="shared" si="12"/>
        <v>0</v>
      </c>
    </row>
    <row r="126" spans="1:22" ht="15.75" customHeight="1">
      <c r="B126" s="2681"/>
      <c r="C126" s="3223"/>
      <c r="D126" s="3229"/>
      <c r="E126" s="473" t="s">
        <v>994</v>
      </c>
      <c r="F126" s="481"/>
      <c r="G126" s="513" t="s">
        <v>995</v>
      </c>
      <c r="H126" s="481"/>
      <c r="I126" s="513" t="s">
        <v>995</v>
      </c>
      <c r="J126" s="481"/>
      <c r="K126" s="513" t="s">
        <v>995</v>
      </c>
      <c r="L126" s="481"/>
      <c r="M126" s="513" t="s">
        <v>995</v>
      </c>
      <c r="N126" s="481"/>
      <c r="O126" s="513" t="s">
        <v>995</v>
      </c>
      <c r="P126" s="481"/>
      <c r="Q126" s="513" t="s">
        <v>995</v>
      </c>
      <c r="R126" s="481"/>
      <c r="S126" s="254" t="s">
        <v>996</v>
      </c>
      <c r="T126" s="483">
        <f t="shared" si="10"/>
        <v>0</v>
      </c>
      <c r="U126" s="457" t="b">
        <f t="shared" si="12"/>
        <v>0</v>
      </c>
    </row>
    <row r="127" spans="1:22" ht="15.75" customHeight="1">
      <c r="B127" s="2681"/>
      <c r="C127" s="3223"/>
      <c r="D127" s="3229"/>
      <c r="E127" s="473" t="s">
        <v>994</v>
      </c>
      <c r="F127" s="481"/>
      <c r="G127" s="513" t="s">
        <v>995</v>
      </c>
      <c r="H127" s="481"/>
      <c r="I127" s="513" t="s">
        <v>995</v>
      </c>
      <c r="J127" s="481"/>
      <c r="K127" s="513" t="s">
        <v>995</v>
      </c>
      <c r="L127" s="481"/>
      <c r="M127" s="513" t="s">
        <v>995</v>
      </c>
      <c r="N127" s="481"/>
      <c r="O127" s="513" t="s">
        <v>995</v>
      </c>
      <c r="P127" s="481"/>
      <c r="Q127" s="513" t="s">
        <v>995</v>
      </c>
      <c r="R127" s="481"/>
      <c r="S127" s="254" t="s">
        <v>996</v>
      </c>
      <c r="T127" s="483">
        <f t="shared" si="10"/>
        <v>0</v>
      </c>
      <c r="U127" s="457" t="b">
        <f t="shared" si="12"/>
        <v>0</v>
      </c>
    </row>
    <row r="128" spans="1:22" ht="15.75" customHeight="1">
      <c r="B128" s="2681"/>
      <c r="C128" s="3225"/>
      <c r="D128" s="3230"/>
      <c r="E128" s="515" t="s">
        <v>994</v>
      </c>
      <c r="F128" s="22"/>
      <c r="G128" s="516" t="s">
        <v>995</v>
      </c>
      <c r="H128" s="22"/>
      <c r="I128" s="516" t="s">
        <v>995</v>
      </c>
      <c r="J128" s="22"/>
      <c r="K128" s="516" t="s">
        <v>995</v>
      </c>
      <c r="L128" s="22"/>
      <c r="M128" s="516" t="s">
        <v>995</v>
      </c>
      <c r="N128" s="22"/>
      <c r="O128" s="516" t="s">
        <v>995</v>
      </c>
      <c r="P128" s="22"/>
      <c r="Q128" s="516" t="s">
        <v>995</v>
      </c>
      <c r="R128" s="22"/>
      <c r="S128" s="256" t="s">
        <v>996</v>
      </c>
      <c r="T128" s="517">
        <f t="shared" si="10"/>
        <v>0</v>
      </c>
      <c r="U128" s="457" t="b">
        <f t="shared" si="12"/>
        <v>0</v>
      </c>
    </row>
    <row r="129" spans="1:21" ht="15.75" customHeight="1">
      <c r="B129" s="3221"/>
      <c r="C129" s="2674" t="s">
        <v>481</v>
      </c>
      <c r="D129" s="1956"/>
      <c r="E129" s="504" t="s">
        <v>994</v>
      </c>
      <c r="F129" s="1953"/>
      <c r="G129" s="1954" t="s">
        <v>995</v>
      </c>
      <c r="H129" s="1953"/>
      <c r="I129" s="1954" t="s">
        <v>995</v>
      </c>
      <c r="J129" s="1953"/>
      <c r="K129" s="1954" t="s">
        <v>995</v>
      </c>
      <c r="L129" s="1953"/>
      <c r="M129" s="1954" t="s">
        <v>995</v>
      </c>
      <c r="N129" s="1953"/>
      <c r="O129" s="1954" t="s">
        <v>995</v>
      </c>
      <c r="P129" s="1953"/>
      <c r="Q129" s="1954" t="s">
        <v>995</v>
      </c>
      <c r="R129" s="1953"/>
      <c r="S129" s="1944" t="s">
        <v>996</v>
      </c>
      <c r="T129" s="1955">
        <f t="shared" si="10"/>
        <v>0</v>
      </c>
      <c r="U129" s="457" t="b">
        <f>D129&lt;&gt;0</f>
        <v>0</v>
      </c>
    </row>
    <row r="130" spans="1:21" ht="15.75" customHeight="1">
      <c r="B130" s="3221"/>
      <c r="C130" s="2791"/>
      <c r="D130" s="1957"/>
      <c r="E130" s="473" t="s">
        <v>1965</v>
      </c>
      <c r="F130" s="1950"/>
      <c r="G130" s="513" t="s">
        <v>896</v>
      </c>
      <c r="H130" s="1950"/>
      <c r="I130" s="513" t="s">
        <v>896</v>
      </c>
      <c r="J130" s="1950"/>
      <c r="K130" s="513" t="s">
        <v>896</v>
      </c>
      <c r="L130" s="1950"/>
      <c r="M130" s="513" t="s">
        <v>896</v>
      </c>
      <c r="N130" s="1950"/>
      <c r="O130" s="513" t="s">
        <v>896</v>
      </c>
      <c r="P130" s="1950"/>
      <c r="Q130" s="513" t="s">
        <v>896</v>
      </c>
      <c r="R130" s="1950"/>
      <c r="S130" s="1942" t="s">
        <v>980</v>
      </c>
      <c r="T130" s="483">
        <f t="shared" si="10"/>
        <v>0</v>
      </c>
      <c r="U130" s="457" t="b">
        <f t="shared" ref="U130:U131" si="13">D130&lt;&gt;0</f>
        <v>0</v>
      </c>
    </row>
    <row r="131" spans="1:21" ht="15.75" customHeight="1">
      <c r="B131" s="3221"/>
      <c r="C131" s="2791"/>
      <c r="D131" s="1957"/>
      <c r="E131" s="473" t="s">
        <v>1965</v>
      </c>
      <c r="F131" s="1950"/>
      <c r="G131" s="513" t="s">
        <v>896</v>
      </c>
      <c r="H131" s="1950"/>
      <c r="I131" s="513" t="s">
        <v>896</v>
      </c>
      <c r="J131" s="1950"/>
      <c r="K131" s="513" t="s">
        <v>896</v>
      </c>
      <c r="L131" s="1950"/>
      <c r="M131" s="513" t="s">
        <v>896</v>
      </c>
      <c r="N131" s="1950"/>
      <c r="O131" s="513" t="s">
        <v>896</v>
      </c>
      <c r="P131" s="1950"/>
      <c r="Q131" s="513" t="s">
        <v>896</v>
      </c>
      <c r="R131" s="1950"/>
      <c r="S131" s="1942" t="s">
        <v>980</v>
      </c>
      <c r="T131" s="483">
        <f t="shared" si="10"/>
        <v>0</v>
      </c>
      <c r="U131" s="457" t="b">
        <f t="shared" si="13"/>
        <v>0</v>
      </c>
    </row>
    <row r="132" spans="1:21" ht="15.75" customHeight="1">
      <c r="B132" s="3221"/>
      <c r="C132" s="2791"/>
      <c r="D132" s="1957"/>
      <c r="E132" s="473" t="s">
        <v>1965</v>
      </c>
      <c r="F132" s="1950"/>
      <c r="G132" s="513" t="s">
        <v>896</v>
      </c>
      <c r="H132" s="1950"/>
      <c r="I132" s="513" t="s">
        <v>896</v>
      </c>
      <c r="J132" s="1950"/>
      <c r="K132" s="513" t="s">
        <v>896</v>
      </c>
      <c r="L132" s="1950"/>
      <c r="M132" s="513" t="s">
        <v>896</v>
      </c>
      <c r="N132" s="1950"/>
      <c r="O132" s="513" t="s">
        <v>896</v>
      </c>
      <c r="P132" s="1950"/>
      <c r="Q132" s="513" t="s">
        <v>896</v>
      </c>
      <c r="R132" s="1950"/>
      <c r="S132" s="1942" t="s">
        <v>980</v>
      </c>
      <c r="T132" s="483">
        <f t="shared" ref="T132" si="14">SUM(F132:R132)</f>
        <v>0</v>
      </c>
      <c r="U132" s="457" t="b">
        <f>D132&lt;&gt;0</f>
        <v>0</v>
      </c>
    </row>
    <row r="133" spans="1:21" ht="15.75" customHeight="1">
      <c r="B133" s="3221"/>
      <c r="C133" s="2677"/>
      <c r="D133" s="526"/>
      <c r="E133" s="515" t="s">
        <v>994</v>
      </c>
      <c r="F133" s="1945"/>
      <c r="G133" s="516" t="s">
        <v>995</v>
      </c>
      <c r="H133" s="1945"/>
      <c r="I133" s="516" t="s">
        <v>995</v>
      </c>
      <c r="J133" s="1945"/>
      <c r="K133" s="516" t="s">
        <v>995</v>
      </c>
      <c r="L133" s="1945"/>
      <c r="M133" s="516" t="s">
        <v>995</v>
      </c>
      <c r="N133" s="1945"/>
      <c r="O133" s="516" t="s">
        <v>995</v>
      </c>
      <c r="P133" s="1945"/>
      <c r="Q133" s="516" t="s">
        <v>995</v>
      </c>
      <c r="R133" s="1945"/>
      <c r="S133" s="1943" t="s">
        <v>996</v>
      </c>
      <c r="T133" s="517">
        <f t="shared" si="10"/>
        <v>0</v>
      </c>
      <c r="U133" s="457" t="b">
        <f>D133&lt;&gt;0</f>
        <v>0</v>
      </c>
    </row>
    <row r="134" spans="1:21" ht="15.75" customHeight="1">
      <c r="B134" s="3222"/>
      <c r="C134" s="292"/>
      <c r="D134" s="292"/>
      <c r="E134" s="506"/>
      <c r="F134" s="506"/>
      <c r="G134" s="506"/>
      <c r="H134" s="506"/>
      <c r="I134" s="506"/>
      <c r="J134" s="506"/>
      <c r="K134" s="506"/>
      <c r="L134" s="506"/>
      <c r="M134" s="506"/>
      <c r="N134" s="506"/>
      <c r="O134" s="506"/>
      <c r="P134" s="506"/>
      <c r="Q134" s="507"/>
      <c r="R134" s="508" t="s">
        <v>482</v>
      </c>
      <c r="S134" s="506"/>
      <c r="T134" s="518">
        <f>SUM(T120:T128)</f>
        <v>0</v>
      </c>
      <c r="U134" s="457" t="b">
        <f>T134&lt;&gt;0</f>
        <v>0</v>
      </c>
    </row>
    <row r="135" spans="1:21" ht="15.75" customHeight="1">
      <c r="C135" s="519"/>
      <c r="D135" s="519"/>
    </row>
    <row r="136" spans="1:21" ht="15.75" customHeight="1">
      <c r="B136" s="221"/>
      <c r="C136" s="512"/>
      <c r="D136" s="512"/>
      <c r="E136" s="221"/>
      <c r="F136" s="221"/>
      <c r="G136" s="221"/>
      <c r="H136" s="221"/>
      <c r="I136" s="221"/>
      <c r="J136" s="221"/>
      <c r="K136" s="221"/>
      <c r="L136" s="221"/>
      <c r="M136" s="221"/>
      <c r="N136" s="221"/>
      <c r="O136" s="221"/>
      <c r="P136" s="221"/>
      <c r="Q136" s="221"/>
      <c r="R136" s="221"/>
      <c r="S136" s="221"/>
      <c r="T136" s="221"/>
    </row>
    <row r="137" spans="1:21" ht="15.75" customHeight="1">
      <c r="A137" s="457">
        <f>ROW()</f>
        <v>137</v>
      </c>
      <c r="B137" s="2681" t="s">
        <v>484</v>
      </c>
      <c r="C137" s="3231" t="s">
        <v>480</v>
      </c>
      <c r="D137" s="527"/>
      <c r="E137" s="467" t="s">
        <v>994</v>
      </c>
      <c r="F137" s="491"/>
      <c r="G137" s="324" t="s">
        <v>995</v>
      </c>
      <c r="H137" s="491"/>
      <c r="I137" s="324" t="s">
        <v>995</v>
      </c>
      <c r="J137" s="491"/>
      <c r="K137" s="324" t="s">
        <v>995</v>
      </c>
      <c r="L137" s="491"/>
      <c r="M137" s="324" t="s">
        <v>995</v>
      </c>
      <c r="N137" s="491"/>
      <c r="O137" s="324" t="s">
        <v>995</v>
      </c>
      <c r="P137" s="491"/>
      <c r="Q137" s="324" t="s">
        <v>995</v>
      </c>
      <c r="R137" s="491"/>
      <c r="S137" s="354" t="s">
        <v>996</v>
      </c>
      <c r="T137" s="521">
        <f t="shared" ref="T137:T151" si="15">SUM(F137:R137)</f>
        <v>0</v>
      </c>
      <c r="U137" s="457" t="b">
        <f>D137&lt;&gt;0</f>
        <v>0</v>
      </c>
    </row>
    <row r="138" spans="1:21" ht="15.75" customHeight="1">
      <c r="B138" s="2681"/>
      <c r="C138" s="3231"/>
      <c r="D138" s="528"/>
      <c r="E138" s="473" t="s">
        <v>994</v>
      </c>
      <c r="F138" s="481"/>
      <c r="G138" s="513" t="s">
        <v>995</v>
      </c>
      <c r="H138" s="481"/>
      <c r="I138" s="513" t="s">
        <v>995</v>
      </c>
      <c r="J138" s="481"/>
      <c r="K138" s="513" t="s">
        <v>995</v>
      </c>
      <c r="L138" s="481"/>
      <c r="M138" s="513" t="s">
        <v>995</v>
      </c>
      <c r="N138" s="481"/>
      <c r="O138" s="513" t="s">
        <v>995</v>
      </c>
      <c r="P138" s="481"/>
      <c r="Q138" s="513" t="s">
        <v>995</v>
      </c>
      <c r="R138" s="481"/>
      <c r="S138" s="254" t="s">
        <v>996</v>
      </c>
      <c r="T138" s="523">
        <f t="shared" si="15"/>
        <v>0</v>
      </c>
      <c r="U138" s="457" t="b">
        <f>D138&lt;&gt;0</f>
        <v>0</v>
      </c>
    </row>
    <row r="139" spans="1:21" ht="15.75" customHeight="1">
      <c r="B139" s="2681"/>
      <c r="C139" s="3231"/>
      <c r="D139" s="528"/>
      <c r="E139" s="473" t="s">
        <v>994</v>
      </c>
      <c r="F139" s="481"/>
      <c r="G139" s="513" t="s">
        <v>995</v>
      </c>
      <c r="H139" s="481"/>
      <c r="I139" s="513" t="s">
        <v>995</v>
      </c>
      <c r="J139" s="481"/>
      <c r="K139" s="513" t="s">
        <v>995</v>
      </c>
      <c r="L139" s="481"/>
      <c r="M139" s="513" t="s">
        <v>995</v>
      </c>
      <c r="N139" s="481"/>
      <c r="O139" s="513" t="s">
        <v>995</v>
      </c>
      <c r="P139" s="481"/>
      <c r="Q139" s="513" t="s">
        <v>995</v>
      </c>
      <c r="R139" s="481"/>
      <c r="S139" s="254" t="s">
        <v>996</v>
      </c>
      <c r="T139" s="523">
        <f t="shared" si="15"/>
        <v>0</v>
      </c>
      <c r="U139" s="457" t="b">
        <f>D139&lt;&gt;0</f>
        <v>0</v>
      </c>
    </row>
    <row r="140" spans="1:21" ht="15.75" customHeight="1">
      <c r="B140" s="2681"/>
      <c r="C140" s="3231"/>
      <c r="D140" s="528"/>
      <c r="E140" s="473" t="s">
        <v>994</v>
      </c>
      <c r="F140" s="481"/>
      <c r="G140" s="513" t="s">
        <v>995</v>
      </c>
      <c r="H140" s="481"/>
      <c r="I140" s="513" t="s">
        <v>995</v>
      </c>
      <c r="J140" s="481"/>
      <c r="K140" s="513" t="s">
        <v>995</v>
      </c>
      <c r="L140" s="481"/>
      <c r="M140" s="513" t="s">
        <v>995</v>
      </c>
      <c r="N140" s="481"/>
      <c r="O140" s="513" t="s">
        <v>995</v>
      </c>
      <c r="P140" s="481"/>
      <c r="Q140" s="513" t="s">
        <v>995</v>
      </c>
      <c r="R140" s="481"/>
      <c r="S140" s="254" t="s">
        <v>996</v>
      </c>
      <c r="T140" s="523">
        <f t="shared" si="15"/>
        <v>0</v>
      </c>
      <c r="U140" s="457" t="b">
        <f>D140&lt;&gt;0</f>
        <v>0</v>
      </c>
    </row>
    <row r="141" spans="1:21" ht="15.75" customHeight="1">
      <c r="B141" s="2681"/>
      <c r="C141" s="3232"/>
      <c r="D141" s="529"/>
      <c r="E141" s="515" t="s">
        <v>994</v>
      </c>
      <c r="F141" s="22"/>
      <c r="G141" s="516" t="s">
        <v>995</v>
      </c>
      <c r="H141" s="22"/>
      <c r="I141" s="516" t="s">
        <v>995</v>
      </c>
      <c r="J141" s="22"/>
      <c r="K141" s="516" t="s">
        <v>995</v>
      </c>
      <c r="L141" s="22"/>
      <c r="M141" s="516" t="s">
        <v>995</v>
      </c>
      <c r="N141" s="22"/>
      <c r="O141" s="516" t="s">
        <v>995</v>
      </c>
      <c r="P141" s="22"/>
      <c r="Q141" s="516" t="s">
        <v>995</v>
      </c>
      <c r="R141" s="22"/>
      <c r="S141" s="256" t="s">
        <v>996</v>
      </c>
      <c r="T141" s="142">
        <f t="shared" si="15"/>
        <v>0</v>
      </c>
      <c r="U141" s="457" t="b">
        <f>D141&lt;&gt;0</f>
        <v>0</v>
      </c>
    </row>
    <row r="142" spans="1:21" ht="15.75" customHeight="1">
      <c r="B142" s="2681"/>
      <c r="C142" s="3227"/>
      <c r="D142" s="3233"/>
      <c r="E142" s="467" t="s">
        <v>994</v>
      </c>
      <c r="F142" s="491"/>
      <c r="G142" s="324" t="s">
        <v>995</v>
      </c>
      <c r="H142" s="491"/>
      <c r="I142" s="324" t="s">
        <v>995</v>
      </c>
      <c r="J142" s="491"/>
      <c r="K142" s="324" t="s">
        <v>995</v>
      </c>
      <c r="L142" s="491"/>
      <c r="M142" s="324" t="s">
        <v>995</v>
      </c>
      <c r="N142" s="491"/>
      <c r="O142" s="324" t="s">
        <v>995</v>
      </c>
      <c r="P142" s="491"/>
      <c r="Q142" s="324" t="s">
        <v>995</v>
      </c>
      <c r="R142" s="491"/>
      <c r="S142" s="354" t="s">
        <v>996</v>
      </c>
      <c r="T142" s="493">
        <f t="shared" si="15"/>
        <v>0</v>
      </c>
      <c r="U142" s="457" t="b">
        <f>C142&lt;&gt;0</f>
        <v>0</v>
      </c>
    </row>
    <row r="143" spans="1:21" ht="15.75" customHeight="1">
      <c r="B143" s="2681"/>
      <c r="C143" s="3223"/>
      <c r="D143" s="3229"/>
      <c r="E143" s="473" t="s">
        <v>994</v>
      </c>
      <c r="F143" s="481"/>
      <c r="G143" s="513" t="s">
        <v>995</v>
      </c>
      <c r="H143" s="481"/>
      <c r="I143" s="513" t="s">
        <v>995</v>
      </c>
      <c r="J143" s="481"/>
      <c r="K143" s="513" t="s">
        <v>995</v>
      </c>
      <c r="L143" s="481"/>
      <c r="M143" s="513" t="s">
        <v>995</v>
      </c>
      <c r="N143" s="481"/>
      <c r="O143" s="513" t="s">
        <v>995</v>
      </c>
      <c r="P143" s="481"/>
      <c r="Q143" s="513" t="s">
        <v>995</v>
      </c>
      <c r="R143" s="481"/>
      <c r="S143" s="254" t="s">
        <v>996</v>
      </c>
      <c r="T143" s="483">
        <f t="shared" si="15"/>
        <v>0</v>
      </c>
      <c r="U143" s="457" t="b">
        <f>C143&lt;&gt;0</f>
        <v>0</v>
      </c>
    </row>
    <row r="144" spans="1:21" ht="15.75" customHeight="1">
      <c r="B144" s="2681"/>
      <c r="C144" s="3223"/>
      <c r="D144" s="3229"/>
      <c r="E144" s="473" t="s">
        <v>994</v>
      </c>
      <c r="F144" s="481"/>
      <c r="G144" s="513" t="s">
        <v>995</v>
      </c>
      <c r="H144" s="481"/>
      <c r="I144" s="513" t="s">
        <v>995</v>
      </c>
      <c r="J144" s="481"/>
      <c r="K144" s="513" t="s">
        <v>995</v>
      </c>
      <c r="L144" s="481"/>
      <c r="M144" s="513" t="s">
        <v>995</v>
      </c>
      <c r="N144" s="481"/>
      <c r="O144" s="513" t="s">
        <v>995</v>
      </c>
      <c r="P144" s="481"/>
      <c r="Q144" s="513" t="s">
        <v>995</v>
      </c>
      <c r="R144" s="481"/>
      <c r="S144" s="254" t="s">
        <v>996</v>
      </c>
      <c r="T144" s="483">
        <f t="shared" si="15"/>
        <v>0</v>
      </c>
      <c r="U144" s="457" t="b">
        <f>C144&lt;&gt;0</f>
        <v>0</v>
      </c>
    </row>
    <row r="145" spans="1:21" ht="15.75" customHeight="1">
      <c r="B145" s="2681"/>
      <c r="C145" s="3223"/>
      <c r="D145" s="3229"/>
      <c r="E145" s="473" t="s">
        <v>994</v>
      </c>
      <c r="F145" s="481"/>
      <c r="G145" s="513" t="s">
        <v>995</v>
      </c>
      <c r="H145" s="481"/>
      <c r="I145" s="513" t="s">
        <v>995</v>
      </c>
      <c r="J145" s="481"/>
      <c r="K145" s="513" t="s">
        <v>995</v>
      </c>
      <c r="L145" s="481"/>
      <c r="M145" s="513" t="s">
        <v>995</v>
      </c>
      <c r="N145" s="481"/>
      <c r="O145" s="513" t="s">
        <v>995</v>
      </c>
      <c r="P145" s="481"/>
      <c r="Q145" s="513" t="s">
        <v>995</v>
      </c>
      <c r="R145" s="481"/>
      <c r="S145" s="254" t="s">
        <v>996</v>
      </c>
      <c r="T145" s="483">
        <f t="shared" si="15"/>
        <v>0</v>
      </c>
      <c r="U145" s="457" t="b">
        <f>C145&lt;&gt;0</f>
        <v>0</v>
      </c>
    </row>
    <row r="146" spans="1:21" ht="15.75" customHeight="1">
      <c r="B146" s="2681"/>
      <c r="C146" s="3225"/>
      <c r="D146" s="3230"/>
      <c r="E146" s="515" t="s">
        <v>994</v>
      </c>
      <c r="F146" s="22"/>
      <c r="G146" s="516" t="s">
        <v>995</v>
      </c>
      <c r="H146" s="22"/>
      <c r="I146" s="516" t="s">
        <v>995</v>
      </c>
      <c r="J146" s="22"/>
      <c r="K146" s="516" t="s">
        <v>995</v>
      </c>
      <c r="L146" s="22"/>
      <c r="M146" s="516" t="s">
        <v>995</v>
      </c>
      <c r="N146" s="22"/>
      <c r="O146" s="516" t="s">
        <v>995</v>
      </c>
      <c r="P146" s="22"/>
      <c r="Q146" s="516" t="s">
        <v>995</v>
      </c>
      <c r="R146" s="22"/>
      <c r="S146" s="256" t="s">
        <v>996</v>
      </c>
      <c r="T146" s="517">
        <f t="shared" si="15"/>
        <v>0</v>
      </c>
      <c r="U146" s="457" t="b">
        <f>C146&lt;&gt;0</f>
        <v>0</v>
      </c>
    </row>
    <row r="147" spans="1:21" ht="15.75" customHeight="1">
      <c r="B147" s="2681"/>
      <c r="C147" s="3231" t="s">
        <v>481</v>
      </c>
      <c r="D147" s="1956"/>
      <c r="E147" s="504" t="s">
        <v>994</v>
      </c>
      <c r="F147" s="1953"/>
      <c r="G147" s="1954" t="s">
        <v>995</v>
      </c>
      <c r="H147" s="1953"/>
      <c r="I147" s="1954" t="s">
        <v>995</v>
      </c>
      <c r="J147" s="1953"/>
      <c r="K147" s="1954" t="s">
        <v>995</v>
      </c>
      <c r="L147" s="1953"/>
      <c r="M147" s="1954" t="s">
        <v>995</v>
      </c>
      <c r="N147" s="1953"/>
      <c r="O147" s="1954" t="s">
        <v>995</v>
      </c>
      <c r="P147" s="1953"/>
      <c r="Q147" s="1954" t="s">
        <v>995</v>
      </c>
      <c r="R147" s="1953"/>
      <c r="S147" s="1944" t="s">
        <v>996</v>
      </c>
      <c r="T147" s="1955">
        <f t="shared" si="15"/>
        <v>0</v>
      </c>
      <c r="U147" s="457" t="b">
        <f>D147&lt;&gt;0</f>
        <v>0</v>
      </c>
    </row>
    <row r="148" spans="1:21" ht="15.75" customHeight="1">
      <c r="B148" s="2681"/>
      <c r="C148" s="3231"/>
      <c r="D148" s="1957"/>
      <c r="E148" s="473" t="s">
        <v>1965</v>
      </c>
      <c r="F148" s="1950"/>
      <c r="G148" s="513" t="s">
        <v>896</v>
      </c>
      <c r="H148" s="1950"/>
      <c r="I148" s="513" t="s">
        <v>896</v>
      </c>
      <c r="J148" s="1950"/>
      <c r="K148" s="513" t="s">
        <v>896</v>
      </c>
      <c r="L148" s="1950"/>
      <c r="M148" s="513" t="s">
        <v>896</v>
      </c>
      <c r="N148" s="1950"/>
      <c r="O148" s="513" t="s">
        <v>896</v>
      </c>
      <c r="P148" s="1950"/>
      <c r="Q148" s="513" t="s">
        <v>896</v>
      </c>
      <c r="R148" s="1950"/>
      <c r="S148" s="1942" t="s">
        <v>980</v>
      </c>
      <c r="T148" s="483">
        <f t="shared" si="15"/>
        <v>0</v>
      </c>
      <c r="U148" s="457" t="b">
        <f t="shared" ref="U148:U149" si="16">D148&lt;&gt;0</f>
        <v>0</v>
      </c>
    </row>
    <row r="149" spans="1:21" ht="15.75" customHeight="1">
      <c r="B149" s="2681"/>
      <c r="C149" s="3231"/>
      <c r="D149" s="1957"/>
      <c r="E149" s="473" t="s">
        <v>1965</v>
      </c>
      <c r="F149" s="1950"/>
      <c r="G149" s="513" t="s">
        <v>896</v>
      </c>
      <c r="H149" s="1950"/>
      <c r="I149" s="513" t="s">
        <v>896</v>
      </c>
      <c r="J149" s="1950"/>
      <c r="K149" s="513" t="s">
        <v>896</v>
      </c>
      <c r="L149" s="1950"/>
      <c r="M149" s="513" t="s">
        <v>896</v>
      </c>
      <c r="N149" s="1950"/>
      <c r="O149" s="513" t="s">
        <v>896</v>
      </c>
      <c r="P149" s="1950"/>
      <c r="Q149" s="513" t="s">
        <v>896</v>
      </c>
      <c r="R149" s="1950"/>
      <c r="S149" s="1942" t="s">
        <v>980</v>
      </c>
      <c r="T149" s="483">
        <f t="shared" si="15"/>
        <v>0</v>
      </c>
      <c r="U149" s="457" t="b">
        <f t="shared" si="16"/>
        <v>0</v>
      </c>
    </row>
    <row r="150" spans="1:21" ht="15.75" customHeight="1">
      <c r="B150" s="2681"/>
      <c r="C150" s="3231"/>
      <c r="D150" s="1957"/>
      <c r="E150" s="473" t="s">
        <v>1965</v>
      </c>
      <c r="F150" s="1950"/>
      <c r="G150" s="513" t="s">
        <v>896</v>
      </c>
      <c r="H150" s="1950"/>
      <c r="I150" s="513" t="s">
        <v>896</v>
      </c>
      <c r="J150" s="1950"/>
      <c r="K150" s="513" t="s">
        <v>896</v>
      </c>
      <c r="L150" s="1950"/>
      <c r="M150" s="513" t="s">
        <v>896</v>
      </c>
      <c r="N150" s="1950"/>
      <c r="O150" s="513" t="s">
        <v>896</v>
      </c>
      <c r="P150" s="1950"/>
      <c r="Q150" s="513" t="s">
        <v>896</v>
      </c>
      <c r="R150" s="1950"/>
      <c r="S150" s="1942" t="s">
        <v>980</v>
      </c>
      <c r="T150" s="483">
        <f t="shared" ref="T150" si="17">SUM(F150:R150)</f>
        <v>0</v>
      </c>
      <c r="U150" s="457" t="b">
        <f>D150&lt;&gt;0</f>
        <v>0</v>
      </c>
    </row>
    <row r="151" spans="1:21" ht="15.75" customHeight="1">
      <c r="B151" s="2681"/>
      <c r="C151" s="3232"/>
      <c r="D151" s="526"/>
      <c r="E151" s="515" t="s">
        <v>994</v>
      </c>
      <c r="F151" s="1945"/>
      <c r="G151" s="516" t="s">
        <v>995</v>
      </c>
      <c r="H151" s="1945"/>
      <c r="I151" s="516" t="s">
        <v>995</v>
      </c>
      <c r="J151" s="1945"/>
      <c r="K151" s="516" t="s">
        <v>995</v>
      </c>
      <c r="L151" s="1945"/>
      <c r="M151" s="516" t="s">
        <v>995</v>
      </c>
      <c r="N151" s="1945"/>
      <c r="O151" s="516" t="s">
        <v>995</v>
      </c>
      <c r="P151" s="1945"/>
      <c r="Q151" s="516" t="s">
        <v>995</v>
      </c>
      <c r="R151" s="1945"/>
      <c r="S151" s="1943" t="s">
        <v>996</v>
      </c>
      <c r="T151" s="517">
        <f t="shared" si="15"/>
        <v>0</v>
      </c>
      <c r="U151" s="457" t="b">
        <f>D151&lt;&gt;0</f>
        <v>0</v>
      </c>
    </row>
    <row r="152" spans="1:21" ht="15.75" customHeight="1">
      <c r="B152" s="3222"/>
      <c r="C152" s="292"/>
      <c r="D152" s="292"/>
      <c r="E152" s="506"/>
      <c r="F152" s="506"/>
      <c r="G152" s="506"/>
      <c r="H152" s="506"/>
      <c r="I152" s="506"/>
      <c r="J152" s="506"/>
      <c r="K152" s="506"/>
      <c r="L152" s="506"/>
      <c r="M152" s="506"/>
      <c r="N152" s="506"/>
      <c r="O152" s="506"/>
      <c r="P152" s="506"/>
      <c r="Q152" s="507"/>
      <c r="R152" s="508" t="s">
        <v>482</v>
      </c>
      <c r="S152" s="506"/>
      <c r="T152" s="518">
        <f>SUM(T142:T146)</f>
        <v>0</v>
      </c>
      <c r="U152" s="457" t="b">
        <f>T152&lt;&gt;0</f>
        <v>0</v>
      </c>
    </row>
    <row r="153" spans="1:21" ht="15.75" customHeight="1">
      <c r="C153" s="519"/>
      <c r="D153" s="519"/>
    </row>
    <row r="154" spans="1:21" ht="15.75" customHeight="1">
      <c r="B154" s="221"/>
      <c r="C154" s="512"/>
      <c r="D154" s="512"/>
      <c r="E154" s="221"/>
      <c r="F154" s="221"/>
      <c r="G154" s="221"/>
      <c r="H154" s="221"/>
      <c r="I154" s="221"/>
      <c r="J154" s="221"/>
      <c r="K154" s="221"/>
      <c r="L154" s="221"/>
      <c r="M154" s="221"/>
      <c r="N154" s="221"/>
      <c r="O154" s="221"/>
      <c r="P154" s="221"/>
      <c r="Q154" s="221"/>
      <c r="R154" s="221"/>
      <c r="S154" s="221"/>
      <c r="T154" s="221"/>
    </row>
    <row r="155" spans="1:21" ht="15.75" customHeight="1">
      <c r="A155" s="457">
        <f>ROW()</f>
        <v>155</v>
      </c>
      <c r="B155" s="3221" t="s">
        <v>485</v>
      </c>
      <c r="C155" s="3231" t="s">
        <v>480</v>
      </c>
      <c r="D155" s="520"/>
      <c r="E155" s="467" t="s">
        <v>994</v>
      </c>
      <c r="F155" s="491"/>
      <c r="G155" s="324" t="s">
        <v>995</v>
      </c>
      <c r="H155" s="491"/>
      <c r="I155" s="324" t="s">
        <v>995</v>
      </c>
      <c r="J155" s="491"/>
      <c r="K155" s="324" t="s">
        <v>995</v>
      </c>
      <c r="L155" s="491"/>
      <c r="M155" s="324" t="s">
        <v>995</v>
      </c>
      <c r="N155" s="491"/>
      <c r="O155" s="324" t="s">
        <v>995</v>
      </c>
      <c r="P155" s="491"/>
      <c r="Q155" s="324" t="s">
        <v>995</v>
      </c>
      <c r="R155" s="491"/>
      <c r="S155" s="354" t="s">
        <v>996</v>
      </c>
      <c r="T155" s="521">
        <f t="shared" ref="T155:T169" si="18">SUM(F155:R155)</f>
        <v>0</v>
      </c>
      <c r="U155" s="457" t="b">
        <f>D155&lt;&gt;0</f>
        <v>0</v>
      </c>
    </row>
    <row r="156" spans="1:21" ht="15.75" customHeight="1">
      <c r="B156" s="3221"/>
      <c r="C156" s="3231"/>
      <c r="D156" s="522"/>
      <c r="E156" s="473" t="s">
        <v>994</v>
      </c>
      <c r="F156" s="481"/>
      <c r="G156" s="513" t="s">
        <v>995</v>
      </c>
      <c r="H156" s="481"/>
      <c r="I156" s="513" t="s">
        <v>995</v>
      </c>
      <c r="J156" s="481"/>
      <c r="K156" s="513" t="s">
        <v>995</v>
      </c>
      <c r="L156" s="481"/>
      <c r="M156" s="513" t="s">
        <v>995</v>
      </c>
      <c r="N156" s="481"/>
      <c r="O156" s="513" t="s">
        <v>995</v>
      </c>
      <c r="P156" s="481"/>
      <c r="Q156" s="513" t="s">
        <v>995</v>
      </c>
      <c r="R156" s="481"/>
      <c r="S156" s="254" t="s">
        <v>996</v>
      </c>
      <c r="T156" s="523">
        <f t="shared" si="18"/>
        <v>0</v>
      </c>
      <c r="U156" s="457" t="b">
        <f>D156&lt;&gt;0</f>
        <v>0</v>
      </c>
    </row>
    <row r="157" spans="1:21" ht="15.75" customHeight="1">
      <c r="B157" s="3221"/>
      <c r="C157" s="3231"/>
      <c r="D157" s="522"/>
      <c r="E157" s="473" t="s">
        <v>994</v>
      </c>
      <c r="F157" s="481"/>
      <c r="G157" s="513" t="s">
        <v>995</v>
      </c>
      <c r="H157" s="481"/>
      <c r="I157" s="513" t="s">
        <v>995</v>
      </c>
      <c r="J157" s="481"/>
      <c r="K157" s="513" t="s">
        <v>995</v>
      </c>
      <c r="L157" s="481"/>
      <c r="M157" s="513" t="s">
        <v>995</v>
      </c>
      <c r="N157" s="481"/>
      <c r="O157" s="513" t="s">
        <v>995</v>
      </c>
      <c r="P157" s="481"/>
      <c r="Q157" s="513" t="s">
        <v>995</v>
      </c>
      <c r="R157" s="481"/>
      <c r="S157" s="254" t="s">
        <v>996</v>
      </c>
      <c r="T157" s="523">
        <f t="shared" si="18"/>
        <v>0</v>
      </c>
      <c r="U157" s="457" t="b">
        <f>D157&lt;&gt;0</f>
        <v>0</v>
      </c>
    </row>
    <row r="158" spans="1:21" ht="15.75" customHeight="1">
      <c r="B158" s="3221"/>
      <c r="C158" s="3231"/>
      <c r="D158" s="522"/>
      <c r="E158" s="473" t="s">
        <v>994</v>
      </c>
      <c r="F158" s="481"/>
      <c r="G158" s="513" t="s">
        <v>995</v>
      </c>
      <c r="H158" s="481"/>
      <c r="I158" s="513" t="s">
        <v>995</v>
      </c>
      <c r="J158" s="481"/>
      <c r="K158" s="513" t="s">
        <v>995</v>
      </c>
      <c r="L158" s="481"/>
      <c r="M158" s="513" t="s">
        <v>995</v>
      </c>
      <c r="N158" s="481"/>
      <c r="O158" s="513" t="s">
        <v>995</v>
      </c>
      <c r="P158" s="481"/>
      <c r="Q158" s="513" t="s">
        <v>995</v>
      </c>
      <c r="R158" s="481"/>
      <c r="S158" s="254" t="s">
        <v>996</v>
      </c>
      <c r="T158" s="523">
        <f t="shared" si="18"/>
        <v>0</v>
      </c>
      <c r="U158" s="457" t="b">
        <f>D158&lt;&gt;0</f>
        <v>0</v>
      </c>
    </row>
    <row r="159" spans="1:21" ht="15.75" customHeight="1">
      <c r="B159" s="3221"/>
      <c r="C159" s="3232"/>
      <c r="D159" s="524"/>
      <c r="E159" s="515" t="s">
        <v>994</v>
      </c>
      <c r="F159" s="22"/>
      <c r="G159" s="516" t="s">
        <v>995</v>
      </c>
      <c r="H159" s="22"/>
      <c r="I159" s="516" t="s">
        <v>995</v>
      </c>
      <c r="J159" s="22"/>
      <c r="K159" s="516" t="s">
        <v>995</v>
      </c>
      <c r="L159" s="22"/>
      <c r="M159" s="516" t="s">
        <v>995</v>
      </c>
      <c r="N159" s="22"/>
      <c r="O159" s="516" t="s">
        <v>995</v>
      </c>
      <c r="P159" s="22"/>
      <c r="Q159" s="516" t="s">
        <v>995</v>
      </c>
      <c r="R159" s="22"/>
      <c r="S159" s="256" t="s">
        <v>996</v>
      </c>
      <c r="T159" s="142">
        <f t="shared" si="18"/>
        <v>0</v>
      </c>
      <c r="U159" s="457" t="b">
        <f>D159&lt;&gt;0</f>
        <v>0</v>
      </c>
    </row>
    <row r="160" spans="1:21" ht="15.75" customHeight="1">
      <c r="B160" s="3221"/>
      <c r="C160" s="3227"/>
      <c r="D160" s="3228"/>
      <c r="E160" s="467" t="s">
        <v>994</v>
      </c>
      <c r="F160" s="491"/>
      <c r="G160" s="324" t="s">
        <v>995</v>
      </c>
      <c r="H160" s="491"/>
      <c r="I160" s="324" t="s">
        <v>995</v>
      </c>
      <c r="J160" s="491"/>
      <c r="K160" s="324" t="s">
        <v>995</v>
      </c>
      <c r="L160" s="491"/>
      <c r="M160" s="324" t="s">
        <v>995</v>
      </c>
      <c r="N160" s="491"/>
      <c r="O160" s="324" t="s">
        <v>995</v>
      </c>
      <c r="P160" s="491"/>
      <c r="Q160" s="324" t="s">
        <v>995</v>
      </c>
      <c r="R160" s="491"/>
      <c r="S160" s="354" t="s">
        <v>996</v>
      </c>
      <c r="T160" s="493">
        <f t="shared" si="18"/>
        <v>0</v>
      </c>
      <c r="U160" s="457" t="b">
        <f>C160&lt;&gt;0</f>
        <v>0</v>
      </c>
    </row>
    <row r="161" spans="2:21" ht="15.75" customHeight="1">
      <c r="B161" s="3221"/>
      <c r="C161" s="3223"/>
      <c r="D161" s="3224"/>
      <c r="E161" s="473" t="s">
        <v>994</v>
      </c>
      <c r="F161" s="481"/>
      <c r="G161" s="513" t="s">
        <v>995</v>
      </c>
      <c r="H161" s="481"/>
      <c r="I161" s="513" t="s">
        <v>995</v>
      </c>
      <c r="J161" s="481"/>
      <c r="K161" s="513" t="s">
        <v>995</v>
      </c>
      <c r="L161" s="481"/>
      <c r="M161" s="513" t="s">
        <v>995</v>
      </c>
      <c r="N161" s="481"/>
      <c r="O161" s="513" t="s">
        <v>995</v>
      </c>
      <c r="P161" s="481"/>
      <c r="Q161" s="513" t="s">
        <v>995</v>
      </c>
      <c r="R161" s="481"/>
      <c r="S161" s="254" t="s">
        <v>996</v>
      </c>
      <c r="T161" s="483">
        <f t="shared" si="18"/>
        <v>0</v>
      </c>
      <c r="U161" s="457" t="b">
        <f>C161&lt;&gt;0</f>
        <v>0</v>
      </c>
    </row>
    <row r="162" spans="2:21" ht="15.75" customHeight="1">
      <c r="B162" s="3221"/>
      <c r="C162" s="3223"/>
      <c r="D162" s="3224"/>
      <c r="E162" s="473" t="s">
        <v>994</v>
      </c>
      <c r="F162" s="481"/>
      <c r="G162" s="513" t="s">
        <v>995</v>
      </c>
      <c r="H162" s="481"/>
      <c r="I162" s="513" t="s">
        <v>995</v>
      </c>
      <c r="J162" s="481"/>
      <c r="K162" s="513" t="s">
        <v>995</v>
      </c>
      <c r="L162" s="481"/>
      <c r="M162" s="513" t="s">
        <v>995</v>
      </c>
      <c r="N162" s="481"/>
      <c r="O162" s="513" t="s">
        <v>995</v>
      </c>
      <c r="P162" s="481"/>
      <c r="Q162" s="513" t="s">
        <v>995</v>
      </c>
      <c r="R162" s="481"/>
      <c r="S162" s="254" t="s">
        <v>996</v>
      </c>
      <c r="T162" s="483">
        <f t="shared" si="18"/>
        <v>0</v>
      </c>
      <c r="U162" s="457" t="b">
        <f>C162&lt;&gt;0</f>
        <v>0</v>
      </c>
    </row>
    <row r="163" spans="2:21" ht="15.75" customHeight="1">
      <c r="B163" s="3221"/>
      <c r="C163" s="3223"/>
      <c r="D163" s="3224"/>
      <c r="E163" s="473" t="s">
        <v>994</v>
      </c>
      <c r="F163" s="481"/>
      <c r="G163" s="513" t="s">
        <v>995</v>
      </c>
      <c r="H163" s="481"/>
      <c r="I163" s="513" t="s">
        <v>995</v>
      </c>
      <c r="J163" s="481"/>
      <c r="K163" s="513" t="s">
        <v>995</v>
      </c>
      <c r="L163" s="481"/>
      <c r="M163" s="513" t="s">
        <v>995</v>
      </c>
      <c r="N163" s="481"/>
      <c r="O163" s="513" t="s">
        <v>995</v>
      </c>
      <c r="P163" s="481"/>
      <c r="Q163" s="513" t="s">
        <v>995</v>
      </c>
      <c r="R163" s="481"/>
      <c r="S163" s="254" t="s">
        <v>996</v>
      </c>
      <c r="T163" s="483">
        <f t="shared" si="18"/>
        <v>0</v>
      </c>
      <c r="U163" s="457" t="b">
        <f>C163&lt;&gt;0</f>
        <v>0</v>
      </c>
    </row>
    <row r="164" spans="2:21" ht="15.75" customHeight="1">
      <c r="B164" s="3221"/>
      <c r="C164" s="3225"/>
      <c r="D164" s="3226"/>
      <c r="E164" s="515" t="s">
        <v>994</v>
      </c>
      <c r="F164" s="22"/>
      <c r="G164" s="516" t="s">
        <v>995</v>
      </c>
      <c r="H164" s="22"/>
      <c r="I164" s="516" t="s">
        <v>995</v>
      </c>
      <c r="J164" s="22"/>
      <c r="K164" s="516" t="s">
        <v>995</v>
      </c>
      <c r="L164" s="22"/>
      <c r="M164" s="516" t="s">
        <v>995</v>
      </c>
      <c r="N164" s="22"/>
      <c r="O164" s="516" t="s">
        <v>995</v>
      </c>
      <c r="P164" s="22"/>
      <c r="Q164" s="516" t="s">
        <v>995</v>
      </c>
      <c r="R164" s="22"/>
      <c r="S164" s="256" t="s">
        <v>996</v>
      </c>
      <c r="T164" s="517">
        <f t="shared" si="18"/>
        <v>0</v>
      </c>
      <c r="U164" s="457" t="b">
        <f>C164&lt;&gt;0</f>
        <v>0</v>
      </c>
    </row>
    <row r="165" spans="2:21" ht="15.75" customHeight="1">
      <c r="B165" s="3221"/>
      <c r="C165" s="3231" t="s">
        <v>481</v>
      </c>
      <c r="D165" s="1949"/>
      <c r="E165" s="504" t="s">
        <v>994</v>
      </c>
      <c r="F165" s="1953"/>
      <c r="G165" s="1954" t="s">
        <v>995</v>
      </c>
      <c r="H165" s="1953"/>
      <c r="I165" s="1954" t="s">
        <v>995</v>
      </c>
      <c r="J165" s="1953"/>
      <c r="K165" s="1954" t="s">
        <v>995</v>
      </c>
      <c r="L165" s="1953"/>
      <c r="M165" s="1954" t="s">
        <v>995</v>
      </c>
      <c r="N165" s="1953"/>
      <c r="O165" s="1954" t="s">
        <v>995</v>
      </c>
      <c r="P165" s="1953"/>
      <c r="Q165" s="1954" t="s">
        <v>995</v>
      </c>
      <c r="R165" s="1953"/>
      <c r="S165" s="1944" t="s">
        <v>996</v>
      </c>
      <c r="T165" s="1955">
        <f t="shared" si="18"/>
        <v>0</v>
      </c>
      <c r="U165" s="457" t="b">
        <f>D165&lt;&gt;0</f>
        <v>0</v>
      </c>
    </row>
    <row r="166" spans="2:21" ht="15.75" customHeight="1">
      <c r="B166" s="3221"/>
      <c r="C166" s="3231"/>
      <c r="D166" s="1947"/>
      <c r="E166" s="473" t="s">
        <v>1965</v>
      </c>
      <c r="F166" s="1950"/>
      <c r="G166" s="513" t="s">
        <v>896</v>
      </c>
      <c r="H166" s="1950"/>
      <c r="I166" s="513" t="s">
        <v>896</v>
      </c>
      <c r="J166" s="1950"/>
      <c r="K166" s="513" t="s">
        <v>896</v>
      </c>
      <c r="L166" s="1950"/>
      <c r="M166" s="513" t="s">
        <v>896</v>
      </c>
      <c r="N166" s="1950"/>
      <c r="O166" s="513" t="s">
        <v>896</v>
      </c>
      <c r="P166" s="1950"/>
      <c r="Q166" s="513" t="s">
        <v>896</v>
      </c>
      <c r="R166" s="1950"/>
      <c r="S166" s="1942" t="s">
        <v>980</v>
      </c>
      <c r="T166" s="483">
        <f t="shared" si="18"/>
        <v>0</v>
      </c>
      <c r="U166" s="457" t="b">
        <f t="shared" ref="U166:U167" si="19">D166&lt;&gt;0</f>
        <v>0</v>
      </c>
    </row>
    <row r="167" spans="2:21" ht="15.75" customHeight="1">
      <c r="B167" s="3221"/>
      <c r="C167" s="3231"/>
      <c r="D167" s="1947"/>
      <c r="E167" s="473" t="s">
        <v>1965</v>
      </c>
      <c r="F167" s="1950"/>
      <c r="G167" s="513" t="s">
        <v>896</v>
      </c>
      <c r="H167" s="1950"/>
      <c r="I167" s="513" t="s">
        <v>896</v>
      </c>
      <c r="J167" s="1950"/>
      <c r="K167" s="513" t="s">
        <v>896</v>
      </c>
      <c r="L167" s="1950"/>
      <c r="M167" s="513" t="s">
        <v>896</v>
      </c>
      <c r="N167" s="1950"/>
      <c r="O167" s="513" t="s">
        <v>896</v>
      </c>
      <c r="P167" s="1950"/>
      <c r="Q167" s="513" t="s">
        <v>896</v>
      </c>
      <c r="R167" s="1950"/>
      <c r="S167" s="1942" t="s">
        <v>980</v>
      </c>
      <c r="T167" s="483">
        <f t="shared" si="18"/>
        <v>0</v>
      </c>
      <c r="U167" s="457" t="b">
        <f t="shared" si="19"/>
        <v>0</v>
      </c>
    </row>
    <row r="168" spans="2:21" ht="15.75" customHeight="1">
      <c r="B168" s="3221"/>
      <c r="C168" s="3231"/>
      <c r="D168" s="1947"/>
      <c r="E168" s="473" t="s">
        <v>1965</v>
      </c>
      <c r="F168" s="1950"/>
      <c r="G168" s="513" t="s">
        <v>896</v>
      </c>
      <c r="H168" s="1950"/>
      <c r="I168" s="513" t="s">
        <v>896</v>
      </c>
      <c r="J168" s="1950"/>
      <c r="K168" s="513" t="s">
        <v>896</v>
      </c>
      <c r="L168" s="1950"/>
      <c r="M168" s="513" t="s">
        <v>896</v>
      </c>
      <c r="N168" s="1950"/>
      <c r="O168" s="513" t="s">
        <v>896</v>
      </c>
      <c r="P168" s="1950"/>
      <c r="Q168" s="513" t="s">
        <v>896</v>
      </c>
      <c r="R168" s="1950"/>
      <c r="S168" s="1942" t="s">
        <v>980</v>
      </c>
      <c r="T168" s="483">
        <f t="shared" ref="T168" si="20">SUM(F168:R168)</f>
        <v>0</v>
      </c>
      <c r="U168" s="457" t="b">
        <f>D168&lt;&gt;0</f>
        <v>0</v>
      </c>
    </row>
    <row r="169" spans="2:21" ht="15.75" customHeight="1">
      <c r="B169" s="3221"/>
      <c r="C169" s="3232"/>
      <c r="D169" s="1948"/>
      <c r="E169" s="515" t="s">
        <v>994</v>
      </c>
      <c r="F169" s="1945"/>
      <c r="G169" s="516" t="s">
        <v>995</v>
      </c>
      <c r="H169" s="1945"/>
      <c r="I169" s="516" t="s">
        <v>995</v>
      </c>
      <c r="J169" s="1945"/>
      <c r="K169" s="516" t="s">
        <v>995</v>
      </c>
      <c r="L169" s="1945"/>
      <c r="M169" s="516" t="s">
        <v>995</v>
      </c>
      <c r="N169" s="1945"/>
      <c r="O169" s="516" t="s">
        <v>995</v>
      </c>
      <c r="P169" s="1945"/>
      <c r="Q169" s="516" t="s">
        <v>995</v>
      </c>
      <c r="R169" s="1945"/>
      <c r="S169" s="1943" t="s">
        <v>996</v>
      </c>
      <c r="T169" s="517">
        <f t="shared" si="18"/>
        <v>0</v>
      </c>
      <c r="U169" s="457" t="b">
        <f>D169&lt;&gt;0</f>
        <v>0</v>
      </c>
    </row>
    <row r="170" spans="2:21" ht="15.75" customHeight="1">
      <c r="B170" s="3221"/>
      <c r="C170" s="3231" t="s">
        <v>486</v>
      </c>
      <c r="D170" s="525"/>
      <c r="E170" s="467" t="s">
        <v>994</v>
      </c>
      <c r="F170" s="3256" t="str">
        <f>HYPERLINK("#調書!E646","&lt;調書直接入力&gt;")</f>
        <v>&lt;調書直接入力&gt;</v>
      </c>
      <c r="G170" s="3257"/>
      <c r="H170" s="3258"/>
      <c r="I170" s="3245" t="s">
        <v>487</v>
      </c>
      <c r="J170" s="3246"/>
      <c r="K170" s="3246"/>
      <c r="L170" s="3246"/>
      <c r="M170" s="3246"/>
      <c r="N170" s="3246"/>
      <c r="O170" s="3246"/>
      <c r="P170" s="3246"/>
      <c r="Q170" s="3246"/>
      <c r="R170" s="3246"/>
      <c r="S170" s="3246"/>
      <c r="T170" s="3247"/>
      <c r="U170" s="457" t="b">
        <f>D170&lt;&gt;0</f>
        <v>0</v>
      </c>
    </row>
    <row r="171" spans="2:21" ht="15.75" customHeight="1">
      <c r="B171" s="3221"/>
      <c r="C171" s="3232"/>
      <c r="D171" s="514"/>
      <c r="E171" s="515" t="s">
        <v>994</v>
      </c>
      <c r="F171" s="3259"/>
      <c r="G171" s="3260"/>
      <c r="H171" s="3261"/>
      <c r="I171" s="3248"/>
      <c r="J171" s="2837"/>
      <c r="K171" s="2837"/>
      <c r="L171" s="2837"/>
      <c r="M171" s="2837"/>
      <c r="N171" s="2837"/>
      <c r="O171" s="2837"/>
      <c r="P171" s="2837"/>
      <c r="Q171" s="2837"/>
      <c r="R171" s="2837"/>
      <c r="S171" s="2837"/>
      <c r="T171" s="3249"/>
      <c r="U171" s="457" t="b">
        <f>D171&lt;&gt;0</f>
        <v>0</v>
      </c>
    </row>
    <row r="172" spans="2:21" ht="15.75" customHeight="1">
      <c r="B172" s="3222"/>
      <c r="C172" s="533"/>
      <c r="D172" s="292"/>
      <c r="E172" s="506"/>
      <c r="F172" s="506"/>
      <c r="G172" s="506"/>
      <c r="H172" s="506"/>
      <c r="I172" s="506"/>
      <c r="J172" s="506"/>
      <c r="K172" s="506"/>
      <c r="L172" s="506"/>
      <c r="M172" s="506"/>
      <c r="N172" s="506"/>
      <c r="O172" s="506"/>
      <c r="P172" s="506"/>
      <c r="Q172" s="507"/>
      <c r="R172" s="508" t="s">
        <v>482</v>
      </c>
      <c r="S172" s="506"/>
      <c r="T172" s="518">
        <f>SUM(T160:T164)</f>
        <v>0</v>
      </c>
      <c r="U172" s="457" t="b">
        <f>T172&lt;&gt;0</f>
        <v>0</v>
      </c>
    </row>
    <row r="173" spans="2:21" ht="15.75" customHeight="1">
      <c r="C173" s="519"/>
      <c r="D173" s="519"/>
    </row>
  </sheetData>
  <autoFilter ref="U2:U173"/>
  <mergeCells count="100">
    <mergeCell ref="I170:T171"/>
    <mergeCell ref="I35:T35"/>
    <mergeCell ref="F35:H35"/>
    <mergeCell ref="C147:C151"/>
    <mergeCell ref="C129:C133"/>
    <mergeCell ref="C145:D145"/>
    <mergeCell ref="C163:D163"/>
    <mergeCell ref="C161:D161"/>
    <mergeCell ref="C146:D146"/>
    <mergeCell ref="C143:D143"/>
    <mergeCell ref="C55:D55"/>
    <mergeCell ref="C63:D63"/>
    <mergeCell ref="C65:D65"/>
    <mergeCell ref="F170:H171"/>
    <mergeCell ref="C120:D120"/>
    <mergeCell ref="C113:C119"/>
    <mergeCell ref="C102:D102"/>
    <mergeCell ref="C100:D100"/>
    <mergeCell ref="C77:D77"/>
    <mergeCell ref="C89:C95"/>
    <mergeCell ref="C101:D101"/>
    <mergeCell ref="C78:D78"/>
    <mergeCell ref="C43:D43"/>
    <mergeCell ref="C48:D48"/>
    <mergeCell ref="C41:D41"/>
    <mergeCell ref="C51:D51"/>
    <mergeCell ref="C50:D50"/>
    <mergeCell ref="C7:D7"/>
    <mergeCell ref="C8:D8"/>
    <mergeCell ref="C9:D9"/>
    <mergeCell ref="C15:D15"/>
    <mergeCell ref="C35:D35"/>
    <mergeCell ref="C29:D29"/>
    <mergeCell ref="C31:D31"/>
    <mergeCell ref="C21:D21"/>
    <mergeCell ref="C22:D22"/>
    <mergeCell ref="C25:D25"/>
    <mergeCell ref="C11:D11"/>
    <mergeCell ref="C12:D12"/>
    <mergeCell ref="C13:D13"/>
    <mergeCell ref="C10:D10"/>
    <mergeCell ref="C105:C109"/>
    <mergeCell ref="C81:C85"/>
    <mergeCell ref="C39:D39"/>
    <mergeCell ref="C17:D17"/>
    <mergeCell ref="C18:D18"/>
    <mergeCell ref="C33:D33"/>
    <mergeCell ref="C30:D30"/>
    <mergeCell ref="C27:D27"/>
    <mergeCell ref="C19:D19"/>
    <mergeCell ref="C20:D20"/>
    <mergeCell ref="C23:D23"/>
    <mergeCell ref="C40:D40"/>
    <mergeCell ref="C49:D49"/>
    <mergeCell ref="C47:D47"/>
    <mergeCell ref="C42:D42"/>
    <mergeCell ref="C56:D56"/>
    <mergeCell ref="C57:D57"/>
    <mergeCell ref="C58:D58"/>
    <mergeCell ref="C71:C75"/>
    <mergeCell ref="C67:D67"/>
    <mergeCell ref="C66:D66"/>
    <mergeCell ref="C64:D64"/>
    <mergeCell ref="C59:D59"/>
    <mergeCell ref="B155:B172"/>
    <mergeCell ref="C160:D160"/>
    <mergeCell ref="C155:C159"/>
    <mergeCell ref="C162:D162"/>
    <mergeCell ref="C165:C169"/>
    <mergeCell ref="C170:C171"/>
    <mergeCell ref="C164:D164"/>
    <mergeCell ref="B113:B134"/>
    <mergeCell ref="B137:B152"/>
    <mergeCell ref="C124:D124"/>
    <mergeCell ref="C122:D122"/>
    <mergeCell ref="C123:D123"/>
    <mergeCell ref="C128:D128"/>
    <mergeCell ref="C137:C141"/>
    <mergeCell ref="C125:D125"/>
    <mergeCell ref="C144:D144"/>
    <mergeCell ref="C126:D126"/>
    <mergeCell ref="C142:D142"/>
    <mergeCell ref="C127:D127"/>
    <mergeCell ref="C121:D121"/>
    <mergeCell ref="B6:B36"/>
    <mergeCell ref="B71:B86"/>
    <mergeCell ref="B89:B110"/>
    <mergeCell ref="C99:D99"/>
    <mergeCell ref="C98:D98"/>
    <mergeCell ref="C80:D80"/>
    <mergeCell ref="C104:D104"/>
    <mergeCell ref="B39:B44"/>
    <mergeCell ref="B47:B52"/>
    <mergeCell ref="B55:B60"/>
    <mergeCell ref="B63:B68"/>
    <mergeCell ref="C76:D76"/>
    <mergeCell ref="C103:D103"/>
    <mergeCell ref="C79:D79"/>
    <mergeCell ref="C96:D96"/>
    <mergeCell ref="C97:D97"/>
  </mergeCells>
  <phoneticPr fontId="19"/>
  <dataValidations count="19">
    <dataValidation type="list" allowBlank="1" showInputMessage="1" showErrorMessage="1" sqref="D171">
      <formula1>"固定式,開閉式"</formula1>
    </dataValidation>
    <dataValidation type="list" allowBlank="1" showInputMessage="1" showErrorMessage="1" sqref="D147:D151 D129:D133 D105:D109 D81:D85 D165:D169">
      <formula1>断熱名称</formula1>
    </dataValidation>
    <dataValidation type="list" allowBlank="1" showInputMessage="1" showErrorMessage="1" error="調書シートで追加（又は修正）した後、再度選択してくだい。" sqref="C160:D164">
      <formula1>屋根名称</formula1>
    </dataValidation>
    <dataValidation type="list" allowBlank="1" showInputMessage="1" showErrorMessage="1" error="調書シートで追加（又は修正）した後、再度選択してくだい。" sqref="C142:D146">
      <formula1>天井名称</formula1>
    </dataValidation>
    <dataValidation type="list" allowBlank="1" showInputMessage="1" showErrorMessage="1" error="調書シートで追加（又は修正）した後、再度選択してくだい。" sqref="C120:D128">
      <formula1>床名称</formula1>
    </dataValidation>
    <dataValidation type="list" allowBlank="1" showInputMessage="1" showErrorMessage="1" error="調書シートで追加（又は修正）した後、再度選択してくだい。" sqref="C96:D104">
      <formula1>内部名称</formula1>
    </dataValidation>
    <dataValidation type="list" allowBlank="1" showInputMessage="1" showErrorMessage="1" error="調書シートで追加（又は修正）した後、再度選択してくだい。" sqref="C76:D80">
      <formula1>外部名称</formula1>
    </dataValidation>
    <dataValidation type="list" allowBlank="1" showInputMessage="1" showErrorMessage="1" error="調書シートで追加（又は修正）した後、再度選択してくだい。" sqref="C63:D67">
      <formula1>間仕切名称</formula1>
    </dataValidation>
    <dataValidation type="list" allowBlank="1" showInputMessage="1" showErrorMessage="1" error="調書シートで追加（又は修正）した後、再度選択してくだい。" sqref="C55:D59">
      <formula1>外周壁名称</formula1>
    </dataValidation>
    <dataValidation type="list" allowBlank="1" showInputMessage="1" showErrorMessage="1" error="調書シートで追加（又は修正）した後、再度選択してくだい。" sqref="C47:D51">
      <formula1>床構造名称</formula1>
    </dataValidation>
    <dataValidation type="list" allowBlank="1" showInputMessage="1" showErrorMessage="1" error="調書シートで追加（又は修正）した後、再度選択してくだい。" sqref="C39:C43">
      <formula1>屋根構造名称</formula1>
    </dataValidation>
    <dataValidation type="list" allowBlank="1" showInputMessage="1" showErrorMessage="1" sqref="C7:D9">
      <formula1>Ｓ名称</formula1>
    </dataValidation>
    <dataValidation type="list" allowBlank="1" showInputMessage="1" showErrorMessage="1" sqref="C15:D15">
      <formula1>ＬＧＳ名称</formula1>
    </dataValidation>
    <dataValidation type="list" allowBlank="1" showInputMessage="1" showErrorMessage="1" sqref="C17:D23">
      <formula1>ＲＣＣＢ名称</formula1>
    </dataValidation>
    <dataValidation type="list" allowBlank="1" showInputMessage="1" showErrorMessage="1" sqref="C29:D31">
      <formula1>基礎延長名称</formula1>
    </dataValidation>
    <dataValidation type="list" allowBlank="1" showInputMessage="1" showErrorMessage="1" sqref="C27:D27">
      <formula1>根伐土量名称</formula1>
    </dataValidation>
    <dataValidation type="list" allowBlank="1" showInputMessage="1" showErrorMessage="1" sqref="C33:D33">
      <formula1>独立基礎名称</formula1>
    </dataValidation>
    <dataValidation type="list" allowBlank="1" showInputMessage="1" showErrorMessage="1" error="あ" sqref="D170">
      <formula1>"固定式,開閉式"</formula1>
    </dataValidation>
    <dataValidation type="list" allowBlank="1" showInputMessage="1" showErrorMessage="1" sqref="C11:D13">
      <formula1>耐火被覆</formula1>
    </dataValidation>
  </dataValidations>
  <pageMargins left="0.6" right="0.2" top="0.49" bottom="0.41" header="0.38" footer="0.19"/>
  <pageSetup paperSize="9" scale="36" orientation="portrait" r:id="rId1"/>
  <headerFooter alignWithMargins="0">
    <oddHeader>&amp;C&amp;"HG創英角ｺﾞｼｯｸUB,ｳﾙﾄﾗﾎﾞｰﾙﾄﾞ"&amp;11見積拾補助票</oddHeader>
    <oddFooter>&amp;R&amp;"ＭＳ ゴシック,標準"&amp;D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AH213"/>
  <sheetViews>
    <sheetView zoomScaleNormal="100" workbookViewId="0">
      <selection activeCell="T184" sqref="T184:Y184"/>
    </sheetView>
  </sheetViews>
  <sheetFormatPr defaultRowHeight="13.5" customHeight="1"/>
  <cols>
    <col min="1" max="1" width="12.1640625" bestFit="1" customWidth="1"/>
    <col min="2" max="3" width="3.83203125" customWidth="1"/>
    <col min="4" max="7" width="3.83203125" style="6" customWidth="1"/>
    <col min="8" max="9" width="3.83203125" customWidth="1"/>
    <col min="10" max="13" width="3.83203125" style="6" customWidth="1"/>
    <col min="14" max="15" width="3.83203125" customWidth="1"/>
    <col min="16" max="19" width="3.83203125" style="6" customWidth="1"/>
    <col min="20" max="21" width="3.83203125" customWidth="1"/>
    <col min="22" max="25" width="3.83203125" style="6" customWidth="1"/>
    <col min="26" max="27" width="3.83203125" customWidth="1"/>
    <col min="28" max="31" width="3.83203125" style="6" customWidth="1"/>
    <col min="32" max="32" width="14.5" style="1" bestFit="1" customWidth="1"/>
    <col min="33" max="33" width="7.83203125" bestFit="1" customWidth="1"/>
  </cols>
  <sheetData>
    <row r="1" spans="1:33" ht="11.25"/>
    <row r="2" spans="1:33">
      <c r="A2" s="534" t="s">
        <v>488</v>
      </c>
      <c r="AG2" t="b">
        <v>1</v>
      </c>
    </row>
    <row r="3" spans="1:33" ht="13.5" customHeight="1">
      <c r="A3" s="534"/>
      <c r="AG3" t="b">
        <v>1</v>
      </c>
    </row>
    <row r="4" spans="1:33" ht="13.5" customHeight="1" thickBot="1">
      <c r="A4" s="534"/>
      <c r="AG4" t="b">
        <f>AG5</f>
        <v>0</v>
      </c>
    </row>
    <row r="5" spans="1:33" ht="13.5" customHeight="1">
      <c r="A5" s="3312" t="s">
        <v>1166</v>
      </c>
      <c r="B5" s="34" t="s">
        <v>489</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535" t="s">
        <v>490</v>
      </c>
      <c r="AG5" t="b">
        <f>AF6&lt;&gt;0</f>
        <v>0</v>
      </c>
    </row>
    <row r="6" spans="1:33" ht="13.5" customHeight="1">
      <c r="A6" s="3313"/>
      <c r="B6" s="3320"/>
      <c r="C6" s="3311"/>
      <c r="D6" s="490" t="s">
        <v>491</v>
      </c>
      <c r="E6" s="3311"/>
      <c r="F6" s="3311"/>
      <c r="G6" s="490" t="s">
        <v>491</v>
      </c>
      <c r="H6" s="3311"/>
      <c r="I6" s="3311"/>
      <c r="J6" s="490" t="s">
        <v>491</v>
      </c>
      <c r="K6" s="3311"/>
      <c r="L6" s="3311"/>
      <c r="M6" s="490" t="s">
        <v>491</v>
      </c>
      <c r="N6" s="3311"/>
      <c r="O6" s="3311"/>
      <c r="P6" s="490" t="s">
        <v>491</v>
      </c>
      <c r="Q6" s="3311"/>
      <c r="R6" s="3311"/>
      <c r="S6" s="490" t="s">
        <v>491</v>
      </c>
      <c r="T6" s="3311"/>
      <c r="U6" s="3311"/>
      <c r="V6" s="490" t="s">
        <v>491</v>
      </c>
      <c r="W6" s="3311"/>
      <c r="X6" s="3311"/>
      <c r="Y6" s="490" t="s">
        <v>491</v>
      </c>
      <c r="Z6" s="3311"/>
      <c r="AA6" s="3311"/>
      <c r="AB6" s="490" t="s">
        <v>491</v>
      </c>
      <c r="AC6" s="3311"/>
      <c r="AD6" s="3311"/>
      <c r="AE6" s="3318" t="s">
        <v>492</v>
      </c>
      <c r="AF6" s="3316">
        <f>SUM(B6:AE10)</f>
        <v>0</v>
      </c>
      <c r="AG6" t="b">
        <f>SUM(B6:AD6)&lt;&gt;0</f>
        <v>0</v>
      </c>
    </row>
    <row r="7" spans="1:33" ht="13.5" customHeight="1">
      <c r="A7" s="3313"/>
      <c r="B7" s="3321"/>
      <c r="C7" s="3310"/>
      <c r="D7" s="480" t="s">
        <v>491</v>
      </c>
      <c r="E7" s="3310"/>
      <c r="F7" s="3310"/>
      <c r="G7" s="480" t="s">
        <v>491</v>
      </c>
      <c r="H7" s="3310"/>
      <c r="I7" s="3310"/>
      <c r="J7" s="480" t="s">
        <v>491</v>
      </c>
      <c r="K7" s="3310"/>
      <c r="L7" s="3310"/>
      <c r="M7" s="480" t="s">
        <v>491</v>
      </c>
      <c r="N7" s="3310"/>
      <c r="O7" s="3310"/>
      <c r="P7" s="480" t="s">
        <v>491</v>
      </c>
      <c r="Q7" s="3310"/>
      <c r="R7" s="3310"/>
      <c r="S7" s="480" t="s">
        <v>491</v>
      </c>
      <c r="T7" s="3310"/>
      <c r="U7" s="3310"/>
      <c r="V7" s="480" t="s">
        <v>491</v>
      </c>
      <c r="W7" s="3310"/>
      <c r="X7" s="3310"/>
      <c r="Y7" s="480" t="s">
        <v>491</v>
      </c>
      <c r="Z7" s="3310"/>
      <c r="AA7" s="3310"/>
      <c r="AB7" s="480" t="s">
        <v>491</v>
      </c>
      <c r="AC7" s="3310"/>
      <c r="AD7" s="3310"/>
      <c r="AE7" s="3318"/>
      <c r="AF7" s="3316"/>
      <c r="AG7" t="b">
        <f>SUM(B7:AD7)&lt;&gt;0</f>
        <v>0</v>
      </c>
    </row>
    <row r="8" spans="1:33" ht="13.5" customHeight="1">
      <c r="A8" s="3313"/>
      <c r="B8" s="3321"/>
      <c r="C8" s="3310"/>
      <c r="D8" s="480" t="s">
        <v>491</v>
      </c>
      <c r="E8" s="3310"/>
      <c r="F8" s="3310"/>
      <c r="G8" s="480" t="s">
        <v>491</v>
      </c>
      <c r="H8" s="3310"/>
      <c r="I8" s="3310"/>
      <c r="J8" s="480" t="s">
        <v>491</v>
      </c>
      <c r="K8" s="3310"/>
      <c r="L8" s="3310"/>
      <c r="M8" s="480" t="s">
        <v>491</v>
      </c>
      <c r="N8" s="3310"/>
      <c r="O8" s="3310"/>
      <c r="P8" s="480" t="s">
        <v>491</v>
      </c>
      <c r="Q8" s="3310"/>
      <c r="R8" s="3310"/>
      <c r="S8" s="480" t="s">
        <v>491</v>
      </c>
      <c r="T8" s="3310"/>
      <c r="U8" s="3310"/>
      <c r="V8" s="480" t="s">
        <v>491</v>
      </c>
      <c r="W8" s="3310"/>
      <c r="X8" s="3310"/>
      <c r="Y8" s="480" t="s">
        <v>491</v>
      </c>
      <c r="Z8" s="3310"/>
      <c r="AA8" s="3310"/>
      <c r="AB8" s="480" t="s">
        <v>491</v>
      </c>
      <c r="AC8" s="3310"/>
      <c r="AD8" s="3310"/>
      <c r="AE8" s="3318"/>
      <c r="AF8" s="3316"/>
      <c r="AG8" t="b">
        <f>SUM(B8:AD8)&lt;&gt;0</f>
        <v>0</v>
      </c>
    </row>
    <row r="9" spans="1:33" ht="13.5" customHeight="1">
      <c r="A9" s="3313"/>
      <c r="B9" s="3321"/>
      <c r="C9" s="3310"/>
      <c r="D9" s="480" t="s">
        <v>491</v>
      </c>
      <c r="E9" s="3310"/>
      <c r="F9" s="3310"/>
      <c r="G9" s="480" t="s">
        <v>491</v>
      </c>
      <c r="H9" s="3310"/>
      <c r="I9" s="3310"/>
      <c r="J9" s="480" t="s">
        <v>491</v>
      </c>
      <c r="K9" s="3310"/>
      <c r="L9" s="3310"/>
      <c r="M9" s="480" t="s">
        <v>491</v>
      </c>
      <c r="N9" s="3310"/>
      <c r="O9" s="3310"/>
      <c r="P9" s="480" t="s">
        <v>491</v>
      </c>
      <c r="Q9" s="3310"/>
      <c r="R9" s="3310"/>
      <c r="S9" s="480" t="s">
        <v>491</v>
      </c>
      <c r="T9" s="3310"/>
      <c r="U9" s="3310"/>
      <c r="V9" s="480" t="s">
        <v>491</v>
      </c>
      <c r="W9" s="3310"/>
      <c r="X9" s="3310"/>
      <c r="Y9" s="480" t="s">
        <v>491</v>
      </c>
      <c r="Z9" s="3310"/>
      <c r="AA9" s="3310"/>
      <c r="AB9" s="480" t="s">
        <v>491</v>
      </c>
      <c r="AC9" s="3310"/>
      <c r="AD9" s="3310"/>
      <c r="AE9" s="3318"/>
      <c r="AF9" s="3316"/>
      <c r="AG9" t="b">
        <f>SUM(B9:AD9)&lt;&gt;0</f>
        <v>0</v>
      </c>
    </row>
    <row r="10" spans="1:33" ht="13.5" customHeight="1" thickBot="1">
      <c r="A10" s="3313"/>
      <c r="B10" s="2839"/>
      <c r="C10" s="2840"/>
      <c r="D10" s="166" t="s">
        <v>491</v>
      </c>
      <c r="E10" s="2840"/>
      <c r="F10" s="2840"/>
      <c r="G10" s="166" t="s">
        <v>491</v>
      </c>
      <c r="H10" s="2840"/>
      <c r="I10" s="2840"/>
      <c r="J10" s="166" t="s">
        <v>491</v>
      </c>
      <c r="K10" s="2840"/>
      <c r="L10" s="2840"/>
      <c r="M10" s="166" t="s">
        <v>491</v>
      </c>
      <c r="N10" s="2840"/>
      <c r="O10" s="2840"/>
      <c r="P10" s="166" t="s">
        <v>491</v>
      </c>
      <c r="Q10" s="2840"/>
      <c r="R10" s="2840"/>
      <c r="S10" s="166" t="s">
        <v>491</v>
      </c>
      <c r="T10" s="2840"/>
      <c r="U10" s="2840"/>
      <c r="V10" s="166" t="s">
        <v>491</v>
      </c>
      <c r="W10" s="2840"/>
      <c r="X10" s="2840"/>
      <c r="Y10" s="166" t="s">
        <v>491</v>
      </c>
      <c r="Z10" s="2840"/>
      <c r="AA10" s="2840"/>
      <c r="AB10" s="166" t="s">
        <v>491</v>
      </c>
      <c r="AC10" s="2840"/>
      <c r="AD10" s="2840"/>
      <c r="AE10" s="3319"/>
      <c r="AF10" s="3317"/>
      <c r="AG10" t="b">
        <f>AF6&lt;&gt;0</f>
        <v>0</v>
      </c>
    </row>
    <row r="11" spans="1:33" ht="13.5" customHeight="1" thickBot="1">
      <c r="A11" s="537"/>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20"/>
      <c r="AG11" t="b">
        <f>AG14</f>
        <v>0</v>
      </c>
    </row>
    <row r="12" spans="1:33" ht="13.5" customHeight="1">
      <c r="A12" s="3312" t="s">
        <v>1171</v>
      </c>
      <c r="B12" s="34" t="s">
        <v>489</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535" t="s">
        <v>490</v>
      </c>
      <c r="AG12" t="b">
        <f>AF13&lt;&gt;0</f>
        <v>0</v>
      </c>
    </row>
    <row r="13" spans="1:33" ht="13.5" customHeight="1">
      <c r="A13" s="3313"/>
      <c r="B13" s="3320"/>
      <c r="C13" s="3311"/>
      <c r="D13" s="490" t="s">
        <v>491</v>
      </c>
      <c r="E13" s="3311"/>
      <c r="F13" s="3311"/>
      <c r="G13" s="490" t="s">
        <v>491</v>
      </c>
      <c r="H13" s="3311"/>
      <c r="I13" s="3311"/>
      <c r="J13" s="490" t="s">
        <v>491</v>
      </c>
      <c r="K13" s="3311"/>
      <c r="L13" s="3311"/>
      <c r="M13" s="490" t="s">
        <v>491</v>
      </c>
      <c r="N13" s="3311"/>
      <c r="O13" s="3311"/>
      <c r="P13" s="490" t="s">
        <v>491</v>
      </c>
      <c r="Q13" s="3311"/>
      <c r="R13" s="3311"/>
      <c r="S13" s="490" t="s">
        <v>491</v>
      </c>
      <c r="T13" s="3311"/>
      <c r="U13" s="3311"/>
      <c r="V13" s="490" t="s">
        <v>491</v>
      </c>
      <c r="W13" s="3311"/>
      <c r="X13" s="3311"/>
      <c r="Y13" s="490" t="s">
        <v>491</v>
      </c>
      <c r="Z13" s="3311"/>
      <c r="AA13" s="3311"/>
      <c r="AB13" s="490" t="s">
        <v>491</v>
      </c>
      <c r="AC13" s="3311"/>
      <c r="AD13" s="3311"/>
      <c r="AE13" s="3318" t="s">
        <v>492</v>
      </c>
      <c r="AF13" s="3316">
        <f>SUM(B13:AE14)</f>
        <v>0</v>
      </c>
      <c r="AG13" t="b">
        <f>SUM(B13:AD13)&lt;&gt;0</f>
        <v>0</v>
      </c>
    </row>
    <row r="14" spans="1:33" ht="13.5" customHeight="1" thickBot="1">
      <c r="A14" s="3313"/>
      <c r="B14" s="2839"/>
      <c r="C14" s="2840"/>
      <c r="D14" s="1323" t="s">
        <v>491</v>
      </c>
      <c r="E14" s="2840"/>
      <c r="F14" s="2840"/>
      <c r="G14" s="1323" t="s">
        <v>491</v>
      </c>
      <c r="H14" s="2840"/>
      <c r="I14" s="2840"/>
      <c r="J14" s="1323" t="s">
        <v>491</v>
      </c>
      <c r="K14" s="2840"/>
      <c r="L14" s="2840"/>
      <c r="M14" s="1323" t="s">
        <v>491</v>
      </c>
      <c r="N14" s="2840"/>
      <c r="O14" s="2840"/>
      <c r="P14" s="1323" t="s">
        <v>491</v>
      </c>
      <c r="Q14" s="2840"/>
      <c r="R14" s="2840"/>
      <c r="S14" s="1323" t="s">
        <v>491</v>
      </c>
      <c r="T14" s="2840"/>
      <c r="U14" s="2840"/>
      <c r="V14" s="1323" t="s">
        <v>491</v>
      </c>
      <c r="W14" s="2840"/>
      <c r="X14" s="2840"/>
      <c r="Y14" s="1323" t="s">
        <v>491</v>
      </c>
      <c r="Z14" s="2840"/>
      <c r="AA14" s="2840"/>
      <c r="AB14" s="1323" t="s">
        <v>491</v>
      </c>
      <c r="AC14" s="2840"/>
      <c r="AD14" s="2840"/>
      <c r="AE14" s="3319"/>
      <c r="AF14" s="3317"/>
      <c r="AG14" t="b">
        <f>AF13&lt;&gt;0</f>
        <v>0</v>
      </c>
    </row>
    <row r="15" spans="1:33" ht="13.5" customHeight="1" thickBot="1">
      <c r="A15" s="1335"/>
      <c r="B15" s="1335"/>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1"/>
      <c r="AG15" t="b">
        <f>AG17</f>
        <v>0</v>
      </c>
    </row>
    <row r="16" spans="1:33" ht="13.5" customHeight="1">
      <c r="A16" s="3294" t="s">
        <v>1050</v>
      </c>
      <c r="B16" s="34" t="s">
        <v>1051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535" t="s">
        <v>1052</v>
      </c>
      <c r="AG16" t="b">
        <f>AG17</f>
        <v>0</v>
      </c>
    </row>
    <row r="17" spans="1:33" ht="13.5" customHeight="1" thickBot="1">
      <c r="A17" s="3296"/>
      <c r="B17" s="3315"/>
      <c r="C17" s="3314"/>
      <c r="D17" s="539" t="s">
        <v>1053</v>
      </c>
      <c r="E17" s="3314"/>
      <c r="F17" s="3314"/>
      <c r="G17" s="539" t="s">
        <v>1053</v>
      </c>
      <c r="H17" s="3314"/>
      <c r="I17" s="3314"/>
      <c r="J17" s="539" t="s">
        <v>1053</v>
      </c>
      <c r="K17" s="3314"/>
      <c r="L17" s="3314"/>
      <c r="M17" s="539" t="s">
        <v>1053</v>
      </c>
      <c r="N17" s="3314"/>
      <c r="O17" s="3314"/>
      <c r="P17" s="539" t="s">
        <v>1053</v>
      </c>
      <c r="Q17" s="3314"/>
      <c r="R17" s="3314"/>
      <c r="S17" s="539" t="s">
        <v>1053</v>
      </c>
      <c r="T17" s="3314"/>
      <c r="U17" s="3314"/>
      <c r="V17" s="539" t="s">
        <v>1053</v>
      </c>
      <c r="W17" s="3314"/>
      <c r="X17" s="3314"/>
      <c r="Y17" s="539" t="s">
        <v>1053</v>
      </c>
      <c r="Z17" s="3314"/>
      <c r="AA17" s="3314"/>
      <c r="AB17" s="539" t="s">
        <v>1053</v>
      </c>
      <c r="AC17" s="3314"/>
      <c r="AD17" s="3314"/>
      <c r="AE17" s="540" t="s">
        <v>1054</v>
      </c>
      <c r="AF17" s="541">
        <f>SUM(B17:AE17)</f>
        <v>0</v>
      </c>
      <c r="AG17" t="b">
        <f>AF17&lt;&gt;0</f>
        <v>0</v>
      </c>
    </row>
    <row r="18" spans="1:33" ht="13.5" customHeight="1">
      <c r="AG18" t="b">
        <f>AG41</f>
        <v>0</v>
      </c>
    </row>
    <row r="19" spans="1:33" ht="13.5" customHeight="1">
      <c r="A19" s="3308" t="s">
        <v>1055</v>
      </c>
      <c r="B19" s="3297" t="s">
        <v>1056</v>
      </c>
      <c r="C19" s="3298"/>
      <c r="D19" s="3298"/>
      <c r="E19" s="3298"/>
      <c r="F19" s="3298"/>
      <c r="G19" s="3299"/>
      <c r="H19" s="3297" t="s">
        <v>1056</v>
      </c>
      <c r="I19" s="3298"/>
      <c r="J19" s="3298"/>
      <c r="K19" s="3298"/>
      <c r="L19" s="3298"/>
      <c r="M19" s="3299"/>
      <c r="N19" s="3297" t="s">
        <v>1056</v>
      </c>
      <c r="O19" s="3298"/>
      <c r="P19" s="3298"/>
      <c r="Q19" s="3298"/>
      <c r="R19" s="3298"/>
      <c r="S19" s="3299"/>
      <c r="T19" s="3297" t="s">
        <v>1056</v>
      </c>
      <c r="U19" s="3298"/>
      <c r="V19" s="3298"/>
      <c r="W19" s="3298"/>
      <c r="X19" s="3298"/>
      <c r="Y19" s="3299"/>
      <c r="Z19" s="3297" t="s">
        <v>1056</v>
      </c>
      <c r="AA19" s="3298"/>
      <c r="AB19" s="3298"/>
      <c r="AC19" s="3298"/>
      <c r="AD19" s="3298"/>
      <c r="AE19" s="3299"/>
      <c r="AG19" t="b">
        <f>AG41</f>
        <v>0</v>
      </c>
    </row>
    <row r="20" spans="1:33" ht="13.5" customHeight="1">
      <c r="A20" s="3295"/>
      <c r="B20" s="543" t="s">
        <v>1057</v>
      </c>
      <c r="C20" s="543"/>
      <c r="D20" s="544" t="s">
        <v>1058</v>
      </c>
      <c r="E20" s="545"/>
      <c r="F20" s="546" t="s">
        <v>1059</v>
      </c>
      <c r="G20" s="543"/>
      <c r="H20" s="546" t="s">
        <v>1057</v>
      </c>
      <c r="I20" s="543"/>
      <c r="J20" s="544" t="s">
        <v>1058</v>
      </c>
      <c r="K20" s="545"/>
      <c r="L20" s="546" t="s">
        <v>1059</v>
      </c>
      <c r="M20" s="543"/>
      <c r="N20" s="546" t="s">
        <v>1057</v>
      </c>
      <c r="O20" s="543"/>
      <c r="P20" s="544" t="s">
        <v>1058</v>
      </c>
      <c r="Q20" s="545"/>
      <c r="R20" s="546" t="s">
        <v>1059</v>
      </c>
      <c r="S20" s="543"/>
      <c r="T20" s="546" t="s">
        <v>1057</v>
      </c>
      <c r="U20" s="543"/>
      <c r="V20" s="544" t="s">
        <v>1058</v>
      </c>
      <c r="W20" s="545"/>
      <c r="X20" s="546" t="s">
        <v>1059</v>
      </c>
      <c r="Y20" s="543"/>
      <c r="Z20" s="546" t="s">
        <v>1057</v>
      </c>
      <c r="AA20" s="543"/>
      <c r="AB20" s="544" t="s">
        <v>1058</v>
      </c>
      <c r="AC20" s="545"/>
      <c r="AD20" s="546" t="s">
        <v>1059</v>
      </c>
      <c r="AE20" s="545"/>
      <c r="AF20" s="547"/>
      <c r="AG20" t="b">
        <f>AG41</f>
        <v>0</v>
      </c>
    </row>
    <row r="21" spans="1:33" ht="13.5" customHeight="1">
      <c r="A21" s="3295"/>
      <c r="B21" s="3300"/>
      <c r="C21" s="3301"/>
      <c r="D21" s="3302"/>
      <c r="E21" s="3303"/>
      <c r="F21" s="3304">
        <f t="shared" ref="F21:F36" si="0">ROUNDDOWN(B21*D21,2)</f>
        <v>0</v>
      </c>
      <c r="G21" s="3134"/>
      <c r="H21" s="3307"/>
      <c r="I21" s="3300"/>
      <c r="J21" s="3302"/>
      <c r="K21" s="3303"/>
      <c r="L21" s="3304">
        <f t="shared" ref="L21:L36" si="1">ROUNDDOWN(H21*J21,2)</f>
        <v>0</v>
      </c>
      <c r="M21" s="3134"/>
      <c r="N21" s="3307"/>
      <c r="O21" s="3300"/>
      <c r="P21" s="3302"/>
      <c r="Q21" s="3303"/>
      <c r="R21" s="3304">
        <f t="shared" ref="R21:R36" si="2">ROUNDDOWN(N21*P21,2)</f>
        <v>0</v>
      </c>
      <c r="S21" s="3134"/>
      <c r="T21" s="3307"/>
      <c r="U21" s="3301"/>
      <c r="V21" s="3302"/>
      <c r="W21" s="3303"/>
      <c r="X21" s="3304">
        <f t="shared" ref="X21:X36" si="3">ROUNDDOWN(T21*V21,2)</f>
        <v>0</v>
      </c>
      <c r="Y21" s="3134"/>
      <c r="Z21" s="3307"/>
      <c r="AA21" s="3301"/>
      <c r="AB21" s="3300"/>
      <c r="AC21" s="3303"/>
      <c r="AD21" s="3305">
        <f t="shared" ref="AD21:AD36" si="4">ROUNDDOWN(Z21*AB21,2)</f>
        <v>0</v>
      </c>
      <c r="AE21" s="3306"/>
      <c r="AF21" s="20"/>
      <c r="AG21" t="b">
        <f t="shared" ref="AG21:AG36" si="5">SUM(B21:AE21)&lt;&gt;0</f>
        <v>0</v>
      </c>
    </row>
    <row r="22" spans="1:33" ht="13.5" customHeight="1">
      <c r="A22" s="3295"/>
      <c r="B22" s="3286"/>
      <c r="C22" s="3287"/>
      <c r="D22" s="3288"/>
      <c r="E22" s="3289"/>
      <c r="F22" s="3290">
        <f t="shared" si="0"/>
        <v>0</v>
      </c>
      <c r="G22" s="3291"/>
      <c r="H22" s="3292"/>
      <c r="I22" s="3286"/>
      <c r="J22" s="3288"/>
      <c r="K22" s="3289"/>
      <c r="L22" s="3290">
        <f t="shared" si="1"/>
        <v>0</v>
      </c>
      <c r="M22" s="3291"/>
      <c r="N22" s="3292"/>
      <c r="O22" s="3286"/>
      <c r="P22" s="3288"/>
      <c r="Q22" s="3289"/>
      <c r="R22" s="3290">
        <f t="shared" si="2"/>
        <v>0</v>
      </c>
      <c r="S22" s="3291"/>
      <c r="T22" s="3292"/>
      <c r="U22" s="3287"/>
      <c r="V22" s="3288"/>
      <c r="W22" s="3289"/>
      <c r="X22" s="3290">
        <f t="shared" si="3"/>
        <v>0</v>
      </c>
      <c r="Y22" s="3291"/>
      <c r="Z22" s="3292"/>
      <c r="AA22" s="3287"/>
      <c r="AB22" s="3286"/>
      <c r="AC22" s="3289"/>
      <c r="AD22" s="3290">
        <f t="shared" si="4"/>
        <v>0</v>
      </c>
      <c r="AE22" s="3291"/>
      <c r="AF22" s="20"/>
      <c r="AG22" t="b">
        <f t="shared" si="5"/>
        <v>0</v>
      </c>
    </row>
    <row r="23" spans="1:33" ht="13.5" customHeight="1">
      <c r="A23" s="3295"/>
      <c r="B23" s="3286"/>
      <c r="C23" s="3287"/>
      <c r="D23" s="3288"/>
      <c r="E23" s="3289"/>
      <c r="F23" s="3290">
        <f t="shared" si="0"/>
        <v>0</v>
      </c>
      <c r="G23" s="3291"/>
      <c r="H23" s="3292"/>
      <c r="I23" s="3286"/>
      <c r="J23" s="3288"/>
      <c r="K23" s="3289"/>
      <c r="L23" s="3290">
        <f t="shared" si="1"/>
        <v>0</v>
      </c>
      <c r="M23" s="3291"/>
      <c r="N23" s="3292"/>
      <c r="O23" s="3286"/>
      <c r="P23" s="3288"/>
      <c r="Q23" s="3289"/>
      <c r="R23" s="3290">
        <f t="shared" si="2"/>
        <v>0</v>
      </c>
      <c r="S23" s="3291"/>
      <c r="T23" s="3292"/>
      <c r="U23" s="3287"/>
      <c r="V23" s="3288"/>
      <c r="W23" s="3289"/>
      <c r="X23" s="3290">
        <f t="shared" si="3"/>
        <v>0</v>
      </c>
      <c r="Y23" s="3291"/>
      <c r="Z23" s="3292"/>
      <c r="AA23" s="3287"/>
      <c r="AB23" s="3286"/>
      <c r="AC23" s="3289"/>
      <c r="AD23" s="3290">
        <f t="shared" si="4"/>
        <v>0</v>
      </c>
      <c r="AE23" s="3291"/>
      <c r="AF23" s="20"/>
      <c r="AG23" t="b">
        <f t="shared" si="5"/>
        <v>0</v>
      </c>
    </row>
    <row r="24" spans="1:33" ht="13.5" customHeight="1">
      <c r="A24" s="3295"/>
      <c r="B24" s="3286"/>
      <c r="C24" s="3287"/>
      <c r="D24" s="3288"/>
      <c r="E24" s="3289"/>
      <c r="F24" s="3290">
        <f t="shared" si="0"/>
        <v>0</v>
      </c>
      <c r="G24" s="3291"/>
      <c r="H24" s="3292"/>
      <c r="I24" s="3286"/>
      <c r="J24" s="3288"/>
      <c r="K24" s="3289"/>
      <c r="L24" s="3290">
        <f t="shared" si="1"/>
        <v>0</v>
      </c>
      <c r="M24" s="3291"/>
      <c r="N24" s="3292"/>
      <c r="O24" s="3286"/>
      <c r="P24" s="3288"/>
      <c r="Q24" s="3289"/>
      <c r="R24" s="3290">
        <f t="shared" si="2"/>
        <v>0</v>
      </c>
      <c r="S24" s="3291"/>
      <c r="T24" s="3292"/>
      <c r="U24" s="3287"/>
      <c r="V24" s="3288"/>
      <c r="W24" s="3289"/>
      <c r="X24" s="3290">
        <f t="shared" si="3"/>
        <v>0</v>
      </c>
      <c r="Y24" s="3291"/>
      <c r="Z24" s="3292"/>
      <c r="AA24" s="3287"/>
      <c r="AB24" s="3286"/>
      <c r="AC24" s="3289"/>
      <c r="AD24" s="3290">
        <f t="shared" si="4"/>
        <v>0</v>
      </c>
      <c r="AE24" s="3291"/>
      <c r="AF24" s="20"/>
      <c r="AG24" t="b">
        <f t="shared" si="5"/>
        <v>0</v>
      </c>
    </row>
    <row r="25" spans="1:33" ht="13.5" customHeight="1">
      <c r="A25" s="3295"/>
      <c r="B25" s="3286"/>
      <c r="C25" s="3287"/>
      <c r="D25" s="3288"/>
      <c r="E25" s="3289"/>
      <c r="F25" s="3290">
        <f t="shared" si="0"/>
        <v>0</v>
      </c>
      <c r="G25" s="3291"/>
      <c r="H25" s="3292"/>
      <c r="I25" s="3286"/>
      <c r="J25" s="3288"/>
      <c r="K25" s="3289"/>
      <c r="L25" s="3290">
        <f t="shared" si="1"/>
        <v>0</v>
      </c>
      <c r="M25" s="3291"/>
      <c r="N25" s="3292"/>
      <c r="O25" s="3286"/>
      <c r="P25" s="3288"/>
      <c r="Q25" s="3289"/>
      <c r="R25" s="3290">
        <f t="shared" si="2"/>
        <v>0</v>
      </c>
      <c r="S25" s="3291"/>
      <c r="T25" s="3292"/>
      <c r="U25" s="3287"/>
      <c r="V25" s="3288"/>
      <c r="W25" s="3289"/>
      <c r="X25" s="3290">
        <f t="shared" si="3"/>
        <v>0</v>
      </c>
      <c r="Y25" s="3291"/>
      <c r="Z25" s="3292"/>
      <c r="AA25" s="3287"/>
      <c r="AB25" s="3286"/>
      <c r="AC25" s="3289"/>
      <c r="AD25" s="3290">
        <f t="shared" si="4"/>
        <v>0</v>
      </c>
      <c r="AE25" s="3291"/>
      <c r="AF25" s="20"/>
      <c r="AG25" t="b">
        <f t="shared" si="5"/>
        <v>0</v>
      </c>
    </row>
    <row r="26" spans="1:33" ht="13.5" customHeight="1">
      <c r="A26" s="3295"/>
      <c r="B26" s="3286"/>
      <c r="C26" s="3287"/>
      <c r="D26" s="3288"/>
      <c r="E26" s="3289"/>
      <c r="F26" s="3290">
        <f t="shared" si="0"/>
        <v>0</v>
      </c>
      <c r="G26" s="3291"/>
      <c r="H26" s="3292"/>
      <c r="I26" s="3286"/>
      <c r="J26" s="3288"/>
      <c r="K26" s="3289"/>
      <c r="L26" s="3290">
        <f t="shared" si="1"/>
        <v>0</v>
      </c>
      <c r="M26" s="3291"/>
      <c r="N26" s="3292"/>
      <c r="O26" s="3286"/>
      <c r="P26" s="3288"/>
      <c r="Q26" s="3289"/>
      <c r="R26" s="3290">
        <f t="shared" si="2"/>
        <v>0</v>
      </c>
      <c r="S26" s="3291"/>
      <c r="T26" s="3292"/>
      <c r="U26" s="3287"/>
      <c r="V26" s="3288"/>
      <c r="W26" s="3289"/>
      <c r="X26" s="3290">
        <f t="shared" si="3"/>
        <v>0</v>
      </c>
      <c r="Y26" s="3291"/>
      <c r="Z26" s="3292"/>
      <c r="AA26" s="3287"/>
      <c r="AB26" s="3286"/>
      <c r="AC26" s="3289"/>
      <c r="AD26" s="3290">
        <f t="shared" si="4"/>
        <v>0</v>
      </c>
      <c r="AE26" s="3291"/>
      <c r="AF26" s="20"/>
      <c r="AG26" t="b">
        <f t="shared" si="5"/>
        <v>0</v>
      </c>
    </row>
    <row r="27" spans="1:33" ht="13.5" customHeight="1">
      <c r="A27" s="3295"/>
      <c r="B27" s="3286"/>
      <c r="C27" s="3287"/>
      <c r="D27" s="3288"/>
      <c r="E27" s="3289"/>
      <c r="F27" s="3290">
        <f t="shared" si="0"/>
        <v>0</v>
      </c>
      <c r="G27" s="3291"/>
      <c r="H27" s="3292"/>
      <c r="I27" s="3286"/>
      <c r="J27" s="3288"/>
      <c r="K27" s="3289"/>
      <c r="L27" s="3290">
        <f t="shared" si="1"/>
        <v>0</v>
      </c>
      <c r="M27" s="3291"/>
      <c r="N27" s="3292"/>
      <c r="O27" s="3286"/>
      <c r="P27" s="3288"/>
      <c r="Q27" s="3289"/>
      <c r="R27" s="3290">
        <f t="shared" si="2"/>
        <v>0</v>
      </c>
      <c r="S27" s="3291"/>
      <c r="T27" s="3292"/>
      <c r="U27" s="3287"/>
      <c r="V27" s="3288"/>
      <c r="W27" s="3289"/>
      <c r="X27" s="3290">
        <f t="shared" si="3"/>
        <v>0</v>
      </c>
      <c r="Y27" s="3291"/>
      <c r="Z27" s="3292"/>
      <c r="AA27" s="3287"/>
      <c r="AB27" s="3286"/>
      <c r="AC27" s="3289"/>
      <c r="AD27" s="3290">
        <f t="shared" si="4"/>
        <v>0</v>
      </c>
      <c r="AE27" s="3291"/>
      <c r="AF27" s="20"/>
      <c r="AG27" t="b">
        <f t="shared" si="5"/>
        <v>0</v>
      </c>
    </row>
    <row r="28" spans="1:33" ht="13.5" customHeight="1">
      <c r="A28" s="3295"/>
      <c r="B28" s="3286"/>
      <c r="C28" s="3287"/>
      <c r="D28" s="3288"/>
      <c r="E28" s="3289"/>
      <c r="F28" s="3290">
        <f t="shared" si="0"/>
        <v>0</v>
      </c>
      <c r="G28" s="3291"/>
      <c r="H28" s="3292"/>
      <c r="I28" s="3286"/>
      <c r="J28" s="3288"/>
      <c r="K28" s="3289"/>
      <c r="L28" s="3290">
        <f t="shared" si="1"/>
        <v>0</v>
      </c>
      <c r="M28" s="3291"/>
      <c r="N28" s="3292"/>
      <c r="O28" s="3286"/>
      <c r="P28" s="3288"/>
      <c r="Q28" s="3289"/>
      <c r="R28" s="3290">
        <f t="shared" si="2"/>
        <v>0</v>
      </c>
      <c r="S28" s="3291"/>
      <c r="T28" s="3292"/>
      <c r="U28" s="3287"/>
      <c r="V28" s="3288"/>
      <c r="W28" s="3289"/>
      <c r="X28" s="3290">
        <f t="shared" si="3"/>
        <v>0</v>
      </c>
      <c r="Y28" s="3291"/>
      <c r="Z28" s="3292"/>
      <c r="AA28" s="3287"/>
      <c r="AB28" s="3286"/>
      <c r="AC28" s="3289"/>
      <c r="AD28" s="3290">
        <f t="shared" si="4"/>
        <v>0</v>
      </c>
      <c r="AE28" s="3291"/>
      <c r="AF28" s="20"/>
      <c r="AG28" t="b">
        <f t="shared" si="5"/>
        <v>0</v>
      </c>
    </row>
    <row r="29" spans="1:33" ht="13.5" customHeight="1">
      <c r="A29" s="3295"/>
      <c r="B29" s="3286"/>
      <c r="C29" s="3287"/>
      <c r="D29" s="3288"/>
      <c r="E29" s="3289"/>
      <c r="F29" s="3290">
        <f t="shared" si="0"/>
        <v>0</v>
      </c>
      <c r="G29" s="3291"/>
      <c r="H29" s="3292"/>
      <c r="I29" s="3286"/>
      <c r="J29" s="3288"/>
      <c r="K29" s="3289"/>
      <c r="L29" s="3290">
        <f t="shared" si="1"/>
        <v>0</v>
      </c>
      <c r="M29" s="3291"/>
      <c r="N29" s="3292"/>
      <c r="O29" s="3286"/>
      <c r="P29" s="3288"/>
      <c r="Q29" s="3289"/>
      <c r="R29" s="3290">
        <f t="shared" si="2"/>
        <v>0</v>
      </c>
      <c r="S29" s="3291"/>
      <c r="T29" s="3292"/>
      <c r="U29" s="3287"/>
      <c r="V29" s="3288"/>
      <c r="W29" s="3289"/>
      <c r="X29" s="3290">
        <f t="shared" si="3"/>
        <v>0</v>
      </c>
      <c r="Y29" s="3291"/>
      <c r="Z29" s="3292"/>
      <c r="AA29" s="3287"/>
      <c r="AB29" s="3286"/>
      <c r="AC29" s="3289"/>
      <c r="AD29" s="3290">
        <f t="shared" si="4"/>
        <v>0</v>
      </c>
      <c r="AE29" s="3291"/>
      <c r="AF29" s="20"/>
      <c r="AG29" t="b">
        <f t="shared" si="5"/>
        <v>0</v>
      </c>
    </row>
    <row r="30" spans="1:33" ht="13.5" customHeight="1">
      <c r="A30" s="3295"/>
      <c r="B30" s="3286"/>
      <c r="C30" s="3287"/>
      <c r="D30" s="3288"/>
      <c r="E30" s="3289"/>
      <c r="F30" s="3290">
        <f t="shared" si="0"/>
        <v>0</v>
      </c>
      <c r="G30" s="3291"/>
      <c r="H30" s="3292"/>
      <c r="I30" s="3286"/>
      <c r="J30" s="3288"/>
      <c r="K30" s="3289"/>
      <c r="L30" s="3290">
        <f t="shared" si="1"/>
        <v>0</v>
      </c>
      <c r="M30" s="3291"/>
      <c r="N30" s="3292"/>
      <c r="O30" s="3286"/>
      <c r="P30" s="3288"/>
      <c r="Q30" s="3289"/>
      <c r="R30" s="3290">
        <f t="shared" si="2"/>
        <v>0</v>
      </c>
      <c r="S30" s="3291"/>
      <c r="T30" s="3292"/>
      <c r="U30" s="3287"/>
      <c r="V30" s="3288"/>
      <c r="W30" s="3289"/>
      <c r="X30" s="3290">
        <f t="shared" si="3"/>
        <v>0</v>
      </c>
      <c r="Y30" s="3291"/>
      <c r="Z30" s="3292"/>
      <c r="AA30" s="3287"/>
      <c r="AB30" s="3286"/>
      <c r="AC30" s="3289"/>
      <c r="AD30" s="3290">
        <f t="shared" si="4"/>
        <v>0</v>
      </c>
      <c r="AE30" s="3291"/>
      <c r="AF30" s="20"/>
      <c r="AG30" t="b">
        <f t="shared" si="5"/>
        <v>0</v>
      </c>
    </row>
    <row r="31" spans="1:33" ht="13.5" customHeight="1">
      <c r="A31" s="3295"/>
      <c r="B31" s="3286"/>
      <c r="C31" s="3287"/>
      <c r="D31" s="3288"/>
      <c r="E31" s="3289"/>
      <c r="F31" s="3290">
        <f t="shared" si="0"/>
        <v>0</v>
      </c>
      <c r="G31" s="3291"/>
      <c r="H31" s="3292"/>
      <c r="I31" s="3286"/>
      <c r="J31" s="3288"/>
      <c r="K31" s="3289"/>
      <c r="L31" s="3290">
        <f t="shared" si="1"/>
        <v>0</v>
      </c>
      <c r="M31" s="3291"/>
      <c r="N31" s="3292"/>
      <c r="O31" s="3286"/>
      <c r="P31" s="3288"/>
      <c r="Q31" s="3289"/>
      <c r="R31" s="3290">
        <f t="shared" si="2"/>
        <v>0</v>
      </c>
      <c r="S31" s="3291"/>
      <c r="T31" s="3292"/>
      <c r="U31" s="3287"/>
      <c r="V31" s="3288"/>
      <c r="W31" s="3289"/>
      <c r="X31" s="3290">
        <f t="shared" si="3"/>
        <v>0</v>
      </c>
      <c r="Y31" s="3291"/>
      <c r="Z31" s="3292"/>
      <c r="AA31" s="3287"/>
      <c r="AB31" s="3286"/>
      <c r="AC31" s="3289"/>
      <c r="AD31" s="3290">
        <f t="shared" si="4"/>
        <v>0</v>
      </c>
      <c r="AE31" s="3291"/>
      <c r="AF31" s="20"/>
      <c r="AG31" t="b">
        <f t="shared" si="5"/>
        <v>0</v>
      </c>
    </row>
    <row r="32" spans="1:33" ht="13.5" customHeight="1">
      <c r="A32" s="3295"/>
      <c r="B32" s="3286"/>
      <c r="C32" s="3287"/>
      <c r="D32" s="3288"/>
      <c r="E32" s="3289"/>
      <c r="F32" s="3290">
        <f t="shared" si="0"/>
        <v>0</v>
      </c>
      <c r="G32" s="3291"/>
      <c r="H32" s="3292"/>
      <c r="I32" s="3286"/>
      <c r="J32" s="3288"/>
      <c r="K32" s="3289"/>
      <c r="L32" s="3290">
        <f t="shared" si="1"/>
        <v>0</v>
      </c>
      <c r="M32" s="3291"/>
      <c r="N32" s="3292"/>
      <c r="O32" s="3286"/>
      <c r="P32" s="3288"/>
      <c r="Q32" s="3289"/>
      <c r="R32" s="3290">
        <f t="shared" si="2"/>
        <v>0</v>
      </c>
      <c r="S32" s="3291"/>
      <c r="T32" s="3292"/>
      <c r="U32" s="3287"/>
      <c r="V32" s="3288"/>
      <c r="W32" s="3289"/>
      <c r="X32" s="3290">
        <f t="shared" si="3"/>
        <v>0</v>
      </c>
      <c r="Y32" s="3291"/>
      <c r="Z32" s="3292"/>
      <c r="AA32" s="3287"/>
      <c r="AB32" s="3286"/>
      <c r="AC32" s="3289"/>
      <c r="AD32" s="3290">
        <f t="shared" si="4"/>
        <v>0</v>
      </c>
      <c r="AE32" s="3291"/>
      <c r="AF32" s="20"/>
      <c r="AG32" t="b">
        <f t="shared" si="5"/>
        <v>0</v>
      </c>
    </row>
    <row r="33" spans="1:34" ht="13.5" customHeight="1">
      <c r="A33" s="3295"/>
      <c r="B33" s="3286"/>
      <c r="C33" s="3287"/>
      <c r="D33" s="3288"/>
      <c r="E33" s="3289"/>
      <c r="F33" s="3290">
        <f t="shared" si="0"/>
        <v>0</v>
      </c>
      <c r="G33" s="3291"/>
      <c r="H33" s="3292"/>
      <c r="I33" s="3286"/>
      <c r="J33" s="3288"/>
      <c r="K33" s="3289"/>
      <c r="L33" s="3290">
        <f t="shared" si="1"/>
        <v>0</v>
      </c>
      <c r="M33" s="3291"/>
      <c r="N33" s="3292"/>
      <c r="O33" s="3286"/>
      <c r="P33" s="3288"/>
      <c r="Q33" s="3289"/>
      <c r="R33" s="3290">
        <f t="shared" si="2"/>
        <v>0</v>
      </c>
      <c r="S33" s="3291"/>
      <c r="T33" s="3292"/>
      <c r="U33" s="3287"/>
      <c r="V33" s="3288"/>
      <c r="W33" s="3289"/>
      <c r="X33" s="3290">
        <f t="shared" si="3"/>
        <v>0</v>
      </c>
      <c r="Y33" s="3291"/>
      <c r="Z33" s="3292"/>
      <c r="AA33" s="3287"/>
      <c r="AB33" s="3286"/>
      <c r="AC33" s="3289"/>
      <c r="AD33" s="3290">
        <f t="shared" si="4"/>
        <v>0</v>
      </c>
      <c r="AE33" s="3291"/>
      <c r="AF33" s="20"/>
      <c r="AG33" t="b">
        <f t="shared" si="5"/>
        <v>0</v>
      </c>
    </row>
    <row r="34" spans="1:34" ht="13.5" customHeight="1">
      <c r="A34" s="3295"/>
      <c r="B34" s="3286"/>
      <c r="C34" s="3287"/>
      <c r="D34" s="3288"/>
      <c r="E34" s="3289"/>
      <c r="F34" s="3290">
        <f t="shared" si="0"/>
        <v>0</v>
      </c>
      <c r="G34" s="3291"/>
      <c r="H34" s="3292"/>
      <c r="I34" s="3286"/>
      <c r="J34" s="3288"/>
      <c r="K34" s="3289"/>
      <c r="L34" s="3290">
        <f t="shared" si="1"/>
        <v>0</v>
      </c>
      <c r="M34" s="3291"/>
      <c r="N34" s="3292"/>
      <c r="O34" s="3286"/>
      <c r="P34" s="3288"/>
      <c r="Q34" s="3289"/>
      <c r="R34" s="3290">
        <f t="shared" si="2"/>
        <v>0</v>
      </c>
      <c r="S34" s="3291"/>
      <c r="T34" s="3292"/>
      <c r="U34" s="3287"/>
      <c r="V34" s="3288"/>
      <c r="W34" s="3289"/>
      <c r="X34" s="3290">
        <f t="shared" si="3"/>
        <v>0</v>
      </c>
      <c r="Y34" s="3291"/>
      <c r="Z34" s="3292"/>
      <c r="AA34" s="3287"/>
      <c r="AB34" s="3286"/>
      <c r="AC34" s="3289"/>
      <c r="AD34" s="3290">
        <f t="shared" si="4"/>
        <v>0</v>
      </c>
      <c r="AE34" s="3291"/>
      <c r="AF34" s="20"/>
      <c r="AG34" t="b">
        <f t="shared" si="5"/>
        <v>0</v>
      </c>
    </row>
    <row r="35" spans="1:34" ht="13.5" customHeight="1">
      <c r="A35" s="3295"/>
      <c r="B35" s="3286"/>
      <c r="C35" s="3287"/>
      <c r="D35" s="3288"/>
      <c r="E35" s="3289"/>
      <c r="F35" s="3290">
        <f t="shared" si="0"/>
        <v>0</v>
      </c>
      <c r="G35" s="3291"/>
      <c r="H35" s="3292"/>
      <c r="I35" s="3286"/>
      <c r="J35" s="3288"/>
      <c r="K35" s="3289"/>
      <c r="L35" s="3290">
        <f t="shared" si="1"/>
        <v>0</v>
      </c>
      <c r="M35" s="3291"/>
      <c r="N35" s="3292"/>
      <c r="O35" s="3286"/>
      <c r="P35" s="3288"/>
      <c r="Q35" s="3289"/>
      <c r="R35" s="3290">
        <f t="shared" si="2"/>
        <v>0</v>
      </c>
      <c r="S35" s="3291"/>
      <c r="T35" s="3292"/>
      <c r="U35" s="3287"/>
      <c r="V35" s="3288"/>
      <c r="W35" s="3289"/>
      <c r="X35" s="3290">
        <f t="shared" si="3"/>
        <v>0</v>
      </c>
      <c r="Y35" s="3291"/>
      <c r="Z35" s="3292"/>
      <c r="AA35" s="3287"/>
      <c r="AB35" s="3286"/>
      <c r="AC35" s="3289"/>
      <c r="AD35" s="3290">
        <f t="shared" si="4"/>
        <v>0</v>
      </c>
      <c r="AE35" s="3291"/>
      <c r="AF35" s="20"/>
      <c r="AG35" t="b">
        <f t="shared" si="5"/>
        <v>0</v>
      </c>
    </row>
    <row r="36" spans="1:34" ht="13.5" customHeight="1">
      <c r="A36" s="3296"/>
      <c r="B36" s="3293"/>
      <c r="C36" s="3279"/>
      <c r="D36" s="3280"/>
      <c r="E36" s="3281"/>
      <c r="F36" s="3138">
        <f t="shared" si="0"/>
        <v>0</v>
      </c>
      <c r="G36" s="3140"/>
      <c r="H36" s="3278"/>
      <c r="I36" s="3293"/>
      <c r="J36" s="3280"/>
      <c r="K36" s="3281"/>
      <c r="L36" s="3138">
        <f t="shared" si="1"/>
        <v>0</v>
      </c>
      <c r="M36" s="3140"/>
      <c r="N36" s="3278"/>
      <c r="O36" s="3293"/>
      <c r="P36" s="3280"/>
      <c r="Q36" s="3281"/>
      <c r="R36" s="3138">
        <f t="shared" si="2"/>
        <v>0</v>
      </c>
      <c r="S36" s="3140"/>
      <c r="T36" s="3278"/>
      <c r="U36" s="3279"/>
      <c r="V36" s="3280"/>
      <c r="W36" s="3281"/>
      <c r="X36" s="3138">
        <f t="shared" si="3"/>
        <v>0</v>
      </c>
      <c r="Y36" s="3140"/>
      <c r="Z36" s="3282"/>
      <c r="AA36" s="3283"/>
      <c r="AB36" s="3284"/>
      <c r="AC36" s="3285"/>
      <c r="AD36" s="3138">
        <f t="shared" si="4"/>
        <v>0</v>
      </c>
      <c r="AE36" s="3140"/>
      <c r="AF36" s="20"/>
      <c r="AG36" t="b">
        <f t="shared" si="5"/>
        <v>0</v>
      </c>
    </row>
    <row r="37" spans="1:34" ht="13.5" customHeight="1">
      <c r="A37" s="548" t="s">
        <v>1060</v>
      </c>
      <c r="B37" s="3275"/>
      <c r="C37" s="3276"/>
      <c r="D37" s="3276"/>
      <c r="E37" s="3276"/>
      <c r="F37" s="3276"/>
      <c r="G37" s="3277"/>
      <c r="H37" s="3275"/>
      <c r="I37" s="3276"/>
      <c r="J37" s="3276"/>
      <c r="K37" s="3276"/>
      <c r="L37" s="3276"/>
      <c r="M37" s="3277"/>
      <c r="N37" s="3275"/>
      <c r="O37" s="3276"/>
      <c r="P37" s="3276"/>
      <c r="Q37" s="3276"/>
      <c r="R37" s="3276"/>
      <c r="S37" s="3277"/>
      <c r="T37" s="3275"/>
      <c r="U37" s="3276"/>
      <c r="V37" s="3276"/>
      <c r="W37" s="3276"/>
      <c r="X37" s="3276"/>
      <c r="Y37" s="3277"/>
      <c r="Z37" s="3275"/>
      <c r="AA37" s="3276"/>
      <c r="AB37" s="3276"/>
      <c r="AC37" s="3276"/>
      <c r="AD37" s="3276"/>
      <c r="AE37" s="3277"/>
      <c r="AF37" s="547"/>
      <c r="AG37" t="b">
        <f>AG41</f>
        <v>0</v>
      </c>
    </row>
    <row r="38" spans="1:34" ht="13.5" customHeight="1">
      <c r="A38" s="548" t="s">
        <v>1973</v>
      </c>
      <c r="B38" s="3271">
        <f>SUM(F21:F36)</f>
        <v>0</v>
      </c>
      <c r="C38" s="3272"/>
      <c r="D38" s="3272"/>
      <c r="E38" s="3272"/>
      <c r="F38" s="3272"/>
      <c r="G38" s="3273"/>
      <c r="H38" s="3271">
        <f>SUM(L21:L36)</f>
        <v>0</v>
      </c>
      <c r="I38" s="3272"/>
      <c r="J38" s="3272"/>
      <c r="K38" s="3272"/>
      <c r="L38" s="3272"/>
      <c r="M38" s="3273"/>
      <c r="N38" s="3271">
        <f>SUM(R21:R36)</f>
        <v>0</v>
      </c>
      <c r="O38" s="3272"/>
      <c r="P38" s="3272"/>
      <c r="Q38" s="3272"/>
      <c r="R38" s="3272"/>
      <c r="S38" s="3273"/>
      <c r="T38" s="3271">
        <f>SUM(X21:X36)</f>
        <v>0</v>
      </c>
      <c r="U38" s="3272"/>
      <c r="V38" s="3272"/>
      <c r="W38" s="3272"/>
      <c r="X38" s="3272"/>
      <c r="Y38" s="3273"/>
      <c r="Z38" s="3271">
        <f>SUM(AD21:AD36)</f>
        <v>0</v>
      </c>
      <c r="AA38" s="3272"/>
      <c r="AB38" s="3272"/>
      <c r="AC38" s="3272"/>
      <c r="AD38" s="3272"/>
      <c r="AE38" s="3273"/>
      <c r="AF38" s="20"/>
      <c r="AG38" t="b">
        <f>AG41</f>
        <v>0</v>
      </c>
      <c r="AH38" t="s">
        <v>1984</v>
      </c>
    </row>
    <row r="39" spans="1:34" s="1941" customFormat="1" ht="14.25" customHeight="1" thickBot="1">
      <c r="A39" s="1951" t="s">
        <v>1970</v>
      </c>
      <c r="B39" s="3270">
        <v>0</v>
      </c>
      <c r="C39" s="3268"/>
      <c r="D39" s="3268"/>
      <c r="E39" s="1952" t="s">
        <v>1971</v>
      </c>
      <c r="F39" s="3268">
        <v>10</v>
      </c>
      <c r="G39" s="3269"/>
      <c r="H39" s="3270">
        <v>0</v>
      </c>
      <c r="I39" s="3268"/>
      <c r="J39" s="3268"/>
      <c r="K39" s="1952" t="s">
        <v>1971</v>
      </c>
      <c r="L39" s="3268">
        <v>10</v>
      </c>
      <c r="M39" s="3269"/>
      <c r="N39" s="3270">
        <v>0</v>
      </c>
      <c r="O39" s="3268"/>
      <c r="P39" s="3268"/>
      <c r="Q39" s="1952" t="s">
        <v>1971</v>
      </c>
      <c r="R39" s="3268">
        <v>10</v>
      </c>
      <c r="S39" s="3269"/>
      <c r="T39" s="3270">
        <v>0</v>
      </c>
      <c r="U39" s="3268"/>
      <c r="V39" s="3268"/>
      <c r="W39" s="1952" t="s">
        <v>1971</v>
      </c>
      <c r="X39" s="3268">
        <v>10</v>
      </c>
      <c r="Y39" s="3269"/>
      <c r="Z39" s="3270"/>
      <c r="AA39" s="3268"/>
      <c r="AB39" s="3268"/>
      <c r="AC39" s="1952" t="s">
        <v>1971</v>
      </c>
      <c r="AD39" s="3268"/>
      <c r="AE39" s="3269"/>
      <c r="AF39" s="1946"/>
      <c r="AG39" s="1941" t="b">
        <f>+AG41</f>
        <v>0</v>
      </c>
      <c r="AH39" s="1941" t="s">
        <v>1972</v>
      </c>
    </row>
    <row r="40" spans="1:34" ht="13.5" customHeight="1">
      <c r="A40" s="548" t="s">
        <v>1062</v>
      </c>
      <c r="B40" s="2971"/>
      <c r="C40" s="2972"/>
      <c r="D40" s="2972"/>
      <c r="E40" s="2972"/>
      <c r="F40" s="2972"/>
      <c r="G40" s="3274"/>
      <c r="H40" s="2971"/>
      <c r="I40" s="2972"/>
      <c r="J40" s="2972"/>
      <c r="K40" s="2972"/>
      <c r="L40" s="2972"/>
      <c r="M40" s="3274"/>
      <c r="N40" s="2971"/>
      <c r="O40" s="2972"/>
      <c r="P40" s="2972"/>
      <c r="Q40" s="2972"/>
      <c r="R40" s="2972"/>
      <c r="S40" s="3274"/>
      <c r="T40" s="2971"/>
      <c r="U40" s="2972"/>
      <c r="V40" s="2972"/>
      <c r="W40" s="2972"/>
      <c r="X40" s="2972"/>
      <c r="Y40" s="3274"/>
      <c r="Z40" s="2971"/>
      <c r="AA40" s="2972"/>
      <c r="AB40" s="2972"/>
      <c r="AC40" s="2972"/>
      <c r="AD40" s="2972"/>
      <c r="AE40" s="2972"/>
      <c r="AF40" s="549" t="s">
        <v>1063</v>
      </c>
      <c r="AG40" t="b">
        <f>AG41</f>
        <v>0</v>
      </c>
      <c r="AH40" s="1977"/>
    </row>
    <row r="41" spans="1:34" ht="13.5" customHeight="1" thickBot="1">
      <c r="A41" s="548" t="s">
        <v>1064</v>
      </c>
      <c r="B41" s="3270">
        <f>ROUNDDOWN(B38*IF(F39&lt;&gt;0,SQRT(B39^2+F39^2)/F39,1)-B40,2)</f>
        <v>0</v>
      </c>
      <c r="C41" s="3268"/>
      <c r="D41" s="3268"/>
      <c r="E41" s="3268"/>
      <c r="F41" s="3268"/>
      <c r="G41" s="3269"/>
      <c r="H41" s="3270">
        <f>ROUNDDOWN(H38*IF(L39&lt;&gt;0,SQRT(H39^2+L39^2)/L39,1)-H40,2)</f>
        <v>0</v>
      </c>
      <c r="I41" s="3268"/>
      <c r="J41" s="3268"/>
      <c r="K41" s="3268"/>
      <c r="L41" s="3268"/>
      <c r="M41" s="3269"/>
      <c r="N41" s="3270">
        <f>ROUNDDOWN(N38*IF(R39&lt;&gt;0,SQRT(N39^2+R39^2)/R39,1)-N40,2)</f>
        <v>0</v>
      </c>
      <c r="O41" s="3268"/>
      <c r="P41" s="3268"/>
      <c r="Q41" s="3268"/>
      <c r="R41" s="3268"/>
      <c r="S41" s="3269"/>
      <c r="T41" s="3270">
        <f>ROUNDDOWN(T38*IF(X39&lt;&gt;0,SQRT(T39^2+X39^2)/X39,1)-T40,2)</f>
        <v>0</v>
      </c>
      <c r="U41" s="3268"/>
      <c r="V41" s="3268"/>
      <c r="W41" s="3268"/>
      <c r="X41" s="3268"/>
      <c r="Y41" s="3269"/>
      <c r="Z41" s="3270">
        <f>ROUNDDOWN(Z38*IF(AD39&lt;&gt;0,SQRT(Z39^2+AD39^2)/AD39,1)-Z40,2)</f>
        <v>0</v>
      </c>
      <c r="AA41" s="3268"/>
      <c r="AB41" s="3268"/>
      <c r="AC41" s="3268"/>
      <c r="AD41" s="3268"/>
      <c r="AE41" s="3269"/>
      <c r="AF41" s="550">
        <f>SUMIF(B37:AE37,"*",B41:AE41)-SUMIF(B37:AE37,"無し",B41:AE41)+SUMIF(B61:AE61,"*",B65:AE65)-SUMIF(B61:AE61,"無し",B65:AE65)</f>
        <v>0</v>
      </c>
      <c r="AG41" t="b">
        <f>AF41&lt;&gt;0</f>
        <v>0</v>
      </c>
    </row>
    <row r="42" spans="1:34" ht="13.5" customHeight="1">
      <c r="AG42" t="b">
        <f>AG65</f>
        <v>0</v>
      </c>
    </row>
    <row r="43" spans="1:34" ht="13.5" customHeight="1">
      <c r="A43" s="3294" t="s">
        <v>1065</v>
      </c>
      <c r="B43" s="3297" t="s">
        <v>1056</v>
      </c>
      <c r="C43" s="3298"/>
      <c r="D43" s="3298"/>
      <c r="E43" s="3298"/>
      <c r="F43" s="3298"/>
      <c r="G43" s="3299"/>
      <c r="H43" s="3297" t="s">
        <v>1056</v>
      </c>
      <c r="I43" s="3298"/>
      <c r="J43" s="3298"/>
      <c r="K43" s="3298"/>
      <c r="L43" s="3298"/>
      <c r="M43" s="3299"/>
      <c r="N43" s="3297" t="s">
        <v>1056</v>
      </c>
      <c r="O43" s="3298"/>
      <c r="P43" s="3298"/>
      <c r="Q43" s="3298"/>
      <c r="R43" s="3298"/>
      <c r="S43" s="3299"/>
      <c r="T43" s="3297" t="s">
        <v>1056</v>
      </c>
      <c r="U43" s="3298"/>
      <c r="V43" s="3298"/>
      <c r="W43" s="3298"/>
      <c r="X43" s="3298"/>
      <c r="Y43" s="3299"/>
      <c r="Z43" s="3297" t="s">
        <v>1056</v>
      </c>
      <c r="AA43" s="3298"/>
      <c r="AB43" s="3298"/>
      <c r="AC43" s="3298"/>
      <c r="AD43" s="3298"/>
      <c r="AE43" s="3299"/>
      <c r="AG43" t="b">
        <f>AG65</f>
        <v>0</v>
      </c>
    </row>
    <row r="44" spans="1:34" ht="13.5" customHeight="1">
      <c r="A44" s="3295"/>
      <c r="B44" s="543" t="s">
        <v>1057</v>
      </c>
      <c r="C44" s="543"/>
      <c r="D44" s="544" t="s">
        <v>1058</v>
      </c>
      <c r="E44" s="545"/>
      <c r="F44" s="546" t="s">
        <v>1059</v>
      </c>
      <c r="G44" s="543"/>
      <c r="H44" s="546" t="s">
        <v>1057</v>
      </c>
      <c r="I44" s="543"/>
      <c r="J44" s="544" t="s">
        <v>1058</v>
      </c>
      <c r="K44" s="545"/>
      <c r="L44" s="546" t="s">
        <v>1059</v>
      </c>
      <c r="M44" s="543"/>
      <c r="N44" s="546" t="s">
        <v>1057</v>
      </c>
      <c r="O44" s="543"/>
      <c r="P44" s="544" t="s">
        <v>1058</v>
      </c>
      <c r="Q44" s="545"/>
      <c r="R44" s="546" t="s">
        <v>1059</v>
      </c>
      <c r="S44" s="543"/>
      <c r="T44" s="546" t="s">
        <v>1057</v>
      </c>
      <c r="U44" s="543"/>
      <c r="V44" s="544" t="s">
        <v>1058</v>
      </c>
      <c r="W44" s="545"/>
      <c r="X44" s="546" t="s">
        <v>1059</v>
      </c>
      <c r="Y44" s="543"/>
      <c r="Z44" s="546" t="s">
        <v>1057</v>
      </c>
      <c r="AA44" s="543"/>
      <c r="AB44" s="544" t="s">
        <v>1058</v>
      </c>
      <c r="AC44" s="545"/>
      <c r="AD44" s="546" t="s">
        <v>1059</v>
      </c>
      <c r="AE44" s="545"/>
      <c r="AF44" s="547"/>
      <c r="AG44" t="b">
        <f>AG65</f>
        <v>0</v>
      </c>
    </row>
    <row r="45" spans="1:34" ht="13.5" customHeight="1">
      <c r="A45" s="3295"/>
      <c r="B45" s="3300"/>
      <c r="C45" s="3301"/>
      <c r="D45" s="3302"/>
      <c r="E45" s="3303"/>
      <c r="F45" s="3304">
        <f t="shared" ref="F45:F60" si="6">ROUNDDOWN(B45*D45,2)</f>
        <v>0</v>
      </c>
      <c r="G45" s="3134"/>
      <c r="H45" s="3307"/>
      <c r="I45" s="3300"/>
      <c r="J45" s="3302"/>
      <c r="K45" s="3303"/>
      <c r="L45" s="3304">
        <f t="shared" ref="L45:L60" si="7">ROUNDDOWN(H45*J45,2)</f>
        <v>0</v>
      </c>
      <c r="M45" s="3134"/>
      <c r="N45" s="3307"/>
      <c r="O45" s="3300"/>
      <c r="P45" s="3302"/>
      <c r="Q45" s="3303"/>
      <c r="R45" s="3304">
        <f t="shared" ref="R45:R60" si="8">ROUNDDOWN(N45*P45,2)</f>
        <v>0</v>
      </c>
      <c r="S45" s="3134"/>
      <c r="T45" s="3307"/>
      <c r="U45" s="3301"/>
      <c r="V45" s="3302"/>
      <c r="W45" s="3303"/>
      <c r="X45" s="3304">
        <f t="shared" ref="X45:X60" si="9">ROUNDDOWN(T45*V45,2)</f>
        <v>0</v>
      </c>
      <c r="Y45" s="3134"/>
      <c r="Z45" s="3307"/>
      <c r="AA45" s="3301"/>
      <c r="AB45" s="3300"/>
      <c r="AC45" s="3303"/>
      <c r="AD45" s="3305">
        <f t="shared" ref="AD45:AD60" si="10">ROUNDDOWN(Z45*AB45,2)</f>
        <v>0</v>
      </c>
      <c r="AE45" s="3306"/>
      <c r="AF45" s="20"/>
      <c r="AG45" t="b">
        <f t="shared" ref="AG45:AG60" si="11">SUM(B45:AE45)&lt;&gt;0</f>
        <v>0</v>
      </c>
    </row>
    <row r="46" spans="1:34" ht="13.5" customHeight="1">
      <c r="A46" s="3295"/>
      <c r="B46" s="3286"/>
      <c r="C46" s="3287"/>
      <c r="D46" s="3288"/>
      <c r="E46" s="3289"/>
      <c r="F46" s="3290">
        <f t="shared" si="6"/>
        <v>0</v>
      </c>
      <c r="G46" s="3291"/>
      <c r="H46" s="3292"/>
      <c r="I46" s="3286"/>
      <c r="J46" s="3288"/>
      <c r="K46" s="3289"/>
      <c r="L46" s="3290">
        <f t="shared" si="7"/>
        <v>0</v>
      </c>
      <c r="M46" s="3291"/>
      <c r="N46" s="3292"/>
      <c r="O46" s="3286"/>
      <c r="P46" s="3288"/>
      <c r="Q46" s="3289"/>
      <c r="R46" s="3290">
        <f t="shared" si="8"/>
        <v>0</v>
      </c>
      <c r="S46" s="3291"/>
      <c r="T46" s="3292"/>
      <c r="U46" s="3287"/>
      <c r="V46" s="3288"/>
      <c r="W46" s="3289"/>
      <c r="X46" s="3290">
        <f t="shared" si="9"/>
        <v>0</v>
      </c>
      <c r="Y46" s="3291"/>
      <c r="Z46" s="3292"/>
      <c r="AA46" s="3287"/>
      <c r="AB46" s="3286"/>
      <c r="AC46" s="3289"/>
      <c r="AD46" s="3290">
        <f t="shared" si="10"/>
        <v>0</v>
      </c>
      <c r="AE46" s="3291"/>
      <c r="AF46" s="20"/>
      <c r="AG46" t="b">
        <f t="shared" si="11"/>
        <v>0</v>
      </c>
    </row>
    <row r="47" spans="1:34" ht="13.5" customHeight="1">
      <c r="A47" s="3295"/>
      <c r="B47" s="3286"/>
      <c r="C47" s="3287"/>
      <c r="D47" s="3288"/>
      <c r="E47" s="3289"/>
      <c r="F47" s="3290">
        <f t="shared" si="6"/>
        <v>0</v>
      </c>
      <c r="G47" s="3291"/>
      <c r="H47" s="3292"/>
      <c r="I47" s="3286"/>
      <c r="J47" s="3288"/>
      <c r="K47" s="3289"/>
      <c r="L47" s="3290">
        <f t="shared" si="7"/>
        <v>0</v>
      </c>
      <c r="M47" s="3291"/>
      <c r="N47" s="3292"/>
      <c r="O47" s="3286"/>
      <c r="P47" s="3288"/>
      <c r="Q47" s="3289"/>
      <c r="R47" s="3290">
        <f t="shared" si="8"/>
        <v>0</v>
      </c>
      <c r="S47" s="3291"/>
      <c r="T47" s="3292"/>
      <c r="U47" s="3287"/>
      <c r="V47" s="3288"/>
      <c r="W47" s="3289"/>
      <c r="X47" s="3290">
        <f t="shared" si="9"/>
        <v>0</v>
      </c>
      <c r="Y47" s="3291"/>
      <c r="Z47" s="3292"/>
      <c r="AA47" s="3287"/>
      <c r="AB47" s="3286"/>
      <c r="AC47" s="3289"/>
      <c r="AD47" s="3290">
        <f t="shared" si="10"/>
        <v>0</v>
      </c>
      <c r="AE47" s="3291"/>
      <c r="AF47" s="20"/>
      <c r="AG47" t="b">
        <f t="shared" si="11"/>
        <v>0</v>
      </c>
    </row>
    <row r="48" spans="1:34" ht="13.5" customHeight="1">
      <c r="A48" s="3295"/>
      <c r="B48" s="3286"/>
      <c r="C48" s="3287"/>
      <c r="D48" s="3288"/>
      <c r="E48" s="3289"/>
      <c r="F48" s="3290">
        <f t="shared" si="6"/>
        <v>0</v>
      </c>
      <c r="G48" s="3291"/>
      <c r="H48" s="3292"/>
      <c r="I48" s="3286"/>
      <c r="J48" s="3288"/>
      <c r="K48" s="3289"/>
      <c r="L48" s="3290">
        <f t="shared" si="7"/>
        <v>0</v>
      </c>
      <c r="M48" s="3291"/>
      <c r="N48" s="3292"/>
      <c r="O48" s="3286"/>
      <c r="P48" s="3288"/>
      <c r="Q48" s="3289"/>
      <c r="R48" s="3290">
        <f t="shared" si="8"/>
        <v>0</v>
      </c>
      <c r="S48" s="3291"/>
      <c r="T48" s="3292"/>
      <c r="U48" s="3287"/>
      <c r="V48" s="3288"/>
      <c r="W48" s="3289"/>
      <c r="X48" s="3290">
        <f t="shared" si="9"/>
        <v>0</v>
      </c>
      <c r="Y48" s="3291"/>
      <c r="Z48" s="3292"/>
      <c r="AA48" s="3287"/>
      <c r="AB48" s="3286"/>
      <c r="AC48" s="3289"/>
      <c r="AD48" s="3290">
        <f t="shared" si="10"/>
        <v>0</v>
      </c>
      <c r="AE48" s="3291"/>
      <c r="AF48" s="20"/>
      <c r="AG48" t="b">
        <f t="shared" si="11"/>
        <v>0</v>
      </c>
    </row>
    <row r="49" spans="1:34" ht="13.5" customHeight="1">
      <c r="A49" s="3295"/>
      <c r="B49" s="3286"/>
      <c r="C49" s="3287"/>
      <c r="D49" s="3288"/>
      <c r="E49" s="3289"/>
      <c r="F49" s="3290">
        <f t="shared" si="6"/>
        <v>0</v>
      </c>
      <c r="G49" s="3291"/>
      <c r="H49" s="3292"/>
      <c r="I49" s="3286"/>
      <c r="J49" s="3288"/>
      <c r="K49" s="3289"/>
      <c r="L49" s="3290">
        <f t="shared" si="7"/>
        <v>0</v>
      </c>
      <c r="M49" s="3291"/>
      <c r="N49" s="3292"/>
      <c r="O49" s="3286"/>
      <c r="P49" s="3288"/>
      <c r="Q49" s="3289"/>
      <c r="R49" s="3290">
        <f t="shared" si="8"/>
        <v>0</v>
      </c>
      <c r="S49" s="3291"/>
      <c r="T49" s="3292"/>
      <c r="U49" s="3287"/>
      <c r="V49" s="3288"/>
      <c r="W49" s="3289"/>
      <c r="X49" s="3290">
        <f t="shared" si="9"/>
        <v>0</v>
      </c>
      <c r="Y49" s="3291"/>
      <c r="Z49" s="3292"/>
      <c r="AA49" s="3287"/>
      <c r="AB49" s="3286"/>
      <c r="AC49" s="3289"/>
      <c r="AD49" s="3290">
        <f t="shared" si="10"/>
        <v>0</v>
      </c>
      <c r="AE49" s="3291"/>
      <c r="AF49" s="20"/>
      <c r="AG49" t="b">
        <f t="shared" si="11"/>
        <v>0</v>
      </c>
    </row>
    <row r="50" spans="1:34" ht="13.5" customHeight="1">
      <c r="A50" s="3295"/>
      <c r="B50" s="3286"/>
      <c r="C50" s="3287"/>
      <c r="D50" s="3288"/>
      <c r="E50" s="3289"/>
      <c r="F50" s="3290">
        <f t="shared" si="6"/>
        <v>0</v>
      </c>
      <c r="G50" s="3291"/>
      <c r="H50" s="3292"/>
      <c r="I50" s="3286"/>
      <c r="J50" s="3288"/>
      <c r="K50" s="3289"/>
      <c r="L50" s="3290">
        <f t="shared" si="7"/>
        <v>0</v>
      </c>
      <c r="M50" s="3291"/>
      <c r="N50" s="3292"/>
      <c r="O50" s="3286"/>
      <c r="P50" s="3288"/>
      <c r="Q50" s="3289"/>
      <c r="R50" s="3290">
        <f t="shared" si="8"/>
        <v>0</v>
      </c>
      <c r="S50" s="3291"/>
      <c r="T50" s="3292"/>
      <c r="U50" s="3287"/>
      <c r="V50" s="3288"/>
      <c r="W50" s="3289"/>
      <c r="X50" s="3290">
        <f t="shared" si="9"/>
        <v>0</v>
      </c>
      <c r="Y50" s="3291"/>
      <c r="Z50" s="3292"/>
      <c r="AA50" s="3287"/>
      <c r="AB50" s="3286"/>
      <c r="AC50" s="3289"/>
      <c r="AD50" s="3290">
        <f t="shared" si="10"/>
        <v>0</v>
      </c>
      <c r="AE50" s="3291"/>
      <c r="AF50" s="20"/>
      <c r="AG50" t="b">
        <f t="shared" si="11"/>
        <v>0</v>
      </c>
    </row>
    <row r="51" spans="1:34" ht="13.5" customHeight="1">
      <c r="A51" s="3295"/>
      <c r="B51" s="3286"/>
      <c r="C51" s="3287"/>
      <c r="D51" s="3288"/>
      <c r="E51" s="3289"/>
      <c r="F51" s="3290">
        <f t="shared" si="6"/>
        <v>0</v>
      </c>
      <c r="G51" s="3291"/>
      <c r="H51" s="3292"/>
      <c r="I51" s="3286"/>
      <c r="J51" s="3288"/>
      <c r="K51" s="3289"/>
      <c r="L51" s="3290">
        <f t="shared" si="7"/>
        <v>0</v>
      </c>
      <c r="M51" s="3291"/>
      <c r="N51" s="3292"/>
      <c r="O51" s="3286"/>
      <c r="P51" s="3288"/>
      <c r="Q51" s="3289"/>
      <c r="R51" s="3290">
        <f t="shared" si="8"/>
        <v>0</v>
      </c>
      <c r="S51" s="3291"/>
      <c r="T51" s="3292"/>
      <c r="U51" s="3287"/>
      <c r="V51" s="3288"/>
      <c r="W51" s="3289"/>
      <c r="X51" s="3290">
        <f t="shared" si="9"/>
        <v>0</v>
      </c>
      <c r="Y51" s="3291"/>
      <c r="Z51" s="3292"/>
      <c r="AA51" s="3287"/>
      <c r="AB51" s="3286"/>
      <c r="AC51" s="3289"/>
      <c r="AD51" s="3290">
        <f t="shared" si="10"/>
        <v>0</v>
      </c>
      <c r="AE51" s="3291"/>
      <c r="AF51" s="20"/>
      <c r="AG51" t="b">
        <f t="shared" si="11"/>
        <v>0</v>
      </c>
    </row>
    <row r="52" spans="1:34" ht="13.5" customHeight="1">
      <c r="A52" s="3295"/>
      <c r="B52" s="3286"/>
      <c r="C52" s="3287"/>
      <c r="D52" s="3288"/>
      <c r="E52" s="3289"/>
      <c r="F52" s="3290">
        <f t="shared" si="6"/>
        <v>0</v>
      </c>
      <c r="G52" s="3291"/>
      <c r="H52" s="3292"/>
      <c r="I52" s="3286"/>
      <c r="J52" s="3288"/>
      <c r="K52" s="3289"/>
      <c r="L52" s="3290">
        <f t="shared" si="7"/>
        <v>0</v>
      </c>
      <c r="M52" s="3291"/>
      <c r="N52" s="3292"/>
      <c r="O52" s="3286"/>
      <c r="P52" s="3288"/>
      <c r="Q52" s="3289"/>
      <c r="R52" s="3290">
        <f t="shared" si="8"/>
        <v>0</v>
      </c>
      <c r="S52" s="3291"/>
      <c r="T52" s="3292"/>
      <c r="U52" s="3287"/>
      <c r="V52" s="3288"/>
      <c r="W52" s="3289"/>
      <c r="X52" s="3290">
        <f t="shared" si="9"/>
        <v>0</v>
      </c>
      <c r="Y52" s="3291"/>
      <c r="Z52" s="3292"/>
      <c r="AA52" s="3287"/>
      <c r="AB52" s="3286"/>
      <c r="AC52" s="3289"/>
      <c r="AD52" s="3290">
        <f t="shared" si="10"/>
        <v>0</v>
      </c>
      <c r="AE52" s="3291"/>
      <c r="AF52" s="20"/>
      <c r="AG52" t="b">
        <f t="shared" si="11"/>
        <v>0</v>
      </c>
    </row>
    <row r="53" spans="1:34" ht="13.5" customHeight="1">
      <c r="A53" s="3295"/>
      <c r="B53" s="3286"/>
      <c r="C53" s="3287"/>
      <c r="D53" s="3288"/>
      <c r="E53" s="3289"/>
      <c r="F53" s="3290">
        <f t="shared" si="6"/>
        <v>0</v>
      </c>
      <c r="G53" s="3291"/>
      <c r="H53" s="3292"/>
      <c r="I53" s="3286"/>
      <c r="J53" s="3288"/>
      <c r="K53" s="3289"/>
      <c r="L53" s="3290">
        <f t="shared" si="7"/>
        <v>0</v>
      </c>
      <c r="M53" s="3291"/>
      <c r="N53" s="3292"/>
      <c r="O53" s="3286"/>
      <c r="P53" s="3288"/>
      <c r="Q53" s="3289"/>
      <c r="R53" s="3290">
        <f t="shared" si="8"/>
        <v>0</v>
      </c>
      <c r="S53" s="3291"/>
      <c r="T53" s="3292"/>
      <c r="U53" s="3287"/>
      <c r="V53" s="3288"/>
      <c r="W53" s="3289"/>
      <c r="X53" s="3290">
        <f t="shared" si="9"/>
        <v>0</v>
      </c>
      <c r="Y53" s="3291"/>
      <c r="Z53" s="3292"/>
      <c r="AA53" s="3287"/>
      <c r="AB53" s="3286"/>
      <c r="AC53" s="3289"/>
      <c r="AD53" s="3290">
        <f t="shared" si="10"/>
        <v>0</v>
      </c>
      <c r="AE53" s="3291"/>
      <c r="AF53" s="20"/>
      <c r="AG53" t="b">
        <f t="shared" si="11"/>
        <v>0</v>
      </c>
    </row>
    <row r="54" spans="1:34" ht="13.5" customHeight="1">
      <c r="A54" s="3295"/>
      <c r="B54" s="3286"/>
      <c r="C54" s="3287"/>
      <c r="D54" s="3288"/>
      <c r="E54" s="3289"/>
      <c r="F54" s="3290">
        <f t="shared" si="6"/>
        <v>0</v>
      </c>
      <c r="G54" s="3291"/>
      <c r="H54" s="3292"/>
      <c r="I54" s="3286"/>
      <c r="J54" s="3288"/>
      <c r="K54" s="3289"/>
      <c r="L54" s="3290">
        <f t="shared" si="7"/>
        <v>0</v>
      </c>
      <c r="M54" s="3291"/>
      <c r="N54" s="3292"/>
      <c r="O54" s="3286"/>
      <c r="P54" s="3288"/>
      <c r="Q54" s="3289"/>
      <c r="R54" s="3290">
        <f t="shared" si="8"/>
        <v>0</v>
      </c>
      <c r="S54" s="3291"/>
      <c r="T54" s="3292"/>
      <c r="U54" s="3287"/>
      <c r="V54" s="3288"/>
      <c r="W54" s="3289"/>
      <c r="X54" s="3290">
        <f t="shared" si="9"/>
        <v>0</v>
      </c>
      <c r="Y54" s="3291"/>
      <c r="Z54" s="3292"/>
      <c r="AA54" s="3287"/>
      <c r="AB54" s="3286"/>
      <c r="AC54" s="3289"/>
      <c r="AD54" s="3290">
        <f t="shared" si="10"/>
        <v>0</v>
      </c>
      <c r="AE54" s="3291"/>
      <c r="AF54" s="20"/>
      <c r="AG54" t="b">
        <f t="shared" si="11"/>
        <v>0</v>
      </c>
    </row>
    <row r="55" spans="1:34" ht="13.5" customHeight="1">
      <c r="A55" s="3295"/>
      <c r="B55" s="3286"/>
      <c r="C55" s="3287"/>
      <c r="D55" s="3288"/>
      <c r="E55" s="3289"/>
      <c r="F55" s="3290">
        <f t="shared" si="6"/>
        <v>0</v>
      </c>
      <c r="G55" s="3291"/>
      <c r="H55" s="3292"/>
      <c r="I55" s="3286"/>
      <c r="J55" s="3288"/>
      <c r="K55" s="3289"/>
      <c r="L55" s="3290">
        <f t="shared" si="7"/>
        <v>0</v>
      </c>
      <c r="M55" s="3291"/>
      <c r="N55" s="3292"/>
      <c r="O55" s="3286"/>
      <c r="P55" s="3288"/>
      <c r="Q55" s="3289"/>
      <c r="R55" s="3290">
        <f t="shared" si="8"/>
        <v>0</v>
      </c>
      <c r="S55" s="3291"/>
      <c r="T55" s="3292"/>
      <c r="U55" s="3287"/>
      <c r="V55" s="3288"/>
      <c r="W55" s="3289"/>
      <c r="X55" s="3290">
        <f t="shared" si="9"/>
        <v>0</v>
      </c>
      <c r="Y55" s="3291"/>
      <c r="Z55" s="3292"/>
      <c r="AA55" s="3287"/>
      <c r="AB55" s="3286"/>
      <c r="AC55" s="3289"/>
      <c r="AD55" s="3290">
        <f t="shared" si="10"/>
        <v>0</v>
      </c>
      <c r="AE55" s="3291"/>
      <c r="AF55" s="20"/>
      <c r="AG55" t="b">
        <f t="shared" si="11"/>
        <v>0</v>
      </c>
    </row>
    <row r="56" spans="1:34" ht="13.5" customHeight="1">
      <c r="A56" s="3295"/>
      <c r="B56" s="3286"/>
      <c r="C56" s="3287"/>
      <c r="D56" s="3288"/>
      <c r="E56" s="3289"/>
      <c r="F56" s="3290">
        <f t="shared" si="6"/>
        <v>0</v>
      </c>
      <c r="G56" s="3291"/>
      <c r="H56" s="3292"/>
      <c r="I56" s="3286"/>
      <c r="J56" s="3288"/>
      <c r="K56" s="3289"/>
      <c r="L56" s="3290">
        <f t="shared" si="7"/>
        <v>0</v>
      </c>
      <c r="M56" s="3291"/>
      <c r="N56" s="3292"/>
      <c r="O56" s="3286"/>
      <c r="P56" s="3288"/>
      <c r="Q56" s="3289"/>
      <c r="R56" s="3290">
        <f t="shared" si="8"/>
        <v>0</v>
      </c>
      <c r="S56" s="3291"/>
      <c r="T56" s="3292"/>
      <c r="U56" s="3287"/>
      <c r="V56" s="3288"/>
      <c r="W56" s="3289"/>
      <c r="X56" s="3290">
        <f t="shared" si="9"/>
        <v>0</v>
      </c>
      <c r="Y56" s="3291"/>
      <c r="Z56" s="3292"/>
      <c r="AA56" s="3287"/>
      <c r="AB56" s="3286"/>
      <c r="AC56" s="3289"/>
      <c r="AD56" s="3290">
        <f t="shared" si="10"/>
        <v>0</v>
      </c>
      <c r="AE56" s="3291"/>
      <c r="AF56" s="20"/>
      <c r="AG56" t="b">
        <f t="shared" si="11"/>
        <v>0</v>
      </c>
    </row>
    <row r="57" spans="1:34" ht="13.5" customHeight="1">
      <c r="A57" s="3295"/>
      <c r="B57" s="3286"/>
      <c r="C57" s="3287"/>
      <c r="D57" s="3288"/>
      <c r="E57" s="3289"/>
      <c r="F57" s="3290">
        <f t="shared" si="6"/>
        <v>0</v>
      </c>
      <c r="G57" s="3291"/>
      <c r="H57" s="3292"/>
      <c r="I57" s="3286"/>
      <c r="J57" s="3288"/>
      <c r="K57" s="3289"/>
      <c r="L57" s="3290">
        <f t="shared" si="7"/>
        <v>0</v>
      </c>
      <c r="M57" s="3291"/>
      <c r="N57" s="3292"/>
      <c r="O57" s="3286"/>
      <c r="P57" s="3288"/>
      <c r="Q57" s="3289"/>
      <c r="R57" s="3290">
        <f t="shared" si="8"/>
        <v>0</v>
      </c>
      <c r="S57" s="3291"/>
      <c r="T57" s="3292"/>
      <c r="U57" s="3287"/>
      <c r="V57" s="3288"/>
      <c r="W57" s="3289"/>
      <c r="X57" s="3290">
        <f t="shared" si="9"/>
        <v>0</v>
      </c>
      <c r="Y57" s="3291"/>
      <c r="Z57" s="3292"/>
      <c r="AA57" s="3287"/>
      <c r="AB57" s="3286"/>
      <c r="AC57" s="3289"/>
      <c r="AD57" s="3290">
        <f t="shared" si="10"/>
        <v>0</v>
      </c>
      <c r="AE57" s="3291"/>
      <c r="AF57" s="20"/>
      <c r="AG57" t="b">
        <f t="shared" si="11"/>
        <v>0</v>
      </c>
    </row>
    <row r="58" spans="1:34" ht="13.5" customHeight="1">
      <c r="A58" s="3295"/>
      <c r="B58" s="3286"/>
      <c r="C58" s="3287"/>
      <c r="D58" s="3288"/>
      <c r="E58" s="3289"/>
      <c r="F58" s="3290">
        <f t="shared" si="6"/>
        <v>0</v>
      </c>
      <c r="G58" s="3291"/>
      <c r="H58" s="3292"/>
      <c r="I58" s="3286"/>
      <c r="J58" s="3288"/>
      <c r="K58" s="3289"/>
      <c r="L58" s="3290">
        <f t="shared" si="7"/>
        <v>0</v>
      </c>
      <c r="M58" s="3291"/>
      <c r="N58" s="3292"/>
      <c r="O58" s="3286"/>
      <c r="P58" s="3288"/>
      <c r="Q58" s="3289"/>
      <c r="R58" s="3290">
        <f t="shared" si="8"/>
        <v>0</v>
      </c>
      <c r="S58" s="3291"/>
      <c r="T58" s="3292"/>
      <c r="U58" s="3287"/>
      <c r="V58" s="3288"/>
      <c r="W58" s="3289"/>
      <c r="X58" s="3290">
        <f t="shared" si="9"/>
        <v>0</v>
      </c>
      <c r="Y58" s="3291"/>
      <c r="Z58" s="3292"/>
      <c r="AA58" s="3287"/>
      <c r="AB58" s="3286"/>
      <c r="AC58" s="3289"/>
      <c r="AD58" s="3290">
        <f t="shared" si="10"/>
        <v>0</v>
      </c>
      <c r="AE58" s="3291"/>
      <c r="AF58" s="20"/>
      <c r="AG58" t="b">
        <f t="shared" si="11"/>
        <v>0</v>
      </c>
    </row>
    <row r="59" spans="1:34" ht="13.5" customHeight="1">
      <c r="A59" s="3295"/>
      <c r="B59" s="3286"/>
      <c r="C59" s="3287"/>
      <c r="D59" s="3288"/>
      <c r="E59" s="3289"/>
      <c r="F59" s="3290">
        <f t="shared" si="6"/>
        <v>0</v>
      </c>
      <c r="G59" s="3291"/>
      <c r="H59" s="3292"/>
      <c r="I59" s="3286"/>
      <c r="J59" s="3288"/>
      <c r="K59" s="3289"/>
      <c r="L59" s="3290">
        <f t="shared" si="7"/>
        <v>0</v>
      </c>
      <c r="M59" s="3291"/>
      <c r="N59" s="3292"/>
      <c r="O59" s="3286"/>
      <c r="P59" s="3288"/>
      <c r="Q59" s="3289"/>
      <c r="R59" s="3290">
        <f t="shared" si="8"/>
        <v>0</v>
      </c>
      <c r="S59" s="3291"/>
      <c r="T59" s="3292"/>
      <c r="U59" s="3287"/>
      <c r="V59" s="3288"/>
      <c r="W59" s="3289"/>
      <c r="X59" s="3290">
        <f t="shared" si="9"/>
        <v>0</v>
      </c>
      <c r="Y59" s="3291"/>
      <c r="Z59" s="3292"/>
      <c r="AA59" s="3287"/>
      <c r="AB59" s="3286"/>
      <c r="AC59" s="3289"/>
      <c r="AD59" s="3290">
        <f t="shared" si="10"/>
        <v>0</v>
      </c>
      <c r="AE59" s="3291"/>
      <c r="AF59" s="20"/>
      <c r="AG59" t="b">
        <f t="shared" si="11"/>
        <v>0</v>
      </c>
    </row>
    <row r="60" spans="1:34" ht="13.5" customHeight="1">
      <c r="A60" s="3296"/>
      <c r="B60" s="3293"/>
      <c r="C60" s="3279"/>
      <c r="D60" s="3280"/>
      <c r="E60" s="3281"/>
      <c r="F60" s="3138">
        <f t="shared" si="6"/>
        <v>0</v>
      </c>
      <c r="G60" s="3140"/>
      <c r="H60" s="3278"/>
      <c r="I60" s="3293"/>
      <c r="J60" s="3280"/>
      <c r="K60" s="3281"/>
      <c r="L60" s="3138">
        <f t="shared" si="7"/>
        <v>0</v>
      </c>
      <c r="M60" s="3140"/>
      <c r="N60" s="3278"/>
      <c r="O60" s="3293"/>
      <c r="P60" s="3280"/>
      <c r="Q60" s="3281"/>
      <c r="R60" s="3138">
        <f t="shared" si="8"/>
        <v>0</v>
      </c>
      <c r="S60" s="3140"/>
      <c r="T60" s="3278"/>
      <c r="U60" s="3279"/>
      <c r="V60" s="3280"/>
      <c r="W60" s="3281"/>
      <c r="X60" s="3138">
        <f t="shared" si="9"/>
        <v>0</v>
      </c>
      <c r="Y60" s="3140"/>
      <c r="Z60" s="3282"/>
      <c r="AA60" s="3283"/>
      <c r="AB60" s="3284"/>
      <c r="AC60" s="3285"/>
      <c r="AD60" s="3138">
        <f t="shared" si="10"/>
        <v>0</v>
      </c>
      <c r="AE60" s="3140"/>
      <c r="AF60" s="20"/>
      <c r="AG60" t="b">
        <f t="shared" si="11"/>
        <v>0</v>
      </c>
    </row>
    <row r="61" spans="1:34" ht="13.5" customHeight="1">
      <c r="A61" s="548" t="s">
        <v>1060</v>
      </c>
      <c r="B61" s="3275"/>
      <c r="C61" s="3276"/>
      <c r="D61" s="3276"/>
      <c r="E61" s="3276"/>
      <c r="F61" s="3276"/>
      <c r="G61" s="3277"/>
      <c r="H61" s="3275"/>
      <c r="I61" s="3276"/>
      <c r="J61" s="3276"/>
      <c r="K61" s="3276"/>
      <c r="L61" s="3276"/>
      <c r="M61" s="3277"/>
      <c r="N61" s="3275"/>
      <c r="O61" s="3276"/>
      <c r="P61" s="3276"/>
      <c r="Q61" s="3276"/>
      <c r="R61" s="3276"/>
      <c r="S61" s="3277"/>
      <c r="T61" s="3275"/>
      <c r="U61" s="3276"/>
      <c r="V61" s="3276"/>
      <c r="W61" s="3276"/>
      <c r="X61" s="3276"/>
      <c r="Y61" s="3277"/>
      <c r="Z61" s="3275"/>
      <c r="AA61" s="3276"/>
      <c r="AB61" s="3276"/>
      <c r="AC61" s="3276"/>
      <c r="AD61" s="3276"/>
      <c r="AE61" s="3277"/>
      <c r="AF61" s="20"/>
      <c r="AG61" t="b">
        <f>AG65</f>
        <v>0</v>
      </c>
    </row>
    <row r="62" spans="1:34" ht="13.5" customHeight="1">
      <c r="A62" s="548" t="s">
        <v>1061</v>
      </c>
      <c r="B62" s="3271">
        <f>SUM(F45:F60)</f>
        <v>0</v>
      </c>
      <c r="C62" s="3272"/>
      <c r="D62" s="3272"/>
      <c r="E62" s="3272"/>
      <c r="F62" s="3272"/>
      <c r="G62" s="3273"/>
      <c r="H62" s="3271">
        <f>SUM(L45:L60)</f>
        <v>0</v>
      </c>
      <c r="I62" s="3272"/>
      <c r="J62" s="3272"/>
      <c r="K62" s="3272"/>
      <c r="L62" s="3272"/>
      <c r="M62" s="3273"/>
      <c r="N62" s="3271">
        <f>SUM(R45:R60)</f>
        <v>0</v>
      </c>
      <c r="O62" s="3272"/>
      <c r="P62" s="3272"/>
      <c r="Q62" s="3272"/>
      <c r="R62" s="3272"/>
      <c r="S62" s="3273"/>
      <c r="T62" s="3271">
        <f>SUM(X45:X60)</f>
        <v>0</v>
      </c>
      <c r="U62" s="3272"/>
      <c r="V62" s="3272"/>
      <c r="W62" s="3272"/>
      <c r="X62" s="3272"/>
      <c r="Y62" s="3273"/>
      <c r="Z62" s="3271">
        <f>SUM(AD45:AD60)</f>
        <v>0</v>
      </c>
      <c r="AA62" s="3272"/>
      <c r="AB62" s="3272"/>
      <c r="AC62" s="3272"/>
      <c r="AD62" s="3272"/>
      <c r="AE62" s="3273"/>
      <c r="AF62" s="20"/>
      <c r="AG62" t="b">
        <f>AG65</f>
        <v>0</v>
      </c>
    </row>
    <row r="63" spans="1:34" s="1941" customFormat="1" ht="14.25" customHeight="1">
      <c r="A63" s="1951" t="s">
        <v>1970</v>
      </c>
      <c r="B63" s="3270">
        <v>0</v>
      </c>
      <c r="C63" s="3268"/>
      <c r="D63" s="3268"/>
      <c r="E63" s="1952" t="s">
        <v>1971</v>
      </c>
      <c r="F63" s="3268">
        <v>10</v>
      </c>
      <c r="G63" s="3269"/>
      <c r="H63" s="3270">
        <v>0</v>
      </c>
      <c r="I63" s="3268"/>
      <c r="J63" s="3268"/>
      <c r="K63" s="1952" t="s">
        <v>1971</v>
      </c>
      <c r="L63" s="3268">
        <v>10</v>
      </c>
      <c r="M63" s="3269"/>
      <c r="N63" s="3270">
        <v>0</v>
      </c>
      <c r="O63" s="3268"/>
      <c r="P63" s="3268"/>
      <c r="Q63" s="1952" t="s">
        <v>1971</v>
      </c>
      <c r="R63" s="3268">
        <v>10</v>
      </c>
      <c r="S63" s="3269"/>
      <c r="T63" s="3270">
        <v>0</v>
      </c>
      <c r="U63" s="3268"/>
      <c r="V63" s="3268"/>
      <c r="W63" s="1952" t="s">
        <v>1971</v>
      </c>
      <c r="X63" s="3268">
        <v>10</v>
      </c>
      <c r="Y63" s="3269"/>
      <c r="Z63" s="3270">
        <v>0</v>
      </c>
      <c r="AA63" s="3268"/>
      <c r="AB63" s="3268"/>
      <c r="AC63" s="1952" t="s">
        <v>1971</v>
      </c>
      <c r="AD63" s="3268">
        <v>10</v>
      </c>
      <c r="AE63" s="3269"/>
      <c r="AF63" s="1946"/>
      <c r="AG63" s="1941" t="b">
        <f>+AG65</f>
        <v>0</v>
      </c>
      <c r="AH63" s="1941" t="s">
        <v>1972</v>
      </c>
    </row>
    <row r="64" spans="1:34" ht="13.5" customHeight="1">
      <c r="A64" s="548" t="s">
        <v>1062</v>
      </c>
      <c r="B64" s="2971"/>
      <c r="C64" s="2972"/>
      <c r="D64" s="2972"/>
      <c r="E64" s="2972"/>
      <c r="F64" s="2972"/>
      <c r="G64" s="3274"/>
      <c r="H64" s="2971"/>
      <c r="I64" s="2972"/>
      <c r="J64" s="2972"/>
      <c r="K64" s="2972"/>
      <c r="L64" s="2972"/>
      <c r="M64" s="3274"/>
      <c r="N64" s="2971"/>
      <c r="O64" s="2972"/>
      <c r="P64" s="2972"/>
      <c r="Q64" s="2972"/>
      <c r="R64" s="2972"/>
      <c r="S64" s="3274"/>
      <c r="T64" s="2971"/>
      <c r="U64" s="2972"/>
      <c r="V64" s="2972"/>
      <c r="W64" s="2972"/>
      <c r="X64" s="2972"/>
      <c r="Y64" s="3274"/>
      <c r="Z64" s="2971"/>
      <c r="AA64" s="2972"/>
      <c r="AB64" s="2972"/>
      <c r="AC64" s="2972"/>
      <c r="AD64" s="2972"/>
      <c r="AE64" s="3274"/>
      <c r="AF64" s="20"/>
      <c r="AG64" t="b">
        <f>AG65</f>
        <v>0</v>
      </c>
    </row>
    <row r="65" spans="1:33" ht="13.5" customHeight="1">
      <c r="A65" s="548" t="s">
        <v>1064</v>
      </c>
      <c r="B65" s="3270">
        <f>ROUNDDOWN(B62*IF(F63&lt;&gt;0,SQRT(B63^2+F63^2)/F63,1)-B64,2)</f>
        <v>0</v>
      </c>
      <c r="C65" s="3268"/>
      <c r="D65" s="3268"/>
      <c r="E65" s="3268"/>
      <c r="F65" s="3268"/>
      <c r="G65" s="3269"/>
      <c r="H65" s="3270">
        <f>ROUNDDOWN(H62*IF(L63&lt;&gt;0,SQRT(H63^2+L63^2)/L63,1)-H64,2)</f>
        <v>0</v>
      </c>
      <c r="I65" s="3268"/>
      <c r="J65" s="3268"/>
      <c r="K65" s="3268"/>
      <c r="L65" s="3268"/>
      <c r="M65" s="3269"/>
      <c r="N65" s="3270">
        <f>ROUNDDOWN(N62*IF(R63&lt;&gt;0,SQRT(N63^2+R63^2)/R63,1)-N64,2)</f>
        <v>0</v>
      </c>
      <c r="O65" s="3268"/>
      <c r="P65" s="3268"/>
      <c r="Q65" s="3268"/>
      <c r="R65" s="3268"/>
      <c r="S65" s="3269"/>
      <c r="T65" s="3270">
        <f>ROUNDDOWN(T62*IF(X63&lt;&gt;0,SQRT(T63^2+X63^2)/X63,1)-T64,2)</f>
        <v>0</v>
      </c>
      <c r="U65" s="3268"/>
      <c r="V65" s="3268"/>
      <c r="W65" s="3268"/>
      <c r="X65" s="3268"/>
      <c r="Y65" s="3269"/>
      <c r="Z65" s="3270">
        <f>ROUNDDOWN(Z62*IF(AD63&lt;&gt;0,SQRT(Z63^2+AD63^2)/AD63,1)-Z64,2)</f>
        <v>0</v>
      </c>
      <c r="AA65" s="3268"/>
      <c r="AB65" s="3268"/>
      <c r="AC65" s="3268"/>
      <c r="AD65" s="3268"/>
      <c r="AE65" s="3269"/>
      <c r="AF65" s="20"/>
      <c r="AG65" t="b">
        <f>AF65&lt;&gt;0</f>
        <v>0</v>
      </c>
    </row>
    <row r="66" spans="1:33" ht="13.5" customHeight="1">
      <c r="AF66" s="20"/>
      <c r="AG66" t="b">
        <f>AG91</f>
        <v>0</v>
      </c>
    </row>
    <row r="67" spans="1:33" ht="13.5" customHeight="1">
      <c r="A67" s="3308" t="s">
        <v>1066</v>
      </c>
      <c r="B67" s="3297" t="s">
        <v>1056</v>
      </c>
      <c r="C67" s="3298"/>
      <c r="D67" s="3298"/>
      <c r="E67" s="3298"/>
      <c r="F67" s="3298"/>
      <c r="G67" s="3299"/>
      <c r="H67" s="3297" t="s">
        <v>1056</v>
      </c>
      <c r="I67" s="3298"/>
      <c r="J67" s="3298"/>
      <c r="K67" s="3298"/>
      <c r="L67" s="3298"/>
      <c r="M67" s="3299"/>
      <c r="N67" s="3297" t="s">
        <v>1056</v>
      </c>
      <c r="O67" s="3298"/>
      <c r="P67" s="3298"/>
      <c r="Q67" s="3298"/>
      <c r="R67" s="3298"/>
      <c r="S67" s="3299"/>
      <c r="T67" s="3297" t="s">
        <v>1056</v>
      </c>
      <c r="U67" s="3298"/>
      <c r="V67" s="3298"/>
      <c r="W67" s="3298"/>
      <c r="X67" s="3298"/>
      <c r="Y67" s="3299"/>
      <c r="Z67" s="3297" t="s">
        <v>1056</v>
      </c>
      <c r="AA67" s="3298"/>
      <c r="AB67" s="3298"/>
      <c r="AC67" s="3298"/>
      <c r="AD67" s="3298"/>
      <c r="AE67" s="3299"/>
      <c r="AG67" t="b">
        <f>AG91</f>
        <v>0</v>
      </c>
    </row>
    <row r="68" spans="1:33" ht="13.5" customHeight="1">
      <c r="A68" s="3295"/>
      <c r="B68" s="543" t="s">
        <v>1057</v>
      </c>
      <c r="C68" s="543"/>
      <c r="D68" s="544" t="s">
        <v>1058</v>
      </c>
      <c r="E68" s="545"/>
      <c r="F68" s="546" t="s">
        <v>1059</v>
      </c>
      <c r="G68" s="543"/>
      <c r="H68" s="546" t="s">
        <v>1057</v>
      </c>
      <c r="I68" s="543"/>
      <c r="J68" s="544" t="s">
        <v>1058</v>
      </c>
      <c r="K68" s="545"/>
      <c r="L68" s="546" t="s">
        <v>1059</v>
      </c>
      <c r="M68" s="543"/>
      <c r="N68" s="546" t="s">
        <v>1057</v>
      </c>
      <c r="O68" s="543"/>
      <c r="P68" s="544" t="s">
        <v>1058</v>
      </c>
      <c r="Q68" s="545"/>
      <c r="R68" s="546" t="s">
        <v>1059</v>
      </c>
      <c r="S68" s="543"/>
      <c r="T68" s="546" t="s">
        <v>1057</v>
      </c>
      <c r="U68" s="543"/>
      <c r="V68" s="544" t="s">
        <v>1058</v>
      </c>
      <c r="W68" s="545"/>
      <c r="X68" s="546" t="s">
        <v>1059</v>
      </c>
      <c r="Y68" s="543"/>
      <c r="Z68" s="546" t="s">
        <v>1057</v>
      </c>
      <c r="AA68" s="543"/>
      <c r="AB68" s="544" t="s">
        <v>1058</v>
      </c>
      <c r="AC68" s="545"/>
      <c r="AD68" s="546" t="s">
        <v>1059</v>
      </c>
      <c r="AE68" s="545"/>
      <c r="AF68" s="547"/>
      <c r="AG68" t="b">
        <f>AG91</f>
        <v>0</v>
      </c>
    </row>
    <row r="69" spans="1:33" ht="13.5" customHeight="1">
      <c r="A69" s="3295"/>
      <c r="B69" s="3300"/>
      <c r="C69" s="3301"/>
      <c r="D69" s="3302"/>
      <c r="E69" s="3303"/>
      <c r="F69" s="3304">
        <f t="shared" ref="F69:F84" si="12">ROUNDDOWN(B69*D69,2)</f>
        <v>0</v>
      </c>
      <c r="G69" s="3134"/>
      <c r="H69" s="3307"/>
      <c r="I69" s="3300"/>
      <c r="J69" s="3302"/>
      <c r="K69" s="3303"/>
      <c r="L69" s="3304">
        <f t="shared" ref="L69:L84" si="13">ROUNDDOWN(H69*J69,2)</f>
        <v>0</v>
      </c>
      <c r="M69" s="3134"/>
      <c r="N69" s="3307"/>
      <c r="O69" s="3300"/>
      <c r="P69" s="3302"/>
      <c r="Q69" s="3303"/>
      <c r="R69" s="3304">
        <f t="shared" ref="R69:R84" si="14">ROUNDDOWN(N69*P69,2)</f>
        <v>0</v>
      </c>
      <c r="S69" s="3134"/>
      <c r="T69" s="3307"/>
      <c r="U69" s="3301"/>
      <c r="V69" s="3302"/>
      <c r="W69" s="3303"/>
      <c r="X69" s="3304">
        <f t="shared" ref="X69:X84" si="15">ROUNDDOWN(T69*V69,2)</f>
        <v>0</v>
      </c>
      <c r="Y69" s="3134"/>
      <c r="Z69" s="3307"/>
      <c r="AA69" s="3301"/>
      <c r="AB69" s="3300"/>
      <c r="AC69" s="3303"/>
      <c r="AD69" s="3305">
        <f t="shared" ref="AD69:AD84" si="16">ROUNDDOWN(Z69*AB69,2)</f>
        <v>0</v>
      </c>
      <c r="AE69" s="3306"/>
      <c r="AF69" s="20"/>
      <c r="AG69" t="b">
        <f t="shared" ref="AG69:AG84" si="17">SUM(B69:AE69)&lt;&gt;0</f>
        <v>0</v>
      </c>
    </row>
    <row r="70" spans="1:33" ht="13.5" customHeight="1">
      <c r="A70" s="3295"/>
      <c r="B70" s="3286"/>
      <c r="C70" s="3287"/>
      <c r="D70" s="3288"/>
      <c r="E70" s="3289"/>
      <c r="F70" s="3290">
        <f t="shared" si="12"/>
        <v>0</v>
      </c>
      <c r="G70" s="3291"/>
      <c r="H70" s="3292"/>
      <c r="I70" s="3286"/>
      <c r="J70" s="3288"/>
      <c r="K70" s="3289"/>
      <c r="L70" s="3290">
        <f t="shared" si="13"/>
        <v>0</v>
      </c>
      <c r="M70" s="3291"/>
      <c r="N70" s="3292"/>
      <c r="O70" s="3286"/>
      <c r="P70" s="3288"/>
      <c r="Q70" s="3289"/>
      <c r="R70" s="3290">
        <f t="shared" si="14"/>
        <v>0</v>
      </c>
      <c r="S70" s="3291"/>
      <c r="T70" s="3292"/>
      <c r="U70" s="3287"/>
      <c r="V70" s="3288"/>
      <c r="W70" s="3289"/>
      <c r="X70" s="3290">
        <f t="shared" si="15"/>
        <v>0</v>
      </c>
      <c r="Y70" s="3291"/>
      <c r="Z70" s="3292"/>
      <c r="AA70" s="3287"/>
      <c r="AB70" s="3286"/>
      <c r="AC70" s="3289"/>
      <c r="AD70" s="3290">
        <f t="shared" si="16"/>
        <v>0</v>
      </c>
      <c r="AE70" s="3291"/>
      <c r="AF70" s="20"/>
      <c r="AG70" t="b">
        <f t="shared" si="17"/>
        <v>0</v>
      </c>
    </row>
    <row r="71" spans="1:33" ht="13.5" customHeight="1">
      <c r="A71" s="3295"/>
      <c r="B71" s="3286"/>
      <c r="C71" s="3287"/>
      <c r="D71" s="3288"/>
      <c r="E71" s="3289"/>
      <c r="F71" s="3290">
        <f t="shared" si="12"/>
        <v>0</v>
      </c>
      <c r="G71" s="3291"/>
      <c r="H71" s="3292"/>
      <c r="I71" s="3286"/>
      <c r="J71" s="3288"/>
      <c r="K71" s="3289"/>
      <c r="L71" s="3290">
        <f t="shared" si="13"/>
        <v>0</v>
      </c>
      <c r="M71" s="3291"/>
      <c r="N71" s="3292"/>
      <c r="O71" s="3286"/>
      <c r="P71" s="3288"/>
      <c r="Q71" s="3289"/>
      <c r="R71" s="3290">
        <f t="shared" si="14"/>
        <v>0</v>
      </c>
      <c r="S71" s="3291"/>
      <c r="T71" s="3292"/>
      <c r="U71" s="3287"/>
      <c r="V71" s="3288"/>
      <c r="W71" s="3289"/>
      <c r="X71" s="3290">
        <f t="shared" si="15"/>
        <v>0</v>
      </c>
      <c r="Y71" s="3291"/>
      <c r="Z71" s="3292"/>
      <c r="AA71" s="3287"/>
      <c r="AB71" s="3286"/>
      <c r="AC71" s="3289"/>
      <c r="AD71" s="3290">
        <f t="shared" si="16"/>
        <v>0</v>
      </c>
      <c r="AE71" s="3291"/>
      <c r="AF71" s="20"/>
      <c r="AG71" t="b">
        <f t="shared" si="17"/>
        <v>0</v>
      </c>
    </row>
    <row r="72" spans="1:33" ht="13.5" customHeight="1">
      <c r="A72" s="3295"/>
      <c r="B72" s="3286"/>
      <c r="C72" s="3287"/>
      <c r="D72" s="3288"/>
      <c r="E72" s="3289"/>
      <c r="F72" s="3290">
        <f t="shared" si="12"/>
        <v>0</v>
      </c>
      <c r="G72" s="3291"/>
      <c r="H72" s="3292"/>
      <c r="I72" s="3286"/>
      <c r="J72" s="3288"/>
      <c r="K72" s="3289"/>
      <c r="L72" s="3290">
        <f t="shared" si="13"/>
        <v>0</v>
      </c>
      <c r="M72" s="3291"/>
      <c r="N72" s="3292"/>
      <c r="O72" s="3286"/>
      <c r="P72" s="3288"/>
      <c r="Q72" s="3289"/>
      <c r="R72" s="3290">
        <f t="shared" si="14"/>
        <v>0</v>
      </c>
      <c r="S72" s="3291"/>
      <c r="T72" s="3292"/>
      <c r="U72" s="3287"/>
      <c r="V72" s="3288"/>
      <c r="W72" s="3289"/>
      <c r="X72" s="3290">
        <f t="shared" si="15"/>
        <v>0</v>
      </c>
      <c r="Y72" s="3291"/>
      <c r="Z72" s="3292"/>
      <c r="AA72" s="3287"/>
      <c r="AB72" s="3286"/>
      <c r="AC72" s="3289"/>
      <c r="AD72" s="3290">
        <f t="shared" si="16"/>
        <v>0</v>
      </c>
      <c r="AE72" s="3291"/>
      <c r="AF72" s="20"/>
      <c r="AG72" t="b">
        <f t="shared" si="17"/>
        <v>0</v>
      </c>
    </row>
    <row r="73" spans="1:33" ht="13.5" customHeight="1">
      <c r="A73" s="3295"/>
      <c r="B73" s="3286"/>
      <c r="C73" s="3287"/>
      <c r="D73" s="3288"/>
      <c r="E73" s="3289"/>
      <c r="F73" s="3290">
        <f t="shared" si="12"/>
        <v>0</v>
      </c>
      <c r="G73" s="3291"/>
      <c r="H73" s="3292"/>
      <c r="I73" s="3286"/>
      <c r="J73" s="3288"/>
      <c r="K73" s="3289"/>
      <c r="L73" s="3290">
        <f t="shared" si="13"/>
        <v>0</v>
      </c>
      <c r="M73" s="3291"/>
      <c r="N73" s="3292"/>
      <c r="O73" s="3286"/>
      <c r="P73" s="3288"/>
      <c r="Q73" s="3289"/>
      <c r="R73" s="3290">
        <f t="shared" si="14"/>
        <v>0</v>
      </c>
      <c r="S73" s="3291"/>
      <c r="T73" s="3292"/>
      <c r="U73" s="3287"/>
      <c r="V73" s="3288"/>
      <c r="W73" s="3289"/>
      <c r="X73" s="3290">
        <f t="shared" si="15"/>
        <v>0</v>
      </c>
      <c r="Y73" s="3291"/>
      <c r="Z73" s="3292"/>
      <c r="AA73" s="3287"/>
      <c r="AB73" s="3286"/>
      <c r="AC73" s="3289"/>
      <c r="AD73" s="3290">
        <f t="shared" si="16"/>
        <v>0</v>
      </c>
      <c r="AE73" s="3291"/>
      <c r="AF73" s="20"/>
      <c r="AG73" t="b">
        <f t="shared" si="17"/>
        <v>0</v>
      </c>
    </row>
    <row r="74" spans="1:33" ht="13.5" customHeight="1">
      <c r="A74" s="3295"/>
      <c r="B74" s="3286"/>
      <c r="C74" s="3287"/>
      <c r="D74" s="3288"/>
      <c r="E74" s="3289"/>
      <c r="F74" s="3290">
        <f t="shared" si="12"/>
        <v>0</v>
      </c>
      <c r="G74" s="3291"/>
      <c r="H74" s="3292"/>
      <c r="I74" s="3286"/>
      <c r="J74" s="3288"/>
      <c r="K74" s="3289"/>
      <c r="L74" s="3290">
        <f t="shared" si="13"/>
        <v>0</v>
      </c>
      <c r="M74" s="3291"/>
      <c r="N74" s="3292"/>
      <c r="O74" s="3286"/>
      <c r="P74" s="3288"/>
      <c r="Q74" s="3289"/>
      <c r="R74" s="3290">
        <f t="shared" si="14"/>
        <v>0</v>
      </c>
      <c r="S74" s="3291"/>
      <c r="T74" s="3292"/>
      <c r="U74" s="3287"/>
      <c r="V74" s="3288"/>
      <c r="W74" s="3289"/>
      <c r="X74" s="3290">
        <f t="shared" si="15"/>
        <v>0</v>
      </c>
      <c r="Y74" s="3291"/>
      <c r="Z74" s="3292"/>
      <c r="AA74" s="3287"/>
      <c r="AB74" s="3286"/>
      <c r="AC74" s="3289"/>
      <c r="AD74" s="3290">
        <f t="shared" si="16"/>
        <v>0</v>
      </c>
      <c r="AE74" s="3291"/>
      <c r="AF74" s="20"/>
      <c r="AG74" t="b">
        <f t="shared" si="17"/>
        <v>0</v>
      </c>
    </row>
    <row r="75" spans="1:33" ht="13.5" customHeight="1">
      <c r="A75" s="3295"/>
      <c r="B75" s="3286"/>
      <c r="C75" s="3287"/>
      <c r="D75" s="3288"/>
      <c r="E75" s="3289"/>
      <c r="F75" s="3290">
        <f t="shared" si="12"/>
        <v>0</v>
      </c>
      <c r="G75" s="3291"/>
      <c r="H75" s="3292"/>
      <c r="I75" s="3286"/>
      <c r="J75" s="3288"/>
      <c r="K75" s="3289"/>
      <c r="L75" s="3290">
        <f t="shared" si="13"/>
        <v>0</v>
      </c>
      <c r="M75" s="3291"/>
      <c r="N75" s="3292"/>
      <c r="O75" s="3286"/>
      <c r="P75" s="3288"/>
      <c r="Q75" s="3289"/>
      <c r="R75" s="3290">
        <f t="shared" si="14"/>
        <v>0</v>
      </c>
      <c r="S75" s="3291"/>
      <c r="T75" s="3292"/>
      <c r="U75" s="3287"/>
      <c r="V75" s="3288"/>
      <c r="W75" s="3289"/>
      <c r="X75" s="3290">
        <f t="shared" si="15"/>
        <v>0</v>
      </c>
      <c r="Y75" s="3291"/>
      <c r="Z75" s="3292"/>
      <c r="AA75" s="3287"/>
      <c r="AB75" s="3286"/>
      <c r="AC75" s="3289"/>
      <c r="AD75" s="3290">
        <f t="shared" si="16"/>
        <v>0</v>
      </c>
      <c r="AE75" s="3291"/>
      <c r="AF75" s="20"/>
      <c r="AG75" t="b">
        <f t="shared" si="17"/>
        <v>0</v>
      </c>
    </row>
    <row r="76" spans="1:33" ht="13.5" customHeight="1">
      <c r="A76" s="3295"/>
      <c r="B76" s="3286"/>
      <c r="C76" s="3287"/>
      <c r="D76" s="3288"/>
      <c r="E76" s="3289"/>
      <c r="F76" s="3290">
        <f t="shared" si="12"/>
        <v>0</v>
      </c>
      <c r="G76" s="3291"/>
      <c r="H76" s="3292"/>
      <c r="I76" s="3286"/>
      <c r="J76" s="3288"/>
      <c r="K76" s="3289"/>
      <c r="L76" s="3290">
        <f t="shared" si="13"/>
        <v>0</v>
      </c>
      <c r="M76" s="3291"/>
      <c r="N76" s="3292"/>
      <c r="O76" s="3286"/>
      <c r="P76" s="3288"/>
      <c r="Q76" s="3289"/>
      <c r="R76" s="3290">
        <f t="shared" si="14"/>
        <v>0</v>
      </c>
      <c r="S76" s="3291"/>
      <c r="T76" s="3292"/>
      <c r="U76" s="3287"/>
      <c r="V76" s="3288"/>
      <c r="W76" s="3289"/>
      <c r="X76" s="3290">
        <f t="shared" si="15"/>
        <v>0</v>
      </c>
      <c r="Y76" s="3291"/>
      <c r="Z76" s="3292"/>
      <c r="AA76" s="3287"/>
      <c r="AB76" s="3286"/>
      <c r="AC76" s="3289"/>
      <c r="AD76" s="3290">
        <f t="shared" si="16"/>
        <v>0</v>
      </c>
      <c r="AE76" s="3291"/>
      <c r="AF76" s="20"/>
      <c r="AG76" t="b">
        <f t="shared" si="17"/>
        <v>0</v>
      </c>
    </row>
    <row r="77" spans="1:33" ht="13.5" customHeight="1">
      <c r="A77" s="3295"/>
      <c r="B77" s="3286"/>
      <c r="C77" s="3287"/>
      <c r="D77" s="3288"/>
      <c r="E77" s="3289"/>
      <c r="F77" s="3290">
        <f t="shared" si="12"/>
        <v>0</v>
      </c>
      <c r="G77" s="3291"/>
      <c r="H77" s="3292"/>
      <c r="I77" s="3286"/>
      <c r="J77" s="3288"/>
      <c r="K77" s="3289"/>
      <c r="L77" s="3290">
        <f t="shared" si="13"/>
        <v>0</v>
      </c>
      <c r="M77" s="3291"/>
      <c r="N77" s="3292"/>
      <c r="O77" s="3286"/>
      <c r="P77" s="3288"/>
      <c r="Q77" s="3289"/>
      <c r="R77" s="3290">
        <f t="shared" si="14"/>
        <v>0</v>
      </c>
      <c r="S77" s="3291"/>
      <c r="T77" s="3292"/>
      <c r="U77" s="3287"/>
      <c r="V77" s="3288"/>
      <c r="W77" s="3289"/>
      <c r="X77" s="3290">
        <f t="shared" si="15"/>
        <v>0</v>
      </c>
      <c r="Y77" s="3291"/>
      <c r="Z77" s="3292"/>
      <c r="AA77" s="3287"/>
      <c r="AB77" s="3286"/>
      <c r="AC77" s="3289"/>
      <c r="AD77" s="3290">
        <f t="shared" si="16"/>
        <v>0</v>
      </c>
      <c r="AE77" s="3291"/>
      <c r="AF77" s="20"/>
      <c r="AG77" t="b">
        <f t="shared" si="17"/>
        <v>0</v>
      </c>
    </row>
    <row r="78" spans="1:33" ht="13.5" customHeight="1">
      <c r="A78" s="3295"/>
      <c r="B78" s="3286"/>
      <c r="C78" s="3287"/>
      <c r="D78" s="3288"/>
      <c r="E78" s="3289"/>
      <c r="F78" s="3290">
        <f t="shared" si="12"/>
        <v>0</v>
      </c>
      <c r="G78" s="3291"/>
      <c r="H78" s="3292"/>
      <c r="I78" s="3286"/>
      <c r="J78" s="3288"/>
      <c r="K78" s="3289"/>
      <c r="L78" s="3290">
        <f t="shared" si="13"/>
        <v>0</v>
      </c>
      <c r="M78" s="3291"/>
      <c r="N78" s="3292"/>
      <c r="O78" s="3286"/>
      <c r="P78" s="3288"/>
      <c r="Q78" s="3289"/>
      <c r="R78" s="3290">
        <f t="shared" si="14"/>
        <v>0</v>
      </c>
      <c r="S78" s="3291"/>
      <c r="T78" s="3292"/>
      <c r="U78" s="3287"/>
      <c r="V78" s="3288"/>
      <c r="W78" s="3289"/>
      <c r="X78" s="3290">
        <f t="shared" si="15"/>
        <v>0</v>
      </c>
      <c r="Y78" s="3291"/>
      <c r="Z78" s="3292"/>
      <c r="AA78" s="3287"/>
      <c r="AB78" s="3286"/>
      <c r="AC78" s="3289"/>
      <c r="AD78" s="3290">
        <f t="shared" si="16"/>
        <v>0</v>
      </c>
      <c r="AE78" s="3291"/>
      <c r="AF78" s="20"/>
      <c r="AG78" t="b">
        <f t="shared" si="17"/>
        <v>0</v>
      </c>
    </row>
    <row r="79" spans="1:33" ht="13.5" customHeight="1">
      <c r="A79" s="3295"/>
      <c r="B79" s="3286"/>
      <c r="C79" s="3287"/>
      <c r="D79" s="3288"/>
      <c r="E79" s="3289"/>
      <c r="F79" s="3290">
        <f t="shared" si="12"/>
        <v>0</v>
      </c>
      <c r="G79" s="3291"/>
      <c r="H79" s="3292"/>
      <c r="I79" s="3286"/>
      <c r="J79" s="3288"/>
      <c r="K79" s="3289"/>
      <c r="L79" s="3290">
        <f t="shared" si="13"/>
        <v>0</v>
      </c>
      <c r="M79" s="3291"/>
      <c r="N79" s="3292"/>
      <c r="O79" s="3286"/>
      <c r="P79" s="3288"/>
      <c r="Q79" s="3289"/>
      <c r="R79" s="3290">
        <f t="shared" si="14"/>
        <v>0</v>
      </c>
      <c r="S79" s="3291"/>
      <c r="T79" s="3292"/>
      <c r="U79" s="3287"/>
      <c r="V79" s="3288"/>
      <c r="W79" s="3289"/>
      <c r="X79" s="3290">
        <f t="shared" si="15"/>
        <v>0</v>
      </c>
      <c r="Y79" s="3291"/>
      <c r="Z79" s="3292"/>
      <c r="AA79" s="3287"/>
      <c r="AB79" s="3286"/>
      <c r="AC79" s="3289"/>
      <c r="AD79" s="3290">
        <f t="shared" si="16"/>
        <v>0</v>
      </c>
      <c r="AE79" s="3291"/>
      <c r="AF79" s="20"/>
      <c r="AG79" t="b">
        <f t="shared" si="17"/>
        <v>0</v>
      </c>
    </row>
    <row r="80" spans="1:33" ht="13.5" customHeight="1">
      <c r="A80" s="3295"/>
      <c r="B80" s="3286"/>
      <c r="C80" s="3287"/>
      <c r="D80" s="3288"/>
      <c r="E80" s="3289"/>
      <c r="F80" s="3290">
        <f t="shared" si="12"/>
        <v>0</v>
      </c>
      <c r="G80" s="3291"/>
      <c r="H80" s="3292"/>
      <c r="I80" s="3286"/>
      <c r="J80" s="3288"/>
      <c r="K80" s="3289"/>
      <c r="L80" s="3290">
        <f t="shared" si="13"/>
        <v>0</v>
      </c>
      <c r="M80" s="3291"/>
      <c r="N80" s="3292"/>
      <c r="O80" s="3286"/>
      <c r="P80" s="3288"/>
      <c r="Q80" s="3289"/>
      <c r="R80" s="3290">
        <f t="shared" si="14"/>
        <v>0</v>
      </c>
      <c r="S80" s="3291"/>
      <c r="T80" s="3292"/>
      <c r="U80" s="3287"/>
      <c r="V80" s="3288"/>
      <c r="W80" s="3289"/>
      <c r="X80" s="3290">
        <f t="shared" si="15"/>
        <v>0</v>
      </c>
      <c r="Y80" s="3291"/>
      <c r="Z80" s="3292"/>
      <c r="AA80" s="3287"/>
      <c r="AB80" s="3286"/>
      <c r="AC80" s="3289"/>
      <c r="AD80" s="3290">
        <f t="shared" si="16"/>
        <v>0</v>
      </c>
      <c r="AE80" s="3291"/>
      <c r="AF80" s="20"/>
      <c r="AG80" t="b">
        <f t="shared" si="17"/>
        <v>0</v>
      </c>
    </row>
    <row r="81" spans="1:34" ht="13.5" customHeight="1">
      <c r="A81" s="3295"/>
      <c r="B81" s="3286"/>
      <c r="C81" s="3287"/>
      <c r="D81" s="3288"/>
      <c r="E81" s="3289"/>
      <c r="F81" s="3290">
        <f t="shared" si="12"/>
        <v>0</v>
      </c>
      <c r="G81" s="3291"/>
      <c r="H81" s="3292"/>
      <c r="I81" s="3286"/>
      <c r="J81" s="3288"/>
      <c r="K81" s="3289"/>
      <c r="L81" s="3290">
        <f t="shared" si="13"/>
        <v>0</v>
      </c>
      <c r="M81" s="3291"/>
      <c r="N81" s="3292"/>
      <c r="O81" s="3286"/>
      <c r="P81" s="3288"/>
      <c r="Q81" s="3289"/>
      <c r="R81" s="3290">
        <f t="shared" si="14"/>
        <v>0</v>
      </c>
      <c r="S81" s="3291"/>
      <c r="T81" s="3292"/>
      <c r="U81" s="3287"/>
      <c r="V81" s="3288"/>
      <c r="W81" s="3289"/>
      <c r="X81" s="3290">
        <f t="shared" si="15"/>
        <v>0</v>
      </c>
      <c r="Y81" s="3291"/>
      <c r="Z81" s="3292"/>
      <c r="AA81" s="3287"/>
      <c r="AB81" s="3286"/>
      <c r="AC81" s="3289"/>
      <c r="AD81" s="3290">
        <f t="shared" si="16"/>
        <v>0</v>
      </c>
      <c r="AE81" s="3291"/>
      <c r="AF81" s="20"/>
      <c r="AG81" t="b">
        <f t="shared" si="17"/>
        <v>0</v>
      </c>
    </row>
    <row r="82" spans="1:34" ht="13.5" customHeight="1">
      <c r="A82" s="3295"/>
      <c r="B82" s="3286"/>
      <c r="C82" s="3287"/>
      <c r="D82" s="3288"/>
      <c r="E82" s="3289"/>
      <c r="F82" s="3290">
        <f t="shared" si="12"/>
        <v>0</v>
      </c>
      <c r="G82" s="3291"/>
      <c r="H82" s="3292"/>
      <c r="I82" s="3286"/>
      <c r="J82" s="3288"/>
      <c r="K82" s="3289"/>
      <c r="L82" s="3290">
        <f t="shared" si="13"/>
        <v>0</v>
      </c>
      <c r="M82" s="3291"/>
      <c r="N82" s="3292"/>
      <c r="O82" s="3286"/>
      <c r="P82" s="3288"/>
      <c r="Q82" s="3289"/>
      <c r="R82" s="3290">
        <f t="shared" si="14"/>
        <v>0</v>
      </c>
      <c r="S82" s="3291"/>
      <c r="T82" s="3292"/>
      <c r="U82" s="3287"/>
      <c r="V82" s="3288"/>
      <c r="W82" s="3289"/>
      <c r="X82" s="3290">
        <f t="shared" si="15"/>
        <v>0</v>
      </c>
      <c r="Y82" s="3291"/>
      <c r="Z82" s="3292"/>
      <c r="AA82" s="3287"/>
      <c r="AB82" s="3286"/>
      <c r="AC82" s="3289"/>
      <c r="AD82" s="3290">
        <f t="shared" si="16"/>
        <v>0</v>
      </c>
      <c r="AE82" s="3291"/>
      <c r="AF82" s="20"/>
      <c r="AG82" t="b">
        <f t="shared" si="17"/>
        <v>0</v>
      </c>
    </row>
    <row r="83" spans="1:34" ht="13.5" customHeight="1">
      <c r="A83" s="3295"/>
      <c r="B83" s="3286"/>
      <c r="C83" s="3287"/>
      <c r="D83" s="3288"/>
      <c r="E83" s="3289"/>
      <c r="F83" s="3290">
        <f t="shared" si="12"/>
        <v>0</v>
      </c>
      <c r="G83" s="3291"/>
      <c r="H83" s="3292"/>
      <c r="I83" s="3286"/>
      <c r="J83" s="3288"/>
      <c r="K83" s="3289"/>
      <c r="L83" s="3290">
        <f t="shared" si="13"/>
        <v>0</v>
      </c>
      <c r="M83" s="3291"/>
      <c r="N83" s="3292"/>
      <c r="O83" s="3286"/>
      <c r="P83" s="3288"/>
      <c r="Q83" s="3289"/>
      <c r="R83" s="3290">
        <f t="shared" si="14"/>
        <v>0</v>
      </c>
      <c r="S83" s="3291"/>
      <c r="T83" s="3292"/>
      <c r="U83" s="3287"/>
      <c r="V83" s="3288"/>
      <c r="W83" s="3289"/>
      <c r="X83" s="3290">
        <f t="shared" si="15"/>
        <v>0</v>
      </c>
      <c r="Y83" s="3291"/>
      <c r="Z83" s="3292"/>
      <c r="AA83" s="3287"/>
      <c r="AB83" s="3286"/>
      <c r="AC83" s="3289"/>
      <c r="AD83" s="3290">
        <f t="shared" si="16"/>
        <v>0</v>
      </c>
      <c r="AE83" s="3291"/>
      <c r="AF83" s="20"/>
      <c r="AG83" t="b">
        <f t="shared" si="17"/>
        <v>0</v>
      </c>
    </row>
    <row r="84" spans="1:34" ht="13.5" customHeight="1">
      <c r="A84" s="3296"/>
      <c r="B84" s="3293"/>
      <c r="C84" s="3279"/>
      <c r="D84" s="3280"/>
      <c r="E84" s="3281"/>
      <c r="F84" s="3138">
        <f t="shared" si="12"/>
        <v>0</v>
      </c>
      <c r="G84" s="3140"/>
      <c r="H84" s="3278"/>
      <c r="I84" s="3293"/>
      <c r="J84" s="3280"/>
      <c r="K84" s="3281"/>
      <c r="L84" s="3138">
        <f t="shared" si="13"/>
        <v>0</v>
      </c>
      <c r="M84" s="3140"/>
      <c r="N84" s="3278"/>
      <c r="O84" s="3293"/>
      <c r="P84" s="3280"/>
      <c r="Q84" s="3281"/>
      <c r="R84" s="3138">
        <f t="shared" si="14"/>
        <v>0</v>
      </c>
      <c r="S84" s="3140"/>
      <c r="T84" s="3278"/>
      <c r="U84" s="3279"/>
      <c r="V84" s="3280"/>
      <c r="W84" s="3281"/>
      <c r="X84" s="3138">
        <f t="shared" si="15"/>
        <v>0</v>
      </c>
      <c r="Y84" s="3140"/>
      <c r="Z84" s="3282"/>
      <c r="AA84" s="3283"/>
      <c r="AB84" s="3284"/>
      <c r="AC84" s="3285"/>
      <c r="AD84" s="3138">
        <f t="shared" si="16"/>
        <v>0</v>
      </c>
      <c r="AE84" s="3140"/>
      <c r="AF84" s="20"/>
      <c r="AG84" t="b">
        <f t="shared" si="17"/>
        <v>0</v>
      </c>
    </row>
    <row r="85" spans="1:34" ht="13.5" customHeight="1">
      <c r="A85" s="548" t="s">
        <v>1067</v>
      </c>
      <c r="B85" s="3275"/>
      <c r="C85" s="3276"/>
      <c r="D85" s="3276"/>
      <c r="E85" s="3276"/>
      <c r="F85" s="3276"/>
      <c r="G85" s="3277"/>
      <c r="H85" s="3275"/>
      <c r="I85" s="3276"/>
      <c r="J85" s="3276"/>
      <c r="K85" s="3276"/>
      <c r="L85" s="3276"/>
      <c r="M85" s="3277"/>
      <c r="N85" s="3275"/>
      <c r="O85" s="3276"/>
      <c r="P85" s="3276"/>
      <c r="Q85" s="3276"/>
      <c r="R85" s="3276"/>
      <c r="S85" s="3277"/>
      <c r="T85" s="3275"/>
      <c r="U85" s="3276"/>
      <c r="V85" s="3276"/>
      <c r="W85" s="3276"/>
      <c r="X85" s="3276"/>
      <c r="Y85" s="3277"/>
      <c r="Z85" s="3275"/>
      <c r="AA85" s="3276"/>
      <c r="AB85" s="3276"/>
      <c r="AC85" s="3276"/>
      <c r="AD85" s="3276"/>
      <c r="AE85" s="3277"/>
      <c r="AF85" s="547"/>
      <c r="AG85" t="b">
        <f>AG91</f>
        <v>0</v>
      </c>
    </row>
    <row r="86" spans="1:34" s="1941" customFormat="1" ht="13.5" customHeight="1">
      <c r="A86" s="1958" t="s">
        <v>1974</v>
      </c>
      <c r="B86" s="3265"/>
      <c r="C86" s="3266"/>
      <c r="D86" s="3266"/>
      <c r="E86" s="3266"/>
      <c r="F86" s="3266"/>
      <c r="G86" s="3267"/>
      <c r="H86" s="3265"/>
      <c r="I86" s="3266"/>
      <c r="J86" s="3266"/>
      <c r="K86" s="3266"/>
      <c r="L86" s="3266"/>
      <c r="M86" s="3267"/>
      <c r="N86" s="3265"/>
      <c r="O86" s="3266"/>
      <c r="P86" s="3266"/>
      <c r="Q86" s="3266"/>
      <c r="R86" s="3266"/>
      <c r="S86" s="3267"/>
      <c r="T86" s="3265"/>
      <c r="U86" s="3266"/>
      <c r="V86" s="3266"/>
      <c r="W86" s="3266"/>
      <c r="X86" s="3266"/>
      <c r="Y86" s="3267"/>
      <c r="Z86" s="3265"/>
      <c r="AA86" s="3266"/>
      <c r="AB86" s="3266"/>
      <c r="AC86" s="3266"/>
      <c r="AD86" s="3266"/>
      <c r="AE86" s="3267"/>
      <c r="AF86" s="547"/>
      <c r="AG86" s="1941" t="b">
        <f>AG91</f>
        <v>0</v>
      </c>
    </row>
    <row r="87" spans="1:34" ht="13.5" customHeight="1">
      <c r="A87" s="1959" t="s">
        <v>1975</v>
      </c>
      <c r="B87" s="3262"/>
      <c r="C87" s="3263"/>
      <c r="D87" s="3263"/>
      <c r="E87" s="3263"/>
      <c r="F87" s="3263"/>
      <c r="G87" s="3264"/>
      <c r="H87" s="3262"/>
      <c r="I87" s="3263"/>
      <c r="J87" s="3263"/>
      <c r="K87" s="3263"/>
      <c r="L87" s="3263"/>
      <c r="M87" s="3264"/>
      <c r="N87" s="3262"/>
      <c r="O87" s="3263"/>
      <c r="P87" s="3263"/>
      <c r="Q87" s="3263"/>
      <c r="R87" s="3263"/>
      <c r="S87" s="3264"/>
      <c r="T87" s="3262"/>
      <c r="U87" s="3263"/>
      <c r="V87" s="3263"/>
      <c r="W87" s="3263"/>
      <c r="X87" s="3263"/>
      <c r="Y87" s="3264"/>
      <c r="Z87" s="3262"/>
      <c r="AA87" s="3263"/>
      <c r="AB87" s="3263"/>
      <c r="AC87" s="3263"/>
      <c r="AD87" s="3263"/>
      <c r="AE87" s="3264"/>
      <c r="AF87" s="547"/>
      <c r="AG87" t="b">
        <f>AG91</f>
        <v>0</v>
      </c>
    </row>
    <row r="88" spans="1:34" ht="13.5" customHeight="1">
      <c r="A88" s="548" t="s">
        <v>1061</v>
      </c>
      <c r="B88" s="3271">
        <f>SUM(F69:F84)</f>
        <v>0</v>
      </c>
      <c r="C88" s="3272"/>
      <c r="D88" s="3272"/>
      <c r="E88" s="3272"/>
      <c r="F88" s="3272"/>
      <c r="G88" s="3273"/>
      <c r="H88" s="3271">
        <f>SUM(L69:L84)</f>
        <v>0</v>
      </c>
      <c r="I88" s="3272"/>
      <c r="J88" s="3272"/>
      <c r="K88" s="3272"/>
      <c r="L88" s="3272"/>
      <c r="M88" s="3273"/>
      <c r="N88" s="3271">
        <f>SUM(R69:R84)</f>
        <v>0</v>
      </c>
      <c r="O88" s="3272"/>
      <c r="P88" s="3272"/>
      <c r="Q88" s="3272"/>
      <c r="R88" s="3272"/>
      <c r="S88" s="3273"/>
      <c r="T88" s="3271">
        <f>SUM(X69:X84)</f>
        <v>0</v>
      </c>
      <c r="U88" s="3272"/>
      <c r="V88" s="3272"/>
      <c r="W88" s="3272"/>
      <c r="X88" s="3272"/>
      <c r="Y88" s="3273"/>
      <c r="Z88" s="3271">
        <f>SUM(AD69:AD84)</f>
        <v>0</v>
      </c>
      <c r="AA88" s="3272"/>
      <c r="AB88" s="3272"/>
      <c r="AC88" s="3272"/>
      <c r="AD88" s="3272"/>
      <c r="AE88" s="3273"/>
      <c r="AF88" s="20"/>
      <c r="AG88" t="b">
        <f>AG91</f>
        <v>0</v>
      </c>
    </row>
    <row r="89" spans="1:34" s="1941" customFormat="1" ht="14.25" customHeight="1" thickBot="1">
      <c r="A89" s="1951" t="s">
        <v>1970</v>
      </c>
      <c r="B89" s="3270"/>
      <c r="C89" s="3268"/>
      <c r="D89" s="3268"/>
      <c r="E89" s="1952" t="s">
        <v>1971</v>
      </c>
      <c r="F89" s="3268"/>
      <c r="G89" s="3269"/>
      <c r="H89" s="3270"/>
      <c r="I89" s="3268"/>
      <c r="J89" s="3268"/>
      <c r="K89" s="1952" t="s">
        <v>1971</v>
      </c>
      <c r="L89" s="3268"/>
      <c r="M89" s="3269"/>
      <c r="N89" s="3270"/>
      <c r="O89" s="3268"/>
      <c r="P89" s="3268"/>
      <c r="Q89" s="1952" t="s">
        <v>1971</v>
      </c>
      <c r="R89" s="3268"/>
      <c r="S89" s="3269"/>
      <c r="T89" s="3270"/>
      <c r="U89" s="3268"/>
      <c r="V89" s="3268"/>
      <c r="W89" s="1952" t="s">
        <v>1971</v>
      </c>
      <c r="X89" s="3268"/>
      <c r="Y89" s="3269"/>
      <c r="Z89" s="3270"/>
      <c r="AA89" s="3268"/>
      <c r="AB89" s="3268"/>
      <c r="AC89" s="1952" t="s">
        <v>1971</v>
      </c>
      <c r="AD89" s="3268"/>
      <c r="AE89" s="3269"/>
      <c r="AF89" s="1946"/>
      <c r="AG89" s="1941" t="b">
        <f>+AG91</f>
        <v>0</v>
      </c>
      <c r="AH89" s="1941" t="s">
        <v>1972</v>
      </c>
    </row>
    <row r="90" spans="1:34" ht="13.5" customHeight="1">
      <c r="A90" s="548" t="s">
        <v>1062</v>
      </c>
      <c r="B90" s="2971"/>
      <c r="C90" s="2972"/>
      <c r="D90" s="2972"/>
      <c r="E90" s="2972"/>
      <c r="F90" s="2972"/>
      <c r="G90" s="3274"/>
      <c r="H90" s="2971"/>
      <c r="I90" s="2972"/>
      <c r="J90" s="2972"/>
      <c r="K90" s="2972"/>
      <c r="L90" s="2972"/>
      <c r="M90" s="3274"/>
      <c r="N90" s="2971"/>
      <c r="O90" s="2972"/>
      <c r="P90" s="2972"/>
      <c r="Q90" s="2972"/>
      <c r="R90" s="2972"/>
      <c r="S90" s="3274"/>
      <c r="T90" s="2971"/>
      <c r="U90" s="2972"/>
      <c r="V90" s="2972"/>
      <c r="W90" s="2972"/>
      <c r="X90" s="2972"/>
      <c r="Y90" s="3274"/>
      <c r="Z90" s="2971"/>
      <c r="AA90" s="2972"/>
      <c r="AB90" s="2972"/>
      <c r="AC90" s="2972"/>
      <c r="AD90" s="2972"/>
      <c r="AE90" s="2972"/>
      <c r="AF90" s="549" t="s">
        <v>1068</v>
      </c>
      <c r="AG90" t="b">
        <f>AG91</f>
        <v>0</v>
      </c>
    </row>
    <row r="91" spans="1:34" ht="13.5" customHeight="1" thickBot="1">
      <c r="A91" s="548" t="s">
        <v>1069</v>
      </c>
      <c r="B91" s="3270">
        <f>ROUNDDOWN(B88*IF(F89&lt;&gt;0,SQRT(B89^2+F89^2)/F89,1)-B90,2)</f>
        <v>0</v>
      </c>
      <c r="C91" s="3268"/>
      <c r="D91" s="3268"/>
      <c r="E91" s="3268"/>
      <c r="F91" s="3268"/>
      <c r="G91" s="3269"/>
      <c r="H91" s="3270">
        <f>ROUNDDOWN(H88*IF(L89&lt;&gt;0,SQRT(H89^2+L89^2)/L89,1)-H90,2)</f>
        <v>0</v>
      </c>
      <c r="I91" s="3268"/>
      <c r="J91" s="3268"/>
      <c r="K91" s="3268"/>
      <c r="L91" s="3268"/>
      <c r="M91" s="3269"/>
      <c r="N91" s="3270">
        <f>ROUNDDOWN(N88*IF(R89&lt;&gt;0,SQRT(N89^2+R89^2)/R89,1)-N90,2)</f>
        <v>0</v>
      </c>
      <c r="O91" s="3268"/>
      <c r="P91" s="3268"/>
      <c r="Q91" s="3268"/>
      <c r="R91" s="3268"/>
      <c r="S91" s="3269"/>
      <c r="T91" s="3270">
        <f>ROUNDDOWN(T88*IF(X89&lt;&gt;0,SQRT(T89^2+X89^2)/X89,1)-T90,2)</f>
        <v>0</v>
      </c>
      <c r="U91" s="3268"/>
      <c r="V91" s="3268"/>
      <c r="W91" s="3268"/>
      <c r="X91" s="3268"/>
      <c r="Y91" s="3269"/>
      <c r="Z91" s="3270">
        <f>ROUNDDOWN(Z88*IF(AD89&lt;&gt;0,SQRT(Z89^2+AD89^2)/AD89,1)-Z90,2)</f>
        <v>0</v>
      </c>
      <c r="AA91" s="3268"/>
      <c r="AB91" s="3268"/>
      <c r="AC91" s="3268"/>
      <c r="AD91" s="3268"/>
      <c r="AE91" s="3269"/>
      <c r="AF91" s="550">
        <f>SUMIF(B85:AE85,"*",B91:AE91)-SUMIF(B85:AE85,"無し",B91:AE91)+SUMIF(B111:AE111,"*",B117:AE117)-SUMIF(B111:AE111,"無し",B117:AE117)</f>
        <v>0</v>
      </c>
      <c r="AG91" t="b">
        <f>SUM(A91:AF91)&lt;&gt;0</f>
        <v>0</v>
      </c>
    </row>
    <row r="92" spans="1:34" ht="13.5" customHeight="1">
      <c r="AG92" t="b">
        <f>AG117</f>
        <v>0</v>
      </c>
    </row>
    <row r="93" spans="1:34" ht="13.5" customHeight="1">
      <c r="A93" s="3294" t="s">
        <v>1070</v>
      </c>
      <c r="B93" s="3297" t="s">
        <v>1056</v>
      </c>
      <c r="C93" s="3298"/>
      <c r="D93" s="3298"/>
      <c r="E93" s="3298"/>
      <c r="F93" s="3298"/>
      <c r="G93" s="3299"/>
      <c r="H93" s="3297" t="s">
        <v>1056</v>
      </c>
      <c r="I93" s="3298"/>
      <c r="J93" s="3298"/>
      <c r="K93" s="3298"/>
      <c r="L93" s="3298"/>
      <c r="M93" s="3299"/>
      <c r="N93" s="3297" t="s">
        <v>1056</v>
      </c>
      <c r="O93" s="3298"/>
      <c r="P93" s="3298"/>
      <c r="Q93" s="3298"/>
      <c r="R93" s="3298"/>
      <c r="S93" s="3299"/>
      <c r="T93" s="3297" t="s">
        <v>1056</v>
      </c>
      <c r="U93" s="3298"/>
      <c r="V93" s="3298"/>
      <c r="W93" s="3298"/>
      <c r="X93" s="3298"/>
      <c r="Y93" s="3299"/>
      <c r="Z93" s="3297" t="s">
        <v>1056</v>
      </c>
      <c r="AA93" s="3298"/>
      <c r="AB93" s="3298"/>
      <c r="AC93" s="3298"/>
      <c r="AD93" s="3298"/>
      <c r="AE93" s="3299"/>
      <c r="AG93" t="b">
        <f>AG117</f>
        <v>0</v>
      </c>
    </row>
    <row r="94" spans="1:34" ht="13.5" customHeight="1">
      <c r="A94" s="3295"/>
      <c r="B94" s="543" t="s">
        <v>1057</v>
      </c>
      <c r="C94" s="543"/>
      <c r="D94" s="544" t="s">
        <v>1058</v>
      </c>
      <c r="E94" s="545"/>
      <c r="F94" s="546" t="s">
        <v>1059</v>
      </c>
      <c r="G94" s="543"/>
      <c r="H94" s="546" t="s">
        <v>1057</v>
      </c>
      <c r="I94" s="543"/>
      <c r="J94" s="544" t="s">
        <v>1058</v>
      </c>
      <c r="K94" s="545"/>
      <c r="L94" s="546" t="s">
        <v>1059</v>
      </c>
      <c r="M94" s="543"/>
      <c r="N94" s="546" t="s">
        <v>1057</v>
      </c>
      <c r="O94" s="543"/>
      <c r="P94" s="544" t="s">
        <v>1058</v>
      </c>
      <c r="Q94" s="545"/>
      <c r="R94" s="546" t="s">
        <v>1059</v>
      </c>
      <c r="S94" s="543"/>
      <c r="T94" s="546" t="s">
        <v>1057</v>
      </c>
      <c r="U94" s="543"/>
      <c r="V94" s="544" t="s">
        <v>1058</v>
      </c>
      <c r="W94" s="545"/>
      <c r="X94" s="546" t="s">
        <v>1059</v>
      </c>
      <c r="Y94" s="543"/>
      <c r="Z94" s="546" t="s">
        <v>1057</v>
      </c>
      <c r="AA94" s="543"/>
      <c r="AB94" s="544" t="s">
        <v>1058</v>
      </c>
      <c r="AC94" s="545"/>
      <c r="AD94" s="546" t="s">
        <v>1059</v>
      </c>
      <c r="AE94" s="545"/>
      <c r="AF94" s="547"/>
      <c r="AG94" t="b">
        <f>AG117</f>
        <v>0</v>
      </c>
    </row>
    <row r="95" spans="1:34" ht="13.5" customHeight="1">
      <c r="A95" s="3295"/>
      <c r="B95" s="3300"/>
      <c r="C95" s="3301"/>
      <c r="D95" s="3302"/>
      <c r="E95" s="3303"/>
      <c r="F95" s="3304">
        <f t="shared" ref="F95:F110" si="18">ROUNDDOWN(B95*D95,2)</f>
        <v>0</v>
      </c>
      <c r="G95" s="3134"/>
      <c r="H95" s="3307"/>
      <c r="I95" s="3300"/>
      <c r="J95" s="3302"/>
      <c r="K95" s="3303"/>
      <c r="L95" s="3304">
        <f t="shared" ref="L95:L110" si="19">ROUNDDOWN(H95*J95,2)</f>
        <v>0</v>
      </c>
      <c r="M95" s="3134"/>
      <c r="N95" s="3307"/>
      <c r="O95" s="3300"/>
      <c r="P95" s="3302"/>
      <c r="Q95" s="3303"/>
      <c r="R95" s="3304">
        <f t="shared" ref="R95:R110" si="20">ROUNDDOWN(N95*P95,2)</f>
        <v>0</v>
      </c>
      <c r="S95" s="3134"/>
      <c r="T95" s="3307"/>
      <c r="U95" s="3301"/>
      <c r="V95" s="3302"/>
      <c r="W95" s="3303"/>
      <c r="X95" s="3304">
        <f t="shared" ref="X95:X110" si="21">ROUNDDOWN(T95*V95,2)</f>
        <v>0</v>
      </c>
      <c r="Y95" s="3134"/>
      <c r="Z95" s="3307"/>
      <c r="AA95" s="3301"/>
      <c r="AB95" s="3300"/>
      <c r="AC95" s="3303"/>
      <c r="AD95" s="3305">
        <f t="shared" ref="AD95:AD110" si="22">ROUNDDOWN(Z95*AB95,2)</f>
        <v>0</v>
      </c>
      <c r="AE95" s="3306"/>
      <c r="AF95" s="20"/>
      <c r="AG95" t="b">
        <f t="shared" ref="AG95:AG110" si="23">SUM(B95:AE95)&lt;&gt;0</f>
        <v>0</v>
      </c>
    </row>
    <row r="96" spans="1:34" ht="13.5" customHeight="1">
      <c r="A96" s="3295"/>
      <c r="B96" s="3286"/>
      <c r="C96" s="3287"/>
      <c r="D96" s="3288"/>
      <c r="E96" s="3289"/>
      <c r="F96" s="3290">
        <f t="shared" si="18"/>
        <v>0</v>
      </c>
      <c r="G96" s="3291"/>
      <c r="H96" s="3292"/>
      <c r="I96" s="3286"/>
      <c r="J96" s="3288"/>
      <c r="K96" s="3289"/>
      <c r="L96" s="3290">
        <f t="shared" si="19"/>
        <v>0</v>
      </c>
      <c r="M96" s="3291"/>
      <c r="N96" s="3292"/>
      <c r="O96" s="3286"/>
      <c r="P96" s="3288"/>
      <c r="Q96" s="3289"/>
      <c r="R96" s="3290">
        <f t="shared" si="20"/>
        <v>0</v>
      </c>
      <c r="S96" s="3291"/>
      <c r="T96" s="3292"/>
      <c r="U96" s="3287"/>
      <c r="V96" s="3288"/>
      <c r="W96" s="3289"/>
      <c r="X96" s="3290">
        <f t="shared" si="21"/>
        <v>0</v>
      </c>
      <c r="Y96" s="3291"/>
      <c r="Z96" s="3292"/>
      <c r="AA96" s="3287"/>
      <c r="AB96" s="3286"/>
      <c r="AC96" s="3289"/>
      <c r="AD96" s="3290">
        <f t="shared" si="22"/>
        <v>0</v>
      </c>
      <c r="AE96" s="3291"/>
      <c r="AF96" s="20"/>
      <c r="AG96" t="b">
        <f t="shared" si="23"/>
        <v>0</v>
      </c>
    </row>
    <row r="97" spans="1:33" ht="13.5" customHeight="1">
      <c r="A97" s="3295"/>
      <c r="B97" s="3286"/>
      <c r="C97" s="3287"/>
      <c r="D97" s="3288"/>
      <c r="E97" s="3289"/>
      <c r="F97" s="3290">
        <f t="shared" si="18"/>
        <v>0</v>
      </c>
      <c r="G97" s="3291"/>
      <c r="H97" s="3292"/>
      <c r="I97" s="3286"/>
      <c r="J97" s="3288"/>
      <c r="K97" s="3289"/>
      <c r="L97" s="3290">
        <f t="shared" si="19"/>
        <v>0</v>
      </c>
      <c r="M97" s="3291"/>
      <c r="N97" s="3292"/>
      <c r="O97" s="3286"/>
      <c r="P97" s="3288"/>
      <c r="Q97" s="3289"/>
      <c r="R97" s="3290">
        <f t="shared" si="20"/>
        <v>0</v>
      </c>
      <c r="S97" s="3291"/>
      <c r="T97" s="3292"/>
      <c r="U97" s="3287"/>
      <c r="V97" s="3288"/>
      <c r="W97" s="3289"/>
      <c r="X97" s="3290">
        <f t="shared" si="21"/>
        <v>0</v>
      </c>
      <c r="Y97" s="3291"/>
      <c r="Z97" s="3292"/>
      <c r="AA97" s="3287"/>
      <c r="AB97" s="3286"/>
      <c r="AC97" s="3289"/>
      <c r="AD97" s="3290">
        <f t="shared" si="22"/>
        <v>0</v>
      </c>
      <c r="AE97" s="3291"/>
      <c r="AF97" s="20"/>
      <c r="AG97" t="b">
        <f t="shared" si="23"/>
        <v>0</v>
      </c>
    </row>
    <row r="98" spans="1:33" ht="13.5" customHeight="1">
      <c r="A98" s="3295"/>
      <c r="B98" s="3286"/>
      <c r="C98" s="3287"/>
      <c r="D98" s="3288"/>
      <c r="E98" s="3289"/>
      <c r="F98" s="3290">
        <f t="shared" si="18"/>
        <v>0</v>
      </c>
      <c r="G98" s="3291"/>
      <c r="H98" s="3292"/>
      <c r="I98" s="3286"/>
      <c r="J98" s="3288"/>
      <c r="K98" s="3289"/>
      <c r="L98" s="3290">
        <f t="shared" si="19"/>
        <v>0</v>
      </c>
      <c r="M98" s="3291"/>
      <c r="N98" s="3292"/>
      <c r="O98" s="3286"/>
      <c r="P98" s="3288"/>
      <c r="Q98" s="3289"/>
      <c r="R98" s="3290">
        <f t="shared" si="20"/>
        <v>0</v>
      </c>
      <c r="S98" s="3291"/>
      <c r="T98" s="3292"/>
      <c r="U98" s="3287"/>
      <c r="V98" s="3288"/>
      <c r="W98" s="3289"/>
      <c r="X98" s="3290">
        <f t="shared" si="21"/>
        <v>0</v>
      </c>
      <c r="Y98" s="3291"/>
      <c r="Z98" s="3292"/>
      <c r="AA98" s="3287"/>
      <c r="AB98" s="3286"/>
      <c r="AC98" s="3289"/>
      <c r="AD98" s="3290">
        <f t="shared" si="22"/>
        <v>0</v>
      </c>
      <c r="AE98" s="3291"/>
      <c r="AF98" s="20"/>
      <c r="AG98" t="b">
        <f t="shared" si="23"/>
        <v>0</v>
      </c>
    </row>
    <row r="99" spans="1:33" ht="13.5" customHeight="1">
      <c r="A99" s="3295"/>
      <c r="B99" s="3286"/>
      <c r="C99" s="3287"/>
      <c r="D99" s="3288"/>
      <c r="E99" s="3289"/>
      <c r="F99" s="3290">
        <f t="shared" si="18"/>
        <v>0</v>
      </c>
      <c r="G99" s="3291"/>
      <c r="H99" s="3292"/>
      <c r="I99" s="3286"/>
      <c r="J99" s="3288"/>
      <c r="K99" s="3289"/>
      <c r="L99" s="3290">
        <f t="shared" si="19"/>
        <v>0</v>
      </c>
      <c r="M99" s="3291"/>
      <c r="N99" s="3292"/>
      <c r="O99" s="3286"/>
      <c r="P99" s="3288"/>
      <c r="Q99" s="3289"/>
      <c r="R99" s="3290">
        <f t="shared" si="20"/>
        <v>0</v>
      </c>
      <c r="S99" s="3291"/>
      <c r="T99" s="3292"/>
      <c r="U99" s="3287"/>
      <c r="V99" s="3288"/>
      <c r="W99" s="3289"/>
      <c r="X99" s="3290">
        <f t="shared" si="21"/>
        <v>0</v>
      </c>
      <c r="Y99" s="3291"/>
      <c r="Z99" s="3292"/>
      <c r="AA99" s="3287"/>
      <c r="AB99" s="3286"/>
      <c r="AC99" s="3289"/>
      <c r="AD99" s="3290">
        <f t="shared" si="22"/>
        <v>0</v>
      </c>
      <c r="AE99" s="3291"/>
      <c r="AF99" s="20"/>
      <c r="AG99" t="b">
        <f t="shared" si="23"/>
        <v>0</v>
      </c>
    </row>
    <row r="100" spans="1:33" ht="13.5" customHeight="1">
      <c r="A100" s="3295"/>
      <c r="B100" s="3286"/>
      <c r="C100" s="3287"/>
      <c r="D100" s="3288"/>
      <c r="E100" s="3289"/>
      <c r="F100" s="3290">
        <f t="shared" si="18"/>
        <v>0</v>
      </c>
      <c r="G100" s="3291"/>
      <c r="H100" s="3292"/>
      <c r="I100" s="3286"/>
      <c r="J100" s="3288"/>
      <c r="K100" s="3289"/>
      <c r="L100" s="3290">
        <f t="shared" si="19"/>
        <v>0</v>
      </c>
      <c r="M100" s="3291"/>
      <c r="N100" s="3292"/>
      <c r="O100" s="3286"/>
      <c r="P100" s="3288"/>
      <c r="Q100" s="3289"/>
      <c r="R100" s="3290">
        <f t="shared" si="20"/>
        <v>0</v>
      </c>
      <c r="S100" s="3291"/>
      <c r="T100" s="3292"/>
      <c r="U100" s="3287"/>
      <c r="V100" s="3288"/>
      <c r="W100" s="3289"/>
      <c r="X100" s="3290">
        <f t="shared" si="21"/>
        <v>0</v>
      </c>
      <c r="Y100" s="3291"/>
      <c r="Z100" s="3292"/>
      <c r="AA100" s="3287"/>
      <c r="AB100" s="3286"/>
      <c r="AC100" s="3289"/>
      <c r="AD100" s="3290">
        <f t="shared" si="22"/>
        <v>0</v>
      </c>
      <c r="AE100" s="3291"/>
      <c r="AF100" s="20"/>
      <c r="AG100" t="b">
        <f t="shared" si="23"/>
        <v>0</v>
      </c>
    </row>
    <row r="101" spans="1:33" ht="13.5" customHeight="1">
      <c r="A101" s="3295"/>
      <c r="B101" s="3286"/>
      <c r="C101" s="3287"/>
      <c r="D101" s="3288"/>
      <c r="E101" s="3289"/>
      <c r="F101" s="3290">
        <f t="shared" si="18"/>
        <v>0</v>
      </c>
      <c r="G101" s="3291"/>
      <c r="H101" s="3292"/>
      <c r="I101" s="3286"/>
      <c r="J101" s="3288"/>
      <c r="K101" s="3289"/>
      <c r="L101" s="3290">
        <f t="shared" si="19"/>
        <v>0</v>
      </c>
      <c r="M101" s="3291"/>
      <c r="N101" s="3292"/>
      <c r="O101" s="3286"/>
      <c r="P101" s="3288"/>
      <c r="Q101" s="3289"/>
      <c r="R101" s="3290">
        <f t="shared" si="20"/>
        <v>0</v>
      </c>
      <c r="S101" s="3291"/>
      <c r="T101" s="3292"/>
      <c r="U101" s="3287"/>
      <c r="V101" s="3288"/>
      <c r="W101" s="3289"/>
      <c r="X101" s="3290">
        <f t="shared" si="21"/>
        <v>0</v>
      </c>
      <c r="Y101" s="3291"/>
      <c r="Z101" s="3292"/>
      <c r="AA101" s="3287"/>
      <c r="AB101" s="3286"/>
      <c r="AC101" s="3289"/>
      <c r="AD101" s="3290">
        <f t="shared" si="22"/>
        <v>0</v>
      </c>
      <c r="AE101" s="3291"/>
      <c r="AF101" s="20"/>
      <c r="AG101" t="b">
        <f t="shared" si="23"/>
        <v>0</v>
      </c>
    </row>
    <row r="102" spans="1:33" ht="13.5" customHeight="1">
      <c r="A102" s="3295"/>
      <c r="B102" s="3286"/>
      <c r="C102" s="3287"/>
      <c r="D102" s="3288"/>
      <c r="E102" s="3289"/>
      <c r="F102" s="3290">
        <f t="shared" si="18"/>
        <v>0</v>
      </c>
      <c r="G102" s="3291"/>
      <c r="H102" s="3292"/>
      <c r="I102" s="3286"/>
      <c r="J102" s="3288"/>
      <c r="K102" s="3289"/>
      <c r="L102" s="3290">
        <f t="shared" si="19"/>
        <v>0</v>
      </c>
      <c r="M102" s="3291"/>
      <c r="N102" s="3292"/>
      <c r="O102" s="3286"/>
      <c r="P102" s="3288"/>
      <c r="Q102" s="3289"/>
      <c r="R102" s="3290">
        <f t="shared" si="20"/>
        <v>0</v>
      </c>
      <c r="S102" s="3291"/>
      <c r="T102" s="3292"/>
      <c r="U102" s="3287"/>
      <c r="V102" s="3288"/>
      <c r="W102" s="3289"/>
      <c r="X102" s="3290">
        <f t="shared" si="21"/>
        <v>0</v>
      </c>
      <c r="Y102" s="3291"/>
      <c r="Z102" s="3292"/>
      <c r="AA102" s="3287"/>
      <c r="AB102" s="3286"/>
      <c r="AC102" s="3289"/>
      <c r="AD102" s="3290">
        <f t="shared" si="22"/>
        <v>0</v>
      </c>
      <c r="AE102" s="3291"/>
      <c r="AF102" s="20"/>
      <c r="AG102" t="b">
        <f t="shared" si="23"/>
        <v>0</v>
      </c>
    </row>
    <row r="103" spans="1:33" ht="13.5" customHeight="1">
      <c r="A103" s="3295"/>
      <c r="B103" s="3286"/>
      <c r="C103" s="3287"/>
      <c r="D103" s="3288"/>
      <c r="E103" s="3289"/>
      <c r="F103" s="3290">
        <f t="shared" si="18"/>
        <v>0</v>
      </c>
      <c r="G103" s="3291"/>
      <c r="H103" s="3292"/>
      <c r="I103" s="3286"/>
      <c r="J103" s="3288"/>
      <c r="K103" s="3289"/>
      <c r="L103" s="3290">
        <f t="shared" si="19"/>
        <v>0</v>
      </c>
      <c r="M103" s="3291"/>
      <c r="N103" s="3292"/>
      <c r="O103" s="3286"/>
      <c r="P103" s="3288"/>
      <c r="Q103" s="3289"/>
      <c r="R103" s="3290">
        <f t="shared" si="20"/>
        <v>0</v>
      </c>
      <c r="S103" s="3291"/>
      <c r="T103" s="3292"/>
      <c r="U103" s="3287"/>
      <c r="V103" s="3288"/>
      <c r="W103" s="3289"/>
      <c r="X103" s="3290">
        <f t="shared" si="21"/>
        <v>0</v>
      </c>
      <c r="Y103" s="3291"/>
      <c r="Z103" s="3292"/>
      <c r="AA103" s="3287"/>
      <c r="AB103" s="3286"/>
      <c r="AC103" s="3289"/>
      <c r="AD103" s="3290">
        <f t="shared" si="22"/>
        <v>0</v>
      </c>
      <c r="AE103" s="3291"/>
      <c r="AF103" s="20"/>
      <c r="AG103" t="b">
        <f t="shared" si="23"/>
        <v>0</v>
      </c>
    </row>
    <row r="104" spans="1:33" ht="13.5" customHeight="1">
      <c r="A104" s="3295"/>
      <c r="B104" s="3286"/>
      <c r="C104" s="3287"/>
      <c r="D104" s="3288"/>
      <c r="E104" s="3289"/>
      <c r="F104" s="3290">
        <f t="shared" si="18"/>
        <v>0</v>
      </c>
      <c r="G104" s="3291"/>
      <c r="H104" s="3292"/>
      <c r="I104" s="3286"/>
      <c r="J104" s="3288"/>
      <c r="K104" s="3289"/>
      <c r="L104" s="3290">
        <f t="shared" si="19"/>
        <v>0</v>
      </c>
      <c r="M104" s="3291"/>
      <c r="N104" s="3292"/>
      <c r="O104" s="3286"/>
      <c r="P104" s="3288"/>
      <c r="Q104" s="3289"/>
      <c r="R104" s="3290">
        <f t="shared" si="20"/>
        <v>0</v>
      </c>
      <c r="S104" s="3291"/>
      <c r="T104" s="3292"/>
      <c r="U104" s="3287"/>
      <c r="V104" s="3288"/>
      <c r="W104" s="3289"/>
      <c r="X104" s="3290">
        <f t="shared" si="21"/>
        <v>0</v>
      </c>
      <c r="Y104" s="3291"/>
      <c r="Z104" s="3292"/>
      <c r="AA104" s="3287"/>
      <c r="AB104" s="3286"/>
      <c r="AC104" s="3289"/>
      <c r="AD104" s="3290">
        <f t="shared" si="22"/>
        <v>0</v>
      </c>
      <c r="AE104" s="3291"/>
      <c r="AF104" s="20"/>
      <c r="AG104" t="b">
        <f t="shared" si="23"/>
        <v>0</v>
      </c>
    </row>
    <row r="105" spans="1:33" ht="13.5" customHeight="1">
      <c r="A105" s="3295"/>
      <c r="B105" s="3286"/>
      <c r="C105" s="3287"/>
      <c r="D105" s="3288"/>
      <c r="E105" s="3289"/>
      <c r="F105" s="3290">
        <f t="shared" si="18"/>
        <v>0</v>
      </c>
      <c r="G105" s="3291"/>
      <c r="H105" s="3292"/>
      <c r="I105" s="3286"/>
      <c r="J105" s="3288"/>
      <c r="K105" s="3289"/>
      <c r="L105" s="3290">
        <f t="shared" si="19"/>
        <v>0</v>
      </c>
      <c r="M105" s="3291"/>
      <c r="N105" s="3292"/>
      <c r="O105" s="3286"/>
      <c r="P105" s="3288"/>
      <c r="Q105" s="3289"/>
      <c r="R105" s="3290">
        <f t="shared" si="20"/>
        <v>0</v>
      </c>
      <c r="S105" s="3291"/>
      <c r="T105" s="3292"/>
      <c r="U105" s="3287"/>
      <c r="V105" s="3288"/>
      <c r="W105" s="3289"/>
      <c r="X105" s="3290">
        <f t="shared" si="21"/>
        <v>0</v>
      </c>
      <c r="Y105" s="3291"/>
      <c r="Z105" s="3292"/>
      <c r="AA105" s="3287"/>
      <c r="AB105" s="3286"/>
      <c r="AC105" s="3289"/>
      <c r="AD105" s="3290">
        <f t="shared" si="22"/>
        <v>0</v>
      </c>
      <c r="AE105" s="3291"/>
      <c r="AF105" s="20"/>
      <c r="AG105" t="b">
        <f t="shared" si="23"/>
        <v>0</v>
      </c>
    </row>
    <row r="106" spans="1:33" ht="13.5" customHeight="1">
      <c r="A106" s="3295"/>
      <c r="B106" s="3286"/>
      <c r="C106" s="3287"/>
      <c r="D106" s="3288"/>
      <c r="E106" s="3289"/>
      <c r="F106" s="3290">
        <f t="shared" si="18"/>
        <v>0</v>
      </c>
      <c r="G106" s="3291"/>
      <c r="H106" s="3292"/>
      <c r="I106" s="3286"/>
      <c r="J106" s="3288"/>
      <c r="K106" s="3289"/>
      <c r="L106" s="3290">
        <f t="shared" si="19"/>
        <v>0</v>
      </c>
      <c r="M106" s="3291"/>
      <c r="N106" s="3292"/>
      <c r="O106" s="3286"/>
      <c r="P106" s="3288"/>
      <c r="Q106" s="3289"/>
      <c r="R106" s="3290">
        <f t="shared" si="20"/>
        <v>0</v>
      </c>
      <c r="S106" s="3291"/>
      <c r="T106" s="3292"/>
      <c r="U106" s="3287"/>
      <c r="V106" s="3288"/>
      <c r="W106" s="3289"/>
      <c r="X106" s="3290">
        <f t="shared" si="21"/>
        <v>0</v>
      </c>
      <c r="Y106" s="3291"/>
      <c r="Z106" s="3292"/>
      <c r="AA106" s="3287"/>
      <c r="AB106" s="3286"/>
      <c r="AC106" s="3289"/>
      <c r="AD106" s="3290">
        <f t="shared" si="22"/>
        <v>0</v>
      </c>
      <c r="AE106" s="3291"/>
      <c r="AF106" s="20"/>
      <c r="AG106" t="b">
        <f t="shared" si="23"/>
        <v>0</v>
      </c>
    </row>
    <row r="107" spans="1:33" ht="13.5" customHeight="1">
      <c r="A107" s="3295"/>
      <c r="B107" s="3286"/>
      <c r="C107" s="3287"/>
      <c r="D107" s="3288"/>
      <c r="E107" s="3289"/>
      <c r="F107" s="3290">
        <f t="shared" si="18"/>
        <v>0</v>
      </c>
      <c r="G107" s="3291"/>
      <c r="H107" s="3292"/>
      <c r="I107" s="3286"/>
      <c r="J107" s="3288"/>
      <c r="K107" s="3289"/>
      <c r="L107" s="3290">
        <f t="shared" si="19"/>
        <v>0</v>
      </c>
      <c r="M107" s="3291"/>
      <c r="N107" s="3292"/>
      <c r="O107" s="3286"/>
      <c r="P107" s="3288"/>
      <c r="Q107" s="3289"/>
      <c r="R107" s="3290">
        <f t="shared" si="20"/>
        <v>0</v>
      </c>
      <c r="S107" s="3291"/>
      <c r="T107" s="3292"/>
      <c r="U107" s="3287"/>
      <c r="V107" s="3288"/>
      <c r="W107" s="3289"/>
      <c r="X107" s="3290">
        <f t="shared" si="21"/>
        <v>0</v>
      </c>
      <c r="Y107" s="3291"/>
      <c r="Z107" s="3292"/>
      <c r="AA107" s="3287"/>
      <c r="AB107" s="3286"/>
      <c r="AC107" s="3289"/>
      <c r="AD107" s="3290">
        <f t="shared" si="22"/>
        <v>0</v>
      </c>
      <c r="AE107" s="3291"/>
      <c r="AF107" s="20"/>
      <c r="AG107" t="b">
        <f t="shared" si="23"/>
        <v>0</v>
      </c>
    </row>
    <row r="108" spans="1:33" ht="13.5" customHeight="1">
      <c r="A108" s="3295"/>
      <c r="B108" s="3286"/>
      <c r="C108" s="3287"/>
      <c r="D108" s="3288"/>
      <c r="E108" s="3289"/>
      <c r="F108" s="3290">
        <f t="shared" si="18"/>
        <v>0</v>
      </c>
      <c r="G108" s="3291"/>
      <c r="H108" s="3292"/>
      <c r="I108" s="3286"/>
      <c r="J108" s="3288"/>
      <c r="K108" s="3289"/>
      <c r="L108" s="3290">
        <f t="shared" si="19"/>
        <v>0</v>
      </c>
      <c r="M108" s="3291"/>
      <c r="N108" s="3292"/>
      <c r="O108" s="3286"/>
      <c r="P108" s="3288"/>
      <c r="Q108" s="3289"/>
      <c r="R108" s="3290">
        <f t="shared" si="20"/>
        <v>0</v>
      </c>
      <c r="S108" s="3291"/>
      <c r="T108" s="3292"/>
      <c r="U108" s="3287"/>
      <c r="V108" s="3288"/>
      <c r="W108" s="3289"/>
      <c r="X108" s="3290">
        <f t="shared" si="21"/>
        <v>0</v>
      </c>
      <c r="Y108" s="3291"/>
      <c r="Z108" s="3292"/>
      <c r="AA108" s="3287"/>
      <c r="AB108" s="3286"/>
      <c r="AC108" s="3289"/>
      <c r="AD108" s="3290">
        <f t="shared" si="22"/>
        <v>0</v>
      </c>
      <c r="AE108" s="3291"/>
      <c r="AF108" s="20"/>
      <c r="AG108" t="b">
        <f t="shared" si="23"/>
        <v>0</v>
      </c>
    </row>
    <row r="109" spans="1:33" ht="13.5" customHeight="1">
      <c r="A109" s="3295"/>
      <c r="B109" s="3286"/>
      <c r="C109" s="3287"/>
      <c r="D109" s="3288"/>
      <c r="E109" s="3289"/>
      <c r="F109" s="3290">
        <f t="shared" si="18"/>
        <v>0</v>
      </c>
      <c r="G109" s="3291"/>
      <c r="H109" s="3292"/>
      <c r="I109" s="3286"/>
      <c r="J109" s="3288"/>
      <c r="K109" s="3289"/>
      <c r="L109" s="3290">
        <f t="shared" si="19"/>
        <v>0</v>
      </c>
      <c r="M109" s="3291"/>
      <c r="N109" s="3292"/>
      <c r="O109" s="3286"/>
      <c r="P109" s="3288"/>
      <c r="Q109" s="3289"/>
      <c r="R109" s="3290">
        <f t="shared" si="20"/>
        <v>0</v>
      </c>
      <c r="S109" s="3291"/>
      <c r="T109" s="3292"/>
      <c r="U109" s="3287"/>
      <c r="V109" s="3288"/>
      <c r="W109" s="3289"/>
      <c r="X109" s="3290">
        <f t="shared" si="21"/>
        <v>0</v>
      </c>
      <c r="Y109" s="3291"/>
      <c r="Z109" s="3292"/>
      <c r="AA109" s="3287"/>
      <c r="AB109" s="3286"/>
      <c r="AC109" s="3289"/>
      <c r="AD109" s="3290">
        <f t="shared" si="22"/>
        <v>0</v>
      </c>
      <c r="AE109" s="3291"/>
      <c r="AF109" s="20"/>
      <c r="AG109" t="b">
        <f t="shared" si="23"/>
        <v>0</v>
      </c>
    </row>
    <row r="110" spans="1:33" ht="13.5" customHeight="1">
      <c r="A110" s="3296"/>
      <c r="B110" s="3293"/>
      <c r="C110" s="3279"/>
      <c r="D110" s="3280"/>
      <c r="E110" s="3281"/>
      <c r="F110" s="3138">
        <f t="shared" si="18"/>
        <v>0</v>
      </c>
      <c r="G110" s="3140"/>
      <c r="H110" s="3278"/>
      <c r="I110" s="3293"/>
      <c r="J110" s="3280"/>
      <c r="K110" s="3281"/>
      <c r="L110" s="3138">
        <f t="shared" si="19"/>
        <v>0</v>
      </c>
      <c r="M110" s="3140"/>
      <c r="N110" s="3278"/>
      <c r="O110" s="3293"/>
      <c r="P110" s="3280"/>
      <c r="Q110" s="3281"/>
      <c r="R110" s="3138">
        <f t="shared" si="20"/>
        <v>0</v>
      </c>
      <c r="S110" s="3140"/>
      <c r="T110" s="3278"/>
      <c r="U110" s="3279"/>
      <c r="V110" s="3280"/>
      <c r="W110" s="3281"/>
      <c r="X110" s="3138">
        <f t="shared" si="21"/>
        <v>0</v>
      </c>
      <c r="Y110" s="3140"/>
      <c r="Z110" s="3282"/>
      <c r="AA110" s="3283"/>
      <c r="AB110" s="3284"/>
      <c r="AC110" s="3285"/>
      <c r="AD110" s="3138">
        <f t="shared" si="22"/>
        <v>0</v>
      </c>
      <c r="AE110" s="3140"/>
      <c r="AF110" s="20"/>
      <c r="AG110" t="b">
        <f t="shared" si="23"/>
        <v>0</v>
      </c>
    </row>
    <row r="111" spans="1:33" s="1941" customFormat="1" ht="13.5" customHeight="1">
      <c r="A111" s="548" t="s">
        <v>1067</v>
      </c>
      <c r="B111" s="3275"/>
      <c r="C111" s="3276"/>
      <c r="D111" s="3276"/>
      <c r="E111" s="3276"/>
      <c r="F111" s="3276"/>
      <c r="G111" s="3277"/>
      <c r="H111" s="3275"/>
      <c r="I111" s="3276"/>
      <c r="J111" s="3276"/>
      <c r="K111" s="3276"/>
      <c r="L111" s="3276"/>
      <c r="M111" s="3277"/>
      <c r="N111" s="3275"/>
      <c r="O111" s="3276"/>
      <c r="P111" s="3276"/>
      <c r="Q111" s="3276"/>
      <c r="R111" s="3276"/>
      <c r="S111" s="3277"/>
      <c r="T111" s="3275"/>
      <c r="U111" s="3276"/>
      <c r="V111" s="3276"/>
      <c r="W111" s="3276"/>
      <c r="X111" s="3276"/>
      <c r="Y111" s="3277"/>
      <c r="Z111" s="3275"/>
      <c r="AA111" s="3276"/>
      <c r="AB111" s="3276"/>
      <c r="AC111" s="3276"/>
      <c r="AD111" s="3276"/>
      <c r="AE111" s="3277"/>
      <c r="AF111" s="547"/>
      <c r="AG111" s="1941" t="b">
        <f>AG117</f>
        <v>0</v>
      </c>
    </row>
    <row r="112" spans="1:33" s="1941" customFormat="1" ht="13.5" customHeight="1">
      <c r="A112" s="1958" t="s">
        <v>1974</v>
      </c>
      <c r="B112" s="3265"/>
      <c r="C112" s="3266"/>
      <c r="D112" s="3266"/>
      <c r="E112" s="3266"/>
      <c r="F112" s="3266"/>
      <c r="G112" s="3267"/>
      <c r="H112" s="3265"/>
      <c r="I112" s="3266"/>
      <c r="J112" s="3266"/>
      <c r="K112" s="3266"/>
      <c r="L112" s="3266"/>
      <c r="M112" s="3267"/>
      <c r="N112" s="3265"/>
      <c r="O112" s="3266"/>
      <c r="P112" s="3266"/>
      <c r="Q112" s="3266"/>
      <c r="R112" s="3266"/>
      <c r="S112" s="3267"/>
      <c r="T112" s="3265"/>
      <c r="U112" s="3266"/>
      <c r="V112" s="3266"/>
      <c r="W112" s="3266"/>
      <c r="X112" s="3266"/>
      <c r="Y112" s="3267"/>
      <c r="Z112" s="3265"/>
      <c r="AA112" s="3266"/>
      <c r="AB112" s="3266"/>
      <c r="AC112" s="3266"/>
      <c r="AD112" s="3266"/>
      <c r="AE112" s="3267"/>
      <c r="AF112" s="547"/>
      <c r="AG112" s="1941" t="b">
        <f>AG117</f>
        <v>0</v>
      </c>
    </row>
    <row r="113" spans="1:34" s="1941" customFormat="1" ht="13.5" customHeight="1">
      <c r="A113" s="1959" t="s">
        <v>1975</v>
      </c>
      <c r="B113" s="3262"/>
      <c r="C113" s="3263"/>
      <c r="D113" s="3263"/>
      <c r="E113" s="3263"/>
      <c r="F113" s="3263"/>
      <c r="G113" s="3264"/>
      <c r="H113" s="3262"/>
      <c r="I113" s="3263"/>
      <c r="J113" s="3263"/>
      <c r="K113" s="3263"/>
      <c r="L113" s="3263"/>
      <c r="M113" s="3264"/>
      <c r="N113" s="3262"/>
      <c r="O113" s="3263"/>
      <c r="P113" s="3263"/>
      <c r="Q113" s="3263"/>
      <c r="R113" s="3263"/>
      <c r="S113" s="3264"/>
      <c r="T113" s="3262"/>
      <c r="U113" s="3263"/>
      <c r="V113" s="3263"/>
      <c r="W113" s="3263"/>
      <c r="X113" s="3263"/>
      <c r="Y113" s="3264"/>
      <c r="Z113" s="3262"/>
      <c r="AA113" s="3263"/>
      <c r="AB113" s="3263"/>
      <c r="AC113" s="3263"/>
      <c r="AD113" s="3263"/>
      <c r="AE113" s="3264"/>
      <c r="AF113" s="547"/>
      <c r="AG113" s="1941" t="b">
        <f>AG117</f>
        <v>0</v>
      </c>
    </row>
    <row r="114" spans="1:34" ht="13.5" customHeight="1">
      <c r="A114" s="548" t="s">
        <v>1061</v>
      </c>
      <c r="B114" s="3271">
        <f>SUM(F95:F110)</f>
        <v>0</v>
      </c>
      <c r="C114" s="3272"/>
      <c r="D114" s="3272"/>
      <c r="E114" s="3272"/>
      <c r="F114" s="3272"/>
      <c r="G114" s="3273"/>
      <c r="H114" s="3271">
        <f>SUM(L95:L110)</f>
        <v>0</v>
      </c>
      <c r="I114" s="3272"/>
      <c r="J114" s="3272"/>
      <c r="K114" s="3272"/>
      <c r="L114" s="3272"/>
      <c r="M114" s="3273"/>
      <c r="N114" s="3271">
        <f>SUM(R95:R110)</f>
        <v>0</v>
      </c>
      <c r="O114" s="3272"/>
      <c r="P114" s="3272"/>
      <c r="Q114" s="3272"/>
      <c r="R114" s="3272"/>
      <c r="S114" s="3273"/>
      <c r="T114" s="3271">
        <f>SUM(X95:X110)</f>
        <v>0</v>
      </c>
      <c r="U114" s="3272"/>
      <c r="V114" s="3272"/>
      <c r="W114" s="3272"/>
      <c r="X114" s="3272"/>
      <c r="Y114" s="3273"/>
      <c r="Z114" s="3271">
        <f>SUM(AD95:AD110)</f>
        <v>0</v>
      </c>
      <c r="AA114" s="3272"/>
      <c r="AB114" s="3272"/>
      <c r="AC114" s="3272"/>
      <c r="AD114" s="3272"/>
      <c r="AE114" s="3273"/>
      <c r="AF114" s="547"/>
      <c r="AG114" t="b">
        <f>AG117</f>
        <v>0</v>
      </c>
    </row>
    <row r="115" spans="1:34" s="1941" customFormat="1" ht="14.25" customHeight="1">
      <c r="A115" s="1951" t="s">
        <v>1970</v>
      </c>
      <c r="B115" s="3270">
        <v>0</v>
      </c>
      <c r="C115" s="3268"/>
      <c r="D115" s="3268"/>
      <c r="E115" s="1952" t="s">
        <v>1971</v>
      </c>
      <c r="F115" s="3268">
        <v>10</v>
      </c>
      <c r="G115" s="3269"/>
      <c r="H115" s="3270">
        <v>0</v>
      </c>
      <c r="I115" s="3268"/>
      <c r="J115" s="3268"/>
      <c r="K115" s="1952" t="s">
        <v>1971</v>
      </c>
      <c r="L115" s="3268">
        <v>10</v>
      </c>
      <c r="M115" s="3269"/>
      <c r="N115" s="3270">
        <v>0</v>
      </c>
      <c r="O115" s="3268"/>
      <c r="P115" s="3268"/>
      <c r="Q115" s="1952" t="s">
        <v>1971</v>
      </c>
      <c r="R115" s="3268">
        <v>10</v>
      </c>
      <c r="S115" s="3269"/>
      <c r="T115" s="3270">
        <v>0</v>
      </c>
      <c r="U115" s="3268"/>
      <c r="V115" s="3268"/>
      <c r="W115" s="1952" t="s">
        <v>1971</v>
      </c>
      <c r="X115" s="3268">
        <v>10</v>
      </c>
      <c r="Y115" s="3269"/>
      <c r="Z115" s="3270">
        <v>0</v>
      </c>
      <c r="AA115" s="3268"/>
      <c r="AB115" s="3268"/>
      <c r="AC115" s="1952" t="s">
        <v>1971</v>
      </c>
      <c r="AD115" s="3268">
        <v>10</v>
      </c>
      <c r="AE115" s="3269"/>
      <c r="AF115" s="1946"/>
      <c r="AG115" s="1941" t="b">
        <f>AG117</f>
        <v>0</v>
      </c>
      <c r="AH115" s="1941" t="s">
        <v>1972</v>
      </c>
    </row>
    <row r="116" spans="1:34" ht="13.5" customHeight="1">
      <c r="A116" s="548" t="s">
        <v>1062</v>
      </c>
      <c r="B116" s="2971"/>
      <c r="C116" s="2972"/>
      <c r="D116" s="2972"/>
      <c r="E116" s="2972"/>
      <c r="F116" s="2972"/>
      <c r="G116" s="3274"/>
      <c r="H116" s="2971"/>
      <c r="I116" s="2972"/>
      <c r="J116" s="2972"/>
      <c r="K116" s="2972"/>
      <c r="L116" s="2972"/>
      <c r="M116" s="3274"/>
      <c r="N116" s="2971"/>
      <c r="O116" s="2972"/>
      <c r="P116" s="2972"/>
      <c r="Q116" s="2972"/>
      <c r="R116" s="2972"/>
      <c r="S116" s="3274"/>
      <c r="T116" s="2971"/>
      <c r="U116" s="2972"/>
      <c r="V116" s="2972"/>
      <c r="W116" s="2972"/>
      <c r="X116" s="2972"/>
      <c r="Y116" s="3274"/>
      <c r="Z116" s="2971"/>
      <c r="AA116" s="2972"/>
      <c r="AB116" s="2972"/>
      <c r="AC116" s="2972"/>
      <c r="AD116" s="2972"/>
      <c r="AE116" s="3274"/>
      <c r="AF116" s="547"/>
      <c r="AG116" t="b">
        <f>AG117</f>
        <v>0</v>
      </c>
    </row>
    <row r="117" spans="1:34" ht="13.5" customHeight="1">
      <c r="A117" s="548" t="s">
        <v>1069</v>
      </c>
      <c r="B117" s="3270">
        <f>ROUNDDOWN(B114*IF(F115&lt;&gt;0,SQRT(B115^2+F115^2)/F115,1)-B116,2)</f>
        <v>0</v>
      </c>
      <c r="C117" s="3268"/>
      <c r="D117" s="3268"/>
      <c r="E117" s="3268"/>
      <c r="F117" s="3268"/>
      <c r="G117" s="3269"/>
      <c r="H117" s="3270">
        <f>ROUNDDOWN(H114*IF(L115&lt;&gt;0,SQRT(H115^2+L115^2)/L115,1)-H116,2)</f>
        <v>0</v>
      </c>
      <c r="I117" s="3268"/>
      <c r="J117" s="3268"/>
      <c r="K117" s="3268"/>
      <c r="L117" s="3268"/>
      <c r="M117" s="3269"/>
      <c r="N117" s="3270">
        <f>ROUNDDOWN(N114*IF(R115&lt;&gt;0,SQRT(N115^2+R115^2)/R115,1)-N116,2)</f>
        <v>0</v>
      </c>
      <c r="O117" s="3268"/>
      <c r="P117" s="3268"/>
      <c r="Q117" s="3268"/>
      <c r="R117" s="3268"/>
      <c r="S117" s="3269"/>
      <c r="T117" s="3270">
        <f>ROUNDDOWN(T114*IF(X115&lt;&gt;0,SQRT(T115^2+X115^2)/X115,1)-T116,2)</f>
        <v>0</v>
      </c>
      <c r="U117" s="3268"/>
      <c r="V117" s="3268"/>
      <c r="W117" s="3268"/>
      <c r="X117" s="3268"/>
      <c r="Y117" s="3269"/>
      <c r="Z117" s="3270">
        <f>ROUNDDOWN(Z114*IF(AD115&lt;&gt;0,SQRT(Z115^2+AD115^2)/AD115,1)-Z116,2)</f>
        <v>0</v>
      </c>
      <c r="AA117" s="3268"/>
      <c r="AB117" s="3268"/>
      <c r="AC117" s="3268"/>
      <c r="AD117" s="3268"/>
      <c r="AE117" s="3269"/>
      <c r="AF117" s="547"/>
      <c r="AG117" t="b">
        <f>SUM(A117:AF117)&lt;&gt;0</f>
        <v>0</v>
      </c>
    </row>
    <row r="118" spans="1:34" ht="13.5" customHeight="1">
      <c r="AF118" s="547"/>
      <c r="AG118" t="b">
        <f>AG140</f>
        <v>0</v>
      </c>
    </row>
    <row r="119" spans="1:34" ht="13.5" customHeight="1">
      <c r="A119" s="3308" t="s">
        <v>1037</v>
      </c>
      <c r="B119" s="3297" t="s">
        <v>1056</v>
      </c>
      <c r="C119" s="3298"/>
      <c r="D119" s="3298"/>
      <c r="E119" s="3298"/>
      <c r="F119" s="3298"/>
      <c r="G119" s="3299"/>
      <c r="H119" s="3297" t="s">
        <v>1056</v>
      </c>
      <c r="I119" s="3298"/>
      <c r="J119" s="3298"/>
      <c r="K119" s="3298"/>
      <c r="L119" s="3298"/>
      <c r="M119" s="3299"/>
      <c r="N119" s="3297" t="s">
        <v>1056</v>
      </c>
      <c r="O119" s="3298"/>
      <c r="P119" s="3298"/>
      <c r="Q119" s="3298"/>
      <c r="R119" s="3298"/>
      <c r="S119" s="3299"/>
      <c r="T119" s="3297" t="s">
        <v>1056</v>
      </c>
      <c r="U119" s="3298"/>
      <c r="V119" s="3298"/>
      <c r="W119" s="3298"/>
      <c r="X119" s="3298"/>
      <c r="Y119" s="3299"/>
      <c r="Z119" s="3297" t="s">
        <v>1056</v>
      </c>
      <c r="AA119" s="3298"/>
      <c r="AB119" s="3298"/>
      <c r="AC119" s="3298"/>
      <c r="AD119" s="3298"/>
      <c r="AE119" s="3299"/>
      <c r="AG119" t="b">
        <f>AG140</f>
        <v>0</v>
      </c>
    </row>
    <row r="120" spans="1:34" ht="13.5" customHeight="1">
      <c r="A120" s="3295"/>
      <c r="B120" s="546" t="s">
        <v>1057</v>
      </c>
      <c r="C120" s="543"/>
      <c r="D120" s="544" t="s">
        <v>1058</v>
      </c>
      <c r="E120" s="545"/>
      <c r="F120" s="546" t="s">
        <v>1059</v>
      </c>
      <c r="G120" s="543"/>
      <c r="H120" s="546" t="s">
        <v>1057</v>
      </c>
      <c r="I120" s="543"/>
      <c r="J120" s="544" t="s">
        <v>1058</v>
      </c>
      <c r="K120" s="545"/>
      <c r="L120" s="546" t="s">
        <v>1059</v>
      </c>
      <c r="M120" s="543"/>
      <c r="N120" s="546" t="s">
        <v>1057</v>
      </c>
      <c r="O120" s="543"/>
      <c r="P120" s="544" t="s">
        <v>1058</v>
      </c>
      <c r="Q120" s="545"/>
      <c r="R120" s="546" t="s">
        <v>1059</v>
      </c>
      <c r="S120" s="543"/>
      <c r="T120" s="546" t="s">
        <v>1057</v>
      </c>
      <c r="U120" s="543"/>
      <c r="V120" s="544" t="s">
        <v>1058</v>
      </c>
      <c r="W120" s="545"/>
      <c r="X120" s="546" t="s">
        <v>1059</v>
      </c>
      <c r="Y120" s="543"/>
      <c r="Z120" s="546" t="s">
        <v>1057</v>
      </c>
      <c r="AA120" s="543"/>
      <c r="AB120" s="544" t="s">
        <v>1058</v>
      </c>
      <c r="AC120" s="545"/>
      <c r="AD120" s="546" t="s">
        <v>1059</v>
      </c>
      <c r="AE120" s="545"/>
      <c r="AF120" s="547"/>
      <c r="AG120" t="b">
        <f>AG140</f>
        <v>0</v>
      </c>
    </row>
    <row r="121" spans="1:34" ht="13.5" customHeight="1">
      <c r="A121" s="3295"/>
      <c r="B121" s="3307"/>
      <c r="C121" s="3301"/>
      <c r="D121" s="3302"/>
      <c r="E121" s="3303"/>
      <c r="F121" s="3304">
        <f t="shared" ref="F121:F136" si="24">ROUNDDOWN(B121*D121,2)</f>
        <v>0</v>
      </c>
      <c r="G121" s="3134"/>
      <c r="H121" s="3307"/>
      <c r="I121" s="3300"/>
      <c r="J121" s="3302"/>
      <c r="K121" s="3303"/>
      <c r="L121" s="3304">
        <f t="shared" ref="L121:L136" si="25">ROUNDDOWN(H121*J121,2)</f>
        <v>0</v>
      </c>
      <c r="M121" s="3134"/>
      <c r="N121" s="3307"/>
      <c r="O121" s="3300"/>
      <c r="P121" s="3302"/>
      <c r="Q121" s="3303"/>
      <c r="R121" s="3304">
        <f t="shared" ref="R121:R136" si="26">ROUNDDOWN(N121*P121,2)</f>
        <v>0</v>
      </c>
      <c r="S121" s="3134"/>
      <c r="T121" s="3307"/>
      <c r="U121" s="3301"/>
      <c r="V121" s="3302"/>
      <c r="W121" s="3303"/>
      <c r="X121" s="3304">
        <f t="shared" ref="X121:X136" si="27">ROUNDDOWN(T121*V121,2)</f>
        <v>0</v>
      </c>
      <c r="Y121" s="3134"/>
      <c r="Z121" s="3307"/>
      <c r="AA121" s="3301"/>
      <c r="AB121" s="3300"/>
      <c r="AC121" s="3303"/>
      <c r="AD121" s="3305">
        <f t="shared" ref="AD121:AD136" si="28">ROUNDDOWN(Z121*AB121,2)</f>
        <v>0</v>
      </c>
      <c r="AE121" s="3306"/>
      <c r="AF121" s="20"/>
      <c r="AG121" t="b">
        <f t="shared" ref="AG121:AG136" si="29">SUM(B121:AE121)&lt;&gt;0</f>
        <v>0</v>
      </c>
    </row>
    <row r="122" spans="1:34" ht="13.5" customHeight="1">
      <c r="A122" s="3295"/>
      <c r="B122" s="3292"/>
      <c r="C122" s="3287"/>
      <c r="D122" s="3288"/>
      <c r="E122" s="3289"/>
      <c r="F122" s="3290">
        <f t="shared" si="24"/>
        <v>0</v>
      </c>
      <c r="G122" s="3291"/>
      <c r="H122" s="3292"/>
      <c r="I122" s="3286"/>
      <c r="J122" s="3288"/>
      <c r="K122" s="3289"/>
      <c r="L122" s="3290">
        <f t="shared" si="25"/>
        <v>0</v>
      </c>
      <c r="M122" s="3291"/>
      <c r="N122" s="3292"/>
      <c r="O122" s="3286"/>
      <c r="P122" s="3288"/>
      <c r="Q122" s="3289"/>
      <c r="R122" s="3290">
        <f t="shared" si="26"/>
        <v>0</v>
      </c>
      <c r="S122" s="3291"/>
      <c r="T122" s="3292"/>
      <c r="U122" s="3287"/>
      <c r="V122" s="3288"/>
      <c r="W122" s="3289"/>
      <c r="X122" s="3290">
        <f t="shared" si="27"/>
        <v>0</v>
      </c>
      <c r="Y122" s="3291"/>
      <c r="Z122" s="3292"/>
      <c r="AA122" s="3287"/>
      <c r="AB122" s="3286"/>
      <c r="AC122" s="3289"/>
      <c r="AD122" s="3290">
        <f t="shared" si="28"/>
        <v>0</v>
      </c>
      <c r="AE122" s="3291"/>
      <c r="AF122" s="20"/>
      <c r="AG122" t="b">
        <f t="shared" si="29"/>
        <v>0</v>
      </c>
    </row>
    <row r="123" spans="1:34" ht="13.5" customHeight="1">
      <c r="A123" s="3295"/>
      <c r="B123" s="3292"/>
      <c r="C123" s="3287"/>
      <c r="D123" s="3288"/>
      <c r="E123" s="3289"/>
      <c r="F123" s="3290">
        <f t="shared" si="24"/>
        <v>0</v>
      </c>
      <c r="G123" s="3291"/>
      <c r="H123" s="3292"/>
      <c r="I123" s="3286"/>
      <c r="J123" s="3288"/>
      <c r="K123" s="3289"/>
      <c r="L123" s="3290">
        <f t="shared" si="25"/>
        <v>0</v>
      </c>
      <c r="M123" s="3291"/>
      <c r="N123" s="3292"/>
      <c r="O123" s="3286"/>
      <c r="P123" s="3288"/>
      <c r="Q123" s="3289"/>
      <c r="R123" s="3290">
        <f t="shared" si="26"/>
        <v>0</v>
      </c>
      <c r="S123" s="3291"/>
      <c r="T123" s="3292"/>
      <c r="U123" s="3287"/>
      <c r="V123" s="3288"/>
      <c r="W123" s="3289"/>
      <c r="X123" s="3290">
        <f t="shared" si="27"/>
        <v>0</v>
      </c>
      <c r="Y123" s="3291"/>
      <c r="Z123" s="3292"/>
      <c r="AA123" s="3287"/>
      <c r="AB123" s="3286"/>
      <c r="AC123" s="3289"/>
      <c r="AD123" s="3290">
        <f t="shared" si="28"/>
        <v>0</v>
      </c>
      <c r="AE123" s="3291"/>
      <c r="AF123" s="20"/>
      <c r="AG123" t="b">
        <f t="shared" si="29"/>
        <v>0</v>
      </c>
    </row>
    <row r="124" spans="1:34" ht="13.5" customHeight="1">
      <c r="A124" s="3295"/>
      <c r="B124" s="3292"/>
      <c r="C124" s="3287"/>
      <c r="D124" s="3288"/>
      <c r="E124" s="3289"/>
      <c r="F124" s="3290">
        <f t="shared" si="24"/>
        <v>0</v>
      </c>
      <c r="G124" s="3291"/>
      <c r="H124" s="3292"/>
      <c r="I124" s="3286"/>
      <c r="J124" s="3288"/>
      <c r="K124" s="3289"/>
      <c r="L124" s="3290">
        <f t="shared" si="25"/>
        <v>0</v>
      </c>
      <c r="M124" s="3291"/>
      <c r="N124" s="3292"/>
      <c r="O124" s="3286"/>
      <c r="P124" s="3288"/>
      <c r="Q124" s="3289"/>
      <c r="R124" s="3290">
        <f t="shared" si="26"/>
        <v>0</v>
      </c>
      <c r="S124" s="3291"/>
      <c r="T124" s="3292"/>
      <c r="U124" s="3287"/>
      <c r="V124" s="3288"/>
      <c r="W124" s="3289"/>
      <c r="X124" s="3290">
        <f t="shared" si="27"/>
        <v>0</v>
      </c>
      <c r="Y124" s="3291"/>
      <c r="Z124" s="3292"/>
      <c r="AA124" s="3287"/>
      <c r="AB124" s="3286"/>
      <c r="AC124" s="3289"/>
      <c r="AD124" s="3290">
        <f t="shared" si="28"/>
        <v>0</v>
      </c>
      <c r="AE124" s="3291"/>
      <c r="AF124" s="20"/>
      <c r="AG124" t="b">
        <f t="shared" si="29"/>
        <v>0</v>
      </c>
    </row>
    <row r="125" spans="1:34" ht="13.5" customHeight="1">
      <c r="A125" s="3295"/>
      <c r="B125" s="3292"/>
      <c r="C125" s="3287"/>
      <c r="D125" s="3288"/>
      <c r="E125" s="3289"/>
      <c r="F125" s="3290">
        <f t="shared" si="24"/>
        <v>0</v>
      </c>
      <c r="G125" s="3291"/>
      <c r="H125" s="3292"/>
      <c r="I125" s="3286"/>
      <c r="J125" s="3288"/>
      <c r="K125" s="3289"/>
      <c r="L125" s="3290">
        <f t="shared" si="25"/>
        <v>0</v>
      </c>
      <c r="M125" s="3291"/>
      <c r="N125" s="3292"/>
      <c r="O125" s="3286"/>
      <c r="P125" s="3288"/>
      <c r="Q125" s="3289"/>
      <c r="R125" s="3290">
        <f t="shared" si="26"/>
        <v>0</v>
      </c>
      <c r="S125" s="3291"/>
      <c r="T125" s="3292"/>
      <c r="U125" s="3287"/>
      <c r="V125" s="3288"/>
      <c r="W125" s="3289"/>
      <c r="X125" s="3290">
        <f t="shared" si="27"/>
        <v>0</v>
      </c>
      <c r="Y125" s="3291"/>
      <c r="Z125" s="3292"/>
      <c r="AA125" s="3287"/>
      <c r="AB125" s="3286"/>
      <c r="AC125" s="3289"/>
      <c r="AD125" s="3290">
        <f t="shared" si="28"/>
        <v>0</v>
      </c>
      <c r="AE125" s="3291"/>
      <c r="AF125" s="20"/>
      <c r="AG125" t="b">
        <f t="shared" si="29"/>
        <v>0</v>
      </c>
    </row>
    <row r="126" spans="1:34" ht="13.5" customHeight="1">
      <c r="A126" s="3295"/>
      <c r="B126" s="3292"/>
      <c r="C126" s="3287"/>
      <c r="D126" s="3288"/>
      <c r="E126" s="3289"/>
      <c r="F126" s="3290">
        <f t="shared" si="24"/>
        <v>0</v>
      </c>
      <c r="G126" s="3291"/>
      <c r="H126" s="3292"/>
      <c r="I126" s="3286"/>
      <c r="J126" s="3288"/>
      <c r="K126" s="3289"/>
      <c r="L126" s="3290">
        <f t="shared" si="25"/>
        <v>0</v>
      </c>
      <c r="M126" s="3291"/>
      <c r="N126" s="3292"/>
      <c r="O126" s="3286"/>
      <c r="P126" s="3288"/>
      <c r="Q126" s="3289"/>
      <c r="R126" s="3290">
        <f t="shared" si="26"/>
        <v>0</v>
      </c>
      <c r="S126" s="3291"/>
      <c r="T126" s="3292"/>
      <c r="U126" s="3287"/>
      <c r="V126" s="3288"/>
      <c r="W126" s="3289"/>
      <c r="X126" s="3290">
        <f t="shared" si="27"/>
        <v>0</v>
      </c>
      <c r="Y126" s="3291"/>
      <c r="Z126" s="3292"/>
      <c r="AA126" s="3287"/>
      <c r="AB126" s="3286"/>
      <c r="AC126" s="3289"/>
      <c r="AD126" s="3290">
        <f t="shared" si="28"/>
        <v>0</v>
      </c>
      <c r="AE126" s="3291"/>
      <c r="AF126" s="20"/>
      <c r="AG126" t="b">
        <f t="shared" si="29"/>
        <v>0</v>
      </c>
    </row>
    <row r="127" spans="1:34" ht="13.5" customHeight="1">
      <c r="A127" s="3295"/>
      <c r="B127" s="3292"/>
      <c r="C127" s="3287"/>
      <c r="D127" s="3288"/>
      <c r="E127" s="3289"/>
      <c r="F127" s="3290">
        <f t="shared" si="24"/>
        <v>0</v>
      </c>
      <c r="G127" s="3291"/>
      <c r="H127" s="3292"/>
      <c r="I127" s="3286"/>
      <c r="J127" s="3288"/>
      <c r="K127" s="3289"/>
      <c r="L127" s="3290">
        <f t="shared" si="25"/>
        <v>0</v>
      </c>
      <c r="M127" s="3291"/>
      <c r="N127" s="3292"/>
      <c r="O127" s="3286"/>
      <c r="P127" s="3288"/>
      <c r="Q127" s="3289"/>
      <c r="R127" s="3290">
        <f t="shared" si="26"/>
        <v>0</v>
      </c>
      <c r="S127" s="3291"/>
      <c r="T127" s="3292"/>
      <c r="U127" s="3287"/>
      <c r="V127" s="3288"/>
      <c r="W127" s="3289"/>
      <c r="X127" s="3290">
        <f t="shared" si="27"/>
        <v>0</v>
      </c>
      <c r="Y127" s="3291"/>
      <c r="Z127" s="3292"/>
      <c r="AA127" s="3287"/>
      <c r="AB127" s="3286"/>
      <c r="AC127" s="3289"/>
      <c r="AD127" s="3290">
        <f t="shared" si="28"/>
        <v>0</v>
      </c>
      <c r="AE127" s="3291"/>
      <c r="AF127" s="20"/>
      <c r="AG127" t="b">
        <f t="shared" si="29"/>
        <v>0</v>
      </c>
    </row>
    <row r="128" spans="1:34" ht="13.5" customHeight="1">
      <c r="A128" s="3295"/>
      <c r="B128" s="3292"/>
      <c r="C128" s="3287"/>
      <c r="D128" s="3288"/>
      <c r="E128" s="3289"/>
      <c r="F128" s="3290">
        <f t="shared" si="24"/>
        <v>0</v>
      </c>
      <c r="G128" s="3291"/>
      <c r="H128" s="3292"/>
      <c r="I128" s="3286"/>
      <c r="J128" s="3288"/>
      <c r="K128" s="3289"/>
      <c r="L128" s="3290">
        <f t="shared" si="25"/>
        <v>0</v>
      </c>
      <c r="M128" s="3291"/>
      <c r="N128" s="3292"/>
      <c r="O128" s="3286"/>
      <c r="P128" s="3288"/>
      <c r="Q128" s="3289"/>
      <c r="R128" s="3290">
        <f t="shared" si="26"/>
        <v>0</v>
      </c>
      <c r="S128" s="3291"/>
      <c r="T128" s="3292"/>
      <c r="U128" s="3287"/>
      <c r="V128" s="3288"/>
      <c r="W128" s="3289"/>
      <c r="X128" s="3290">
        <f t="shared" si="27"/>
        <v>0</v>
      </c>
      <c r="Y128" s="3291"/>
      <c r="Z128" s="3292"/>
      <c r="AA128" s="3287"/>
      <c r="AB128" s="3286"/>
      <c r="AC128" s="3289"/>
      <c r="AD128" s="3290">
        <f t="shared" si="28"/>
        <v>0</v>
      </c>
      <c r="AE128" s="3291"/>
      <c r="AF128" s="20"/>
      <c r="AG128" t="b">
        <f t="shared" si="29"/>
        <v>0</v>
      </c>
    </row>
    <row r="129" spans="1:33" ht="13.5" customHeight="1">
      <c r="A129" s="3295"/>
      <c r="B129" s="3292"/>
      <c r="C129" s="3287"/>
      <c r="D129" s="3288"/>
      <c r="E129" s="3289"/>
      <c r="F129" s="3290">
        <f t="shared" si="24"/>
        <v>0</v>
      </c>
      <c r="G129" s="3291"/>
      <c r="H129" s="3292"/>
      <c r="I129" s="3286"/>
      <c r="J129" s="3288"/>
      <c r="K129" s="3289"/>
      <c r="L129" s="3290">
        <f t="shared" si="25"/>
        <v>0</v>
      </c>
      <c r="M129" s="3291"/>
      <c r="N129" s="3292"/>
      <c r="O129" s="3286"/>
      <c r="P129" s="3288"/>
      <c r="Q129" s="3289"/>
      <c r="R129" s="3290">
        <f t="shared" si="26"/>
        <v>0</v>
      </c>
      <c r="S129" s="3291"/>
      <c r="T129" s="3292"/>
      <c r="U129" s="3287"/>
      <c r="V129" s="3288"/>
      <c r="W129" s="3289"/>
      <c r="X129" s="3290">
        <f t="shared" si="27"/>
        <v>0</v>
      </c>
      <c r="Y129" s="3291"/>
      <c r="Z129" s="3292"/>
      <c r="AA129" s="3287"/>
      <c r="AB129" s="3286"/>
      <c r="AC129" s="3289"/>
      <c r="AD129" s="3290">
        <f t="shared" si="28"/>
        <v>0</v>
      </c>
      <c r="AE129" s="3291"/>
      <c r="AF129" s="20"/>
      <c r="AG129" t="b">
        <f t="shared" si="29"/>
        <v>0</v>
      </c>
    </row>
    <row r="130" spans="1:33" ht="13.5" customHeight="1">
      <c r="A130" s="3295"/>
      <c r="B130" s="3292"/>
      <c r="C130" s="3287"/>
      <c r="D130" s="3288"/>
      <c r="E130" s="3289"/>
      <c r="F130" s="3290">
        <f t="shared" si="24"/>
        <v>0</v>
      </c>
      <c r="G130" s="3291"/>
      <c r="H130" s="3292"/>
      <c r="I130" s="3286"/>
      <c r="J130" s="3288"/>
      <c r="K130" s="3289"/>
      <c r="L130" s="3290">
        <f t="shared" si="25"/>
        <v>0</v>
      </c>
      <c r="M130" s="3291"/>
      <c r="N130" s="3292"/>
      <c r="O130" s="3286"/>
      <c r="P130" s="3288"/>
      <c r="Q130" s="3289"/>
      <c r="R130" s="3290">
        <f t="shared" si="26"/>
        <v>0</v>
      </c>
      <c r="S130" s="3291"/>
      <c r="T130" s="3292"/>
      <c r="U130" s="3287"/>
      <c r="V130" s="3288"/>
      <c r="W130" s="3289"/>
      <c r="X130" s="3290">
        <f t="shared" si="27"/>
        <v>0</v>
      </c>
      <c r="Y130" s="3291"/>
      <c r="Z130" s="3292"/>
      <c r="AA130" s="3287"/>
      <c r="AB130" s="3286"/>
      <c r="AC130" s="3289"/>
      <c r="AD130" s="3290">
        <f t="shared" si="28"/>
        <v>0</v>
      </c>
      <c r="AE130" s="3291"/>
      <c r="AF130" s="20"/>
      <c r="AG130" t="b">
        <f t="shared" si="29"/>
        <v>0</v>
      </c>
    </row>
    <row r="131" spans="1:33" ht="13.5" customHeight="1">
      <c r="A131" s="3295"/>
      <c r="B131" s="3292"/>
      <c r="C131" s="3287"/>
      <c r="D131" s="3288"/>
      <c r="E131" s="3289"/>
      <c r="F131" s="3290">
        <f t="shared" si="24"/>
        <v>0</v>
      </c>
      <c r="G131" s="3291"/>
      <c r="H131" s="3292"/>
      <c r="I131" s="3286"/>
      <c r="J131" s="3288"/>
      <c r="K131" s="3289"/>
      <c r="L131" s="3290">
        <f t="shared" si="25"/>
        <v>0</v>
      </c>
      <c r="M131" s="3291"/>
      <c r="N131" s="3292"/>
      <c r="O131" s="3286"/>
      <c r="P131" s="3288"/>
      <c r="Q131" s="3289"/>
      <c r="R131" s="3290">
        <f t="shared" si="26"/>
        <v>0</v>
      </c>
      <c r="S131" s="3291"/>
      <c r="T131" s="3292"/>
      <c r="U131" s="3287"/>
      <c r="V131" s="3288"/>
      <c r="W131" s="3289"/>
      <c r="X131" s="3290">
        <f t="shared" si="27"/>
        <v>0</v>
      </c>
      <c r="Y131" s="3291"/>
      <c r="Z131" s="3292"/>
      <c r="AA131" s="3287"/>
      <c r="AB131" s="3286"/>
      <c r="AC131" s="3289"/>
      <c r="AD131" s="3290">
        <f t="shared" si="28"/>
        <v>0</v>
      </c>
      <c r="AE131" s="3291"/>
      <c r="AF131" s="20"/>
      <c r="AG131" t="b">
        <f t="shared" si="29"/>
        <v>0</v>
      </c>
    </row>
    <row r="132" spans="1:33" ht="13.5" customHeight="1">
      <c r="A132" s="3295"/>
      <c r="B132" s="3292"/>
      <c r="C132" s="3287"/>
      <c r="D132" s="3288"/>
      <c r="E132" s="3289"/>
      <c r="F132" s="3290">
        <f t="shared" si="24"/>
        <v>0</v>
      </c>
      <c r="G132" s="3291"/>
      <c r="H132" s="3292"/>
      <c r="I132" s="3286"/>
      <c r="J132" s="3288"/>
      <c r="K132" s="3289"/>
      <c r="L132" s="3290">
        <f t="shared" si="25"/>
        <v>0</v>
      </c>
      <c r="M132" s="3291"/>
      <c r="N132" s="3292"/>
      <c r="O132" s="3286"/>
      <c r="P132" s="3288"/>
      <c r="Q132" s="3289"/>
      <c r="R132" s="3290">
        <f t="shared" si="26"/>
        <v>0</v>
      </c>
      <c r="S132" s="3291"/>
      <c r="T132" s="3292"/>
      <c r="U132" s="3287"/>
      <c r="V132" s="3288"/>
      <c r="W132" s="3289"/>
      <c r="X132" s="3290">
        <f t="shared" si="27"/>
        <v>0</v>
      </c>
      <c r="Y132" s="3291"/>
      <c r="Z132" s="3292"/>
      <c r="AA132" s="3287"/>
      <c r="AB132" s="3286"/>
      <c r="AC132" s="3289"/>
      <c r="AD132" s="3290">
        <f t="shared" si="28"/>
        <v>0</v>
      </c>
      <c r="AE132" s="3291"/>
      <c r="AF132" s="20"/>
      <c r="AG132" t="b">
        <f t="shared" si="29"/>
        <v>0</v>
      </c>
    </row>
    <row r="133" spans="1:33" ht="13.5" customHeight="1">
      <c r="A133" s="3295"/>
      <c r="B133" s="3292"/>
      <c r="C133" s="3287"/>
      <c r="D133" s="3288"/>
      <c r="E133" s="3289"/>
      <c r="F133" s="3290">
        <f t="shared" si="24"/>
        <v>0</v>
      </c>
      <c r="G133" s="3291"/>
      <c r="H133" s="3292"/>
      <c r="I133" s="3286"/>
      <c r="J133" s="3288"/>
      <c r="K133" s="3289"/>
      <c r="L133" s="3290">
        <f t="shared" si="25"/>
        <v>0</v>
      </c>
      <c r="M133" s="3291"/>
      <c r="N133" s="3292"/>
      <c r="O133" s="3286"/>
      <c r="P133" s="3288"/>
      <c r="Q133" s="3289"/>
      <c r="R133" s="3290">
        <f t="shared" si="26"/>
        <v>0</v>
      </c>
      <c r="S133" s="3291"/>
      <c r="T133" s="3292"/>
      <c r="U133" s="3287"/>
      <c r="V133" s="3288"/>
      <c r="W133" s="3289"/>
      <c r="X133" s="3290">
        <f t="shared" si="27"/>
        <v>0</v>
      </c>
      <c r="Y133" s="3291"/>
      <c r="Z133" s="3292"/>
      <c r="AA133" s="3287"/>
      <c r="AB133" s="3286"/>
      <c r="AC133" s="3289"/>
      <c r="AD133" s="3290">
        <f t="shared" si="28"/>
        <v>0</v>
      </c>
      <c r="AE133" s="3291"/>
      <c r="AF133" s="20"/>
      <c r="AG133" t="b">
        <f t="shared" si="29"/>
        <v>0</v>
      </c>
    </row>
    <row r="134" spans="1:33" ht="13.5" customHeight="1">
      <c r="A134" s="3295"/>
      <c r="B134" s="3292"/>
      <c r="C134" s="3287"/>
      <c r="D134" s="3288"/>
      <c r="E134" s="3289"/>
      <c r="F134" s="3290">
        <f t="shared" si="24"/>
        <v>0</v>
      </c>
      <c r="G134" s="3291"/>
      <c r="H134" s="3292"/>
      <c r="I134" s="3286"/>
      <c r="J134" s="3288"/>
      <c r="K134" s="3289"/>
      <c r="L134" s="3290">
        <f t="shared" si="25"/>
        <v>0</v>
      </c>
      <c r="M134" s="3291"/>
      <c r="N134" s="3292"/>
      <c r="O134" s="3286"/>
      <c r="P134" s="3288"/>
      <c r="Q134" s="3289"/>
      <c r="R134" s="3290">
        <f t="shared" si="26"/>
        <v>0</v>
      </c>
      <c r="S134" s="3291"/>
      <c r="T134" s="3292"/>
      <c r="U134" s="3287"/>
      <c r="V134" s="3288"/>
      <c r="W134" s="3289"/>
      <c r="X134" s="3290">
        <f t="shared" si="27"/>
        <v>0</v>
      </c>
      <c r="Y134" s="3291"/>
      <c r="Z134" s="3292"/>
      <c r="AA134" s="3287"/>
      <c r="AB134" s="3286"/>
      <c r="AC134" s="3289"/>
      <c r="AD134" s="3290">
        <f t="shared" si="28"/>
        <v>0</v>
      </c>
      <c r="AE134" s="3291"/>
      <c r="AF134" s="20"/>
      <c r="AG134" t="b">
        <f t="shared" si="29"/>
        <v>0</v>
      </c>
    </row>
    <row r="135" spans="1:33" ht="13.5" customHeight="1">
      <c r="A135" s="3295"/>
      <c r="B135" s="3292"/>
      <c r="C135" s="3287"/>
      <c r="D135" s="3288"/>
      <c r="E135" s="3289"/>
      <c r="F135" s="3290">
        <f t="shared" si="24"/>
        <v>0</v>
      </c>
      <c r="G135" s="3291"/>
      <c r="H135" s="3292"/>
      <c r="I135" s="3286"/>
      <c r="J135" s="3288"/>
      <c r="K135" s="3289"/>
      <c r="L135" s="3290">
        <f t="shared" si="25"/>
        <v>0</v>
      </c>
      <c r="M135" s="3291"/>
      <c r="N135" s="3292"/>
      <c r="O135" s="3286"/>
      <c r="P135" s="3288"/>
      <c r="Q135" s="3289"/>
      <c r="R135" s="3290">
        <f t="shared" si="26"/>
        <v>0</v>
      </c>
      <c r="S135" s="3291"/>
      <c r="T135" s="3292"/>
      <c r="U135" s="3287"/>
      <c r="V135" s="3288"/>
      <c r="W135" s="3289"/>
      <c r="X135" s="3290">
        <f t="shared" si="27"/>
        <v>0</v>
      </c>
      <c r="Y135" s="3291"/>
      <c r="Z135" s="3292"/>
      <c r="AA135" s="3287"/>
      <c r="AB135" s="3286"/>
      <c r="AC135" s="3289"/>
      <c r="AD135" s="3290">
        <f t="shared" si="28"/>
        <v>0</v>
      </c>
      <c r="AE135" s="3291"/>
      <c r="AF135" s="20"/>
      <c r="AG135" t="b">
        <f t="shared" si="29"/>
        <v>0</v>
      </c>
    </row>
    <row r="136" spans="1:33" ht="13.5" customHeight="1">
      <c r="A136" s="3296"/>
      <c r="B136" s="3278"/>
      <c r="C136" s="3279"/>
      <c r="D136" s="3280"/>
      <c r="E136" s="3281"/>
      <c r="F136" s="3138">
        <f t="shared" si="24"/>
        <v>0</v>
      </c>
      <c r="G136" s="3140"/>
      <c r="H136" s="3278"/>
      <c r="I136" s="3293"/>
      <c r="J136" s="3280"/>
      <c r="K136" s="3281"/>
      <c r="L136" s="3138">
        <f t="shared" si="25"/>
        <v>0</v>
      </c>
      <c r="M136" s="3140"/>
      <c r="N136" s="3278"/>
      <c r="O136" s="3293"/>
      <c r="P136" s="3280"/>
      <c r="Q136" s="3281"/>
      <c r="R136" s="3138">
        <f t="shared" si="26"/>
        <v>0</v>
      </c>
      <c r="S136" s="3140"/>
      <c r="T136" s="3278"/>
      <c r="U136" s="3279"/>
      <c r="V136" s="3280"/>
      <c r="W136" s="3281"/>
      <c r="X136" s="3138">
        <f t="shared" si="27"/>
        <v>0</v>
      </c>
      <c r="Y136" s="3140"/>
      <c r="Z136" s="3282"/>
      <c r="AA136" s="3283"/>
      <c r="AB136" s="3284"/>
      <c r="AC136" s="3285"/>
      <c r="AD136" s="3138">
        <f t="shared" si="28"/>
        <v>0</v>
      </c>
      <c r="AE136" s="3140"/>
      <c r="AF136" s="20"/>
      <c r="AG136" t="b">
        <f t="shared" si="29"/>
        <v>0</v>
      </c>
    </row>
    <row r="137" spans="1:33" ht="13.5" customHeight="1">
      <c r="A137" s="548" t="s">
        <v>1060</v>
      </c>
      <c r="B137" s="3275"/>
      <c r="C137" s="3276"/>
      <c r="D137" s="3276"/>
      <c r="E137" s="3276"/>
      <c r="F137" s="3276"/>
      <c r="G137" s="3277"/>
      <c r="H137" s="3275"/>
      <c r="I137" s="3276"/>
      <c r="J137" s="3276"/>
      <c r="K137" s="3276"/>
      <c r="L137" s="3276"/>
      <c r="M137" s="3277"/>
      <c r="N137" s="3275"/>
      <c r="O137" s="3276"/>
      <c r="P137" s="3276"/>
      <c r="Q137" s="3276"/>
      <c r="R137" s="3276"/>
      <c r="S137" s="3277"/>
      <c r="T137" s="3275"/>
      <c r="U137" s="3276"/>
      <c r="V137" s="3276"/>
      <c r="W137" s="3276"/>
      <c r="X137" s="3276"/>
      <c r="Y137" s="3277"/>
      <c r="Z137" s="3275"/>
      <c r="AA137" s="3276"/>
      <c r="AB137" s="3276"/>
      <c r="AC137" s="3276"/>
      <c r="AD137" s="3276"/>
      <c r="AE137" s="3277"/>
      <c r="AF137" s="547"/>
      <c r="AG137" t="b">
        <f>AG140</f>
        <v>0</v>
      </c>
    </row>
    <row r="138" spans="1:33" ht="13.5" customHeight="1" thickBot="1">
      <c r="A138" s="548" t="s">
        <v>1061</v>
      </c>
      <c r="B138" s="3271">
        <f>SUM(F121:F136)</f>
        <v>0</v>
      </c>
      <c r="C138" s="3272"/>
      <c r="D138" s="3272"/>
      <c r="E138" s="3272"/>
      <c r="F138" s="3272"/>
      <c r="G138" s="3273"/>
      <c r="H138" s="3271">
        <f>SUM(L121:L136)</f>
        <v>0</v>
      </c>
      <c r="I138" s="3272"/>
      <c r="J138" s="3272"/>
      <c r="K138" s="3272"/>
      <c r="L138" s="3272"/>
      <c r="M138" s="3273"/>
      <c r="N138" s="3271">
        <f>SUM(R121:R136)</f>
        <v>0</v>
      </c>
      <c r="O138" s="3272"/>
      <c r="P138" s="3272"/>
      <c r="Q138" s="3272"/>
      <c r="R138" s="3272"/>
      <c r="S138" s="3273"/>
      <c r="T138" s="3271">
        <f>SUM(X121:X136)</f>
        <v>0</v>
      </c>
      <c r="U138" s="3272"/>
      <c r="V138" s="3272"/>
      <c r="W138" s="3272"/>
      <c r="X138" s="3272"/>
      <c r="Y138" s="3273"/>
      <c r="Z138" s="3271">
        <f>SUM(AD121:AD136)</f>
        <v>0</v>
      </c>
      <c r="AA138" s="3272"/>
      <c r="AB138" s="3272"/>
      <c r="AC138" s="3272"/>
      <c r="AD138" s="3272"/>
      <c r="AE138" s="3273"/>
      <c r="AF138" s="20"/>
      <c r="AG138" t="b">
        <f>AG140</f>
        <v>0</v>
      </c>
    </row>
    <row r="139" spans="1:33" ht="13.5" customHeight="1">
      <c r="A139" s="548" t="s">
        <v>1062</v>
      </c>
      <c r="B139" s="2971"/>
      <c r="C139" s="2972"/>
      <c r="D139" s="2972"/>
      <c r="E139" s="2972"/>
      <c r="F139" s="2972"/>
      <c r="G139" s="3274"/>
      <c r="H139" s="2971"/>
      <c r="I139" s="2972"/>
      <c r="J139" s="2972"/>
      <c r="K139" s="2972"/>
      <c r="L139" s="2972"/>
      <c r="M139" s="3274"/>
      <c r="N139" s="2971"/>
      <c r="O139" s="2972"/>
      <c r="P139" s="2972"/>
      <c r="Q139" s="2972"/>
      <c r="R139" s="2972"/>
      <c r="S139" s="3274"/>
      <c r="T139" s="2971"/>
      <c r="U139" s="2972"/>
      <c r="V139" s="2972"/>
      <c r="W139" s="2972"/>
      <c r="X139" s="2972"/>
      <c r="Y139" s="3274"/>
      <c r="Z139" s="2971"/>
      <c r="AA139" s="2972"/>
      <c r="AB139" s="2972"/>
      <c r="AC139" s="2972"/>
      <c r="AD139" s="2972"/>
      <c r="AE139" s="2972"/>
      <c r="AF139" s="549" t="s">
        <v>1038</v>
      </c>
      <c r="AG139" t="b">
        <f>AG140</f>
        <v>0</v>
      </c>
    </row>
    <row r="140" spans="1:33" ht="13.5" customHeight="1" thickBot="1">
      <c r="A140" s="548" t="s">
        <v>1064</v>
      </c>
      <c r="B140" s="3270">
        <f>B138-B139</f>
        <v>0</v>
      </c>
      <c r="C140" s="3268"/>
      <c r="D140" s="3268"/>
      <c r="E140" s="3268"/>
      <c r="F140" s="3268"/>
      <c r="G140" s="3269"/>
      <c r="H140" s="3270">
        <f>H138-H139</f>
        <v>0</v>
      </c>
      <c r="I140" s="3268"/>
      <c r="J140" s="3268"/>
      <c r="K140" s="3268"/>
      <c r="L140" s="3268"/>
      <c r="M140" s="3269"/>
      <c r="N140" s="3270">
        <f>N138-N139</f>
        <v>0</v>
      </c>
      <c r="O140" s="3268"/>
      <c r="P140" s="3268"/>
      <c r="Q140" s="3268"/>
      <c r="R140" s="3268"/>
      <c r="S140" s="3269"/>
      <c r="T140" s="3270">
        <f>T138-T139</f>
        <v>0</v>
      </c>
      <c r="U140" s="3268"/>
      <c r="V140" s="3268"/>
      <c r="W140" s="3268"/>
      <c r="X140" s="3268"/>
      <c r="Y140" s="3269"/>
      <c r="Z140" s="3270">
        <f>Z138-Z139</f>
        <v>0</v>
      </c>
      <c r="AA140" s="3268"/>
      <c r="AB140" s="3268"/>
      <c r="AC140" s="3268"/>
      <c r="AD140" s="3268"/>
      <c r="AE140" s="3309"/>
      <c r="AF140" s="550">
        <f>SUMIF(B137:AE137,"*",B140:AE140)-SUMIF(B137:AE137,"無し",B140:AE140)+SUMIF(B160:AE160,"*",B163:AE163)-SUMIF(B160:AE160,"無し",B163:AE163)</f>
        <v>0</v>
      </c>
      <c r="AG140" t="b">
        <f>AF140&lt;&gt;0</f>
        <v>0</v>
      </c>
    </row>
    <row r="141" spans="1:33" ht="13.5" customHeight="1">
      <c r="AG141" t="b">
        <f>AG163</f>
        <v>0</v>
      </c>
    </row>
    <row r="142" spans="1:33" ht="13.5" customHeight="1">
      <c r="A142" s="3294" t="s">
        <v>1039</v>
      </c>
      <c r="B142" s="3297" t="s">
        <v>1056</v>
      </c>
      <c r="C142" s="3298"/>
      <c r="D142" s="3298"/>
      <c r="E142" s="3298"/>
      <c r="F142" s="3298"/>
      <c r="G142" s="3299"/>
      <c r="H142" s="3297" t="s">
        <v>1056</v>
      </c>
      <c r="I142" s="3298"/>
      <c r="J142" s="3298"/>
      <c r="K142" s="3298"/>
      <c r="L142" s="3298"/>
      <c r="M142" s="3299"/>
      <c r="N142" s="3297" t="s">
        <v>1056</v>
      </c>
      <c r="O142" s="3298"/>
      <c r="P142" s="3298"/>
      <c r="Q142" s="3298"/>
      <c r="R142" s="3298"/>
      <c r="S142" s="3299"/>
      <c r="T142" s="3297" t="s">
        <v>1056</v>
      </c>
      <c r="U142" s="3298"/>
      <c r="V142" s="3298"/>
      <c r="W142" s="3298"/>
      <c r="X142" s="3298"/>
      <c r="Y142" s="3299"/>
      <c r="Z142" s="3297" t="s">
        <v>1056</v>
      </c>
      <c r="AA142" s="3298"/>
      <c r="AB142" s="3298"/>
      <c r="AC142" s="3298"/>
      <c r="AD142" s="3298"/>
      <c r="AE142" s="3299"/>
      <c r="AG142" t="b">
        <f>AG163</f>
        <v>0</v>
      </c>
    </row>
    <row r="143" spans="1:33" ht="13.5" customHeight="1">
      <c r="A143" s="3295"/>
      <c r="B143" s="546" t="s">
        <v>1057</v>
      </c>
      <c r="C143" s="543"/>
      <c r="D143" s="544" t="s">
        <v>1058</v>
      </c>
      <c r="E143" s="545"/>
      <c r="F143" s="546" t="s">
        <v>1059</v>
      </c>
      <c r="G143" s="543"/>
      <c r="H143" s="546" t="s">
        <v>1057</v>
      </c>
      <c r="I143" s="543"/>
      <c r="J143" s="544" t="s">
        <v>1058</v>
      </c>
      <c r="K143" s="545"/>
      <c r="L143" s="546" t="s">
        <v>1059</v>
      </c>
      <c r="M143" s="543"/>
      <c r="N143" s="546" t="s">
        <v>1057</v>
      </c>
      <c r="O143" s="543"/>
      <c r="P143" s="544" t="s">
        <v>1058</v>
      </c>
      <c r="Q143" s="545"/>
      <c r="R143" s="546" t="s">
        <v>1059</v>
      </c>
      <c r="S143" s="543"/>
      <c r="T143" s="546" t="s">
        <v>1057</v>
      </c>
      <c r="U143" s="543"/>
      <c r="V143" s="544" t="s">
        <v>1058</v>
      </c>
      <c r="W143" s="545"/>
      <c r="X143" s="546" t="s">
        <v>1059</v>
      </c>
      <c r="Y143" s="543"/>
      <c r="Z143" s="546" t="s">
        <v>1057</v>
      </c>
      <c r="AA143" s="543"/>
      <c r="AB143" s="544" t="s">
        <v>1058</v>
      </c>
      <c r="AC143" s="545"/>
      <c r="AD143" s="546" t="s">
        <v>1059</v>
      </c>
      <c r="AE143" s="545"/>
      <c r="AF143" s="547"/>
      <c r="AG143" t="b">
        <f>AG163</f>
        <v>0</v>
      </c>
    </row>
    <row r="144" spans="1:33" ht="13.5" customHeight="1">
      <c r="A144" s="3295"/>
      <c r="B144" s="3307"/>
      <c r="C144" s="3301"/>
      <c r="D144" s="3302"/>
      <c r="E144" s="3303"/>
      <c r="F144" s="3304">
        <f t="shared" ref="F144:F159" si="30">ROUNDDOWN(B144*D144,2)</f>
        <v>0</v>
      </c>
      <c r="G144" s="3134"/>
      <c r="H144" s="3307"/>
      <c r="I144" s="3300"/>
      <c r="J144" s="3302"/>
      <c r="K144" s="3303"/>
      <c r="L144" s="3304">
        <f t="shared" ref="L144:L159" si="31">ROUNDDOWN(H144*J144,2)</f>
        <v>0</v>
      </c>
      <c r="M144" s="3134"/>
      <c r="N144" s="3307"/>
      <c r="O144" s="3300"/>
      <c r="P144" s="3302"/>
      <c r="Q144" s="3303"/>
      <c r="R144" s="3304">
        <f t="shared" ref="R144:R159" si="32">ROUNDDOWN(N144*P144,2)</f>
        <v>0</v>
      </c>
      <c r="S144" s="3134"/>
      <c r="T144" s="3307"/>
      <c r="U144" s="3301"/>
      <c r="V144" s="3302"/>
      <c r="W144" s="3303"/>
      <c r="X144" s="3304">
        <f t="shared" ref="X144:X159" si="33">ROUNDDOWN(T144*V144,2)</f>
        <v>0</v>
      </c>
      <c r="Y144" s="3134"/>
      <c r="Z144" s="3307"/>
      <c r="AA144" s="3301"/>
      <c r="AB144" s="3300"/>
      <c r="AC144" s="3303"/>
      <c r="AD144" s="3305">
        <f t="shared" ref="AD144:AD159" si="34">ROUNDDOWN(Z144*AB144,2)</f>
        <v>0</v>
      </c>
      <c r="AE144" s="3306"/>
      <c r="AF144" s="20"/>
      <c r="AG144" t="b">
        <f t="shared" ref="AG144:AG159" si="35">SUM(B144:AE144)&lt;&gt;0</f>
        <v>0</v>
      </c>
    </row>
    <row r="145" spans="1:33" ht="13.5" customHeight="1">
      <c r="A145" s="3295"/>
      <c r="B145" s="3292"/>
      <c r="C145" s="3287"/>
      <c r="D145" s="3288"/>
      <c r="E145" s="3289"/>
      <c r="F145" s="3290">
        <f t="shared" si="30"/>
        <v>0</v>
      </c>
      <c r="G145" s="3291"/>
      <c r="H145" s="3292"/>
      <c r="I145" s="3286"/>
      <c r="J145" s="3288"/>
      <c r="K145" s="3289"/>
      <c r="L145" s="3290">
        <f t="shared" si="31"/>
        <v>0</v>
      </c>
      <c r="M145" s="3291"/>
      <c r="N145" s="3292"/>
      <c r="O145" s="3286"/>
      <c r="P145" s="3288"/>
      <c r="Q145" s="3289"/>
      <c r="R145" s="3290">
        <f t="shared" si="32"/>
        <v>0</v>
      </c>
      <c r="S145" s="3291"/>
      <c r="T145" s="3292"/>
      <c r="U145" s="3287"/>
      <c r="V145" s="3288"/>
      <c r="W145" s="3289"/>
      <c r="X145" s="3290">
        <f t="shared" si="33"/>
        <v>0</v>
      </c>
      <c r="Y145" s="3291"/>
      <c r="Z145" s="3292"/>
      <c r="AA145" s="3287"/>
      <c r="AB145" s="3286"/>
      <c r="AC145" s="3289"/>
      <c r="AD145" s="3290">
        <f t="shared" si="34"/>
        <v>0</v>
      </c>
      <c r="AE145" s="3291"/>
      <c r="AF145" s="20"/>
      <c r="AG145" t="b">
        <f t="shared" si="35"/>
        <v>0</v>
      </c>
    </row>
    <row r="146" spans="1:33" ht="13.5" customHeight="1">
      <c r="A146" s="3295"/>
      <c r="B146" s="3292"/>
      <c r="C146" s="3287"/>
      <c r="D146" s="3288"/>
      <c r="E146" s="3289"/>
      <c r="F146" s="3290">
        <f t="shared" si="30"/>
        <v>0</v>
      </c>
      <c r="G146" s="3291"/>
      <c r="H146" s="3292"/>
      <c r="I146" s="3286"/>
      <c r="J146" s="3288"/>
      <c r="K146" s="3289"/>
      <c r="L146" s="3290">
        <f t="shared" si="31"/>
        <v>0</v>
      </c>
      <c r="M146" s="3291"/>
      <c r="N146" s="3292"/>
      <c r="O146" s="3286"/>
      <c r="P146" s="3288"/>
      <c r="Q146" s="3289"/>
      <c r="R146" s="3290">
        <f t="shared" si="32"/>
        <v>0</v>
      </c>
      <c r="S146" s="3291"/>
      <c r="T146" s="3292"/>
      <c r="U146" s="3287"/>
      <c r="V146" s="3288"/>
      <c r="W146" s="3289"/>
      <c r="X146" s="3290">
        <f t="shared" si="33"/>
        <v>0</v>
      </c>
      <c r="Y146" s="3291"/>
      <c r="Z146" s="3292"/>
      <c r="AA146" s="3287"/>
      <c r="AB146" s="3286"/>
      <c r="AC146" s="3289"/>
      <c r="AD146" s="3290">
        <f t="shared" si="34"/>
        <v>0</v>
      </c>
      <c r="AE146" s="3291"/>
      <c r="AF146" s="20"/>
      <c r="AG146" t="b">
        <f t="shared" si="35"/>
        <v>0</v>
      </c>
    </row>
    <row r="147" spans="1:33" ht="13.5" customHeight="1">
      <c r="A147" s="3295"/>
      <c r="B147" s="3292"/>
      <c r="C147" s="3287"/>
      <c r="D147" s="3288"/>
      <c r="E147" s="3289"/>
      <c r="F147" s="3290">
        <f t="shared" si="30"/>
        <v>0</v>
      </c>
      <c r="G147" s="3291"/>
      <c r="H147" s="3292"/>
      <c r="I147" s="3286"/>
      <c r="J147" s="3288"/>
      <c r="K147" s="3289"/>
      <c r="L147" s="3290">
        <f t="shared" si="31"/>
        <v>0</v>
      </c>
      <c r="M147" s="3291"/>
      <c r="N147" s="3292"/>
      <c r="O147" s="3286"/>
      <c r="P147" s="3288"/>
      <c r="Q147" s="3289"/>
      <c r="R147" s="3290">
        <f t="shared" si="32"/>
        <v>0</v>
      </c>
      <c r="S147" s="3291"/>
      <c r="T147" s="3292"/>
      <c r="U147" s="3287"/>
      <c r="V147" s="3288"/>
      <c r="W147" s="3289"/>
      <c r="X147" s="3290">
        <f t="shared" si="33"/>
        <v>0</v>
      </c>
      <c r="Y147" s="3291"/>
      <c r="Z147" s="3292"/>
      <c r="AA147" s="3287"/>
      <c r="AB147" s="3286"/>
      <c r="AC147" s="3289"/>
      <c r="AD147" s="3290">
        <f t="shared" si="34"/>
        <v>0</v>
      </c>
      <c r="AE147" s="3291"/>
      <c r="AF147" s="20"/>
      <c r="AG147" t="b">
        <f t="shared" si="35"/>
        <v>0</v>
      </c>
    </row>
    <row r="148" spans="1:33" ht="13.5" customHeight="1">
      <c r="A148" s="3295"/>
      <c r="B148" s="3292"/>
      <c r="C148" s="3287"/>
      <c r="D148" s="3288"/>
      <c r="E148" s="3289"/>
      <c r="F148" s="3290">
        <f t="shared" si="30"/>
        <v>0</v>
      </c>
      <c r="G148" s="3291"/>
      <c r="H148" s="3292"/>
      <c r="I148" s="3286"/>
      <c r="J148" s="3288"/>
      <c r="K148" s="3289"/>
      <c r="L148" s="3290">
        <f t="shared" si="31"/>
        <v>0</v>
      </c>
      <c r="M148" s="3291"/>
      <c r="N148" s="3292"/>
      <c r="O148" s="3286"/>
      <c r="P148" s="3288"/>
      <c r="Q148" s="3289"/>
      <c r="R148" s="3290">
        <f t="shared" si="32"/>
        <v>0</v>
      </c>
      <c r="S148" s="3291"/>
      <c r="T148" s="3292"/>
      <c r="U148" s="3287"/>
      <c r="V148" s="3288"/>
      <c r="W148" s="3289"/>
      <c r="X148" s="3290">
        <f t="shared" si="33"/>
        <v>0</v>
      </c>
      <c r="Y148" s="3291"/>
      <c r="Z148" s="3292"/>
      <c r="AA148" s="3287"/>
      <c r="AB148" s="3286"/>
      <c r="AC148" s="3289"/>
      <c r="AD148" s="3290">
        <f t="shared" si="34"/>
        <v>0</v>
      </c>
      <c r="AE148" s="3291"/>
      <c r="AF148" s="20"/>
      <c r="AG148" t="b">
        <f t="shared" si="35"/>
        <v>0</v>
      </c>
    </row>
    <row r="149" spans="1:33" ht="13.5" customHeight="1">
      <c r="A149" s="3295"/>
      <c r="B149" s="3292"/>
      <c r="C149" s="3287"/>
      <c r="D149" s="3288"/>
      <c r="E149" s="3289"/>
      <c r="F149" s="3290">
        <f t="shared" si="30"/>
        <v>0</v>
      </c>
      <c r="G149" s="3291"/>
      <c r="H149" s="3292"/>
      <c r="I149" s="3286"/>
      <c r="J149" s="3288"/>
      <c r="K149" s="3289"/>
      <c r="L149" s="3290">
        <f t="shared" si="31"/>
        <v>0</v>
      </c>
      <c r="M149" s="3291"/>
      <c r="N149" s="3292"/>
      <c r="O149" s="3286"/>
      <c r="P149" s="3288"/>
      <c r="Q149" s="3289"/>
      <c r="R149" s="3290">
        <f t="shared" si="32"/>
        <v>0</v>
      </c>
      <c r="S149" s="3291"/>
      <c r="T149" s="3292"/>
      <c r="U149" s="3287"/>
      <c r="V149" s="3288"/>
      <c r="W149" s="3289"/>
      <c r="X149" s="3290">
        <f t="shared" si="33"/>
        <v>0</v>
      </c>
      <c r="Y149" s="3291"/>
      <c r="Z149" s="3292"/>
      <c r="AA149" s="3287"/>
      <c r="AB149" s="3286"/>
      <c r="AC149" s="3289"/>
      <c r="AD149" s="3290">
        <f t="shared" si="34"/>
        <v>0</v>
      </c>
      <c r="AE149" s="3291"/>
      <c r="AF149" s="20"/>
      <c r="AG149" t="b">
        <f t="shared" si="35"/>
        <v>0</v>
      </c>
    </row>
    <row r="150" spans="1:33" ht="13.5" customHeight="1">
      <c r="A150" s="3295"/>
      <c r="B150" s="3292"/>
      <c r="C150" s="3287"/>
      <c r="D150" s="3288"/>
      <c r="E150" s="3289"/>
      <c r="F150" s="3290">
        <f t="shared" si="30"/>
        <v>0</v>
      </c>
      <c r="G150" s="3291"/>
      <c r="H150" s="3292"/>
      <c r="I150" s="3286"/>
      <c r="J150" s="3288"/>
      <c r="K150" s="3289"/>
      <c r="L150" s="3290">
        <f t="shared" si="31"/>
        <v>0</v>
      </c>
      <c r="M150" s="3291"/>
      <c r="N150" s="3292"/>
      <c r="O150" s="3286"/>
      <c r="P150" s="3288"/>
      <c r="Q150" s="3289"/>
      <c r="R150" s="3290">
        <f t="shared" si="32"/>
        <v>0</v>
      </c>
      <c r="S150" s="3291"/>
      <c r="T150" s="3292"/>
      <c r="U150" s="3287"/>
      <c r="V150" s="3288"/>
      <c r="W150" s="3289"/>
      <c r="X150" s="3290">
        <f t="shared" si="33"/>
        <v>0</v>
      </c>
      <c r="Y150" s="3291"/>
      <c r="Z150" s="3292"/>
      <c r="AA150" s="3287"/>
      <c r="AB150" s="3286"/>
      <c r="AC150" s="3289"/>
      <c r="AD150" s="3290">
        <f t="shared" si="34"/>
        <v>0</v>
      </c>
      <c r="AE150" s="3291"/>
      <c r="AF150" s="20"/>
      <c r="AG150" t="b">
        <f t="shared" si="35"/>
        <v>0</v>
      </c>
    </row>
    <row r="151" spans="1:33" ht="13.5" customHeight="1">
      <c r="A151" s="3295"/>
      <c r="B151" s="3292"/>
      <c r="C151" s="3287"/>
      <c r="D151" s="3288"/>
      <c r="E151" s="3289"/>
      <c r="F151" s="3290">
        <f t="shared" si="30"/>
        <v>0</v>
      </c>
      <c r="G151" s="3291"/>
      <c r="H151" s="3292"/>
      <c r="I151" s="3286"/>
      <c r="J151" s="3288"/>
      <c r="K151" s="3289"/>
      <c r="L151" s="3290">
        <f t="shared" si="31"/>
        <v>0</v>
      </c>
      <c r="M151" s="3291"/>
      <c r="N151" s="3292"/>
      <c r="O151" s="3286"/>
      <c r="P151" s="3288"/>
      <c r="Q151" s="3289"/>
      <c r="R151" s="3290">
        <f t="shared" si="32"/>
        <v>0</v>
      </c>
      <c r="S151" s="3291"/>
      <c r="T151" s="3292"/>
      <c r="U151" s="3287"/>
      <c r="V151" s="3288"/>
      <c r="W151" s="3289"/>
      <c r="X151" s="3290">
        <f t="shared" si="33"/>
        <v>0</v>
      </c>
      <c r="Y151" s="3291"/>
      <c r="Z151" s="3292"/>
      <c r="AA151" s="3287"/>
      <c r="AB151" s="3286"/>
      <c r="AC151" s="3289"/>
      <c r="AD151" s="3290">
        <f t="shared" si="34"/>
        <v>0</v>
      </c>
      <c r="AE151" s="3291"/>
      <c r="AF151" s="20"/>
      <c r="AG151" t="b">
        <f t="shared" si="35"/>
        <v>0</v>
      </c>
    </row>
    <row r="152" spans="1:33" ht="13.5" customHeight="1">
      <c r="A152" s="3295"/>
      <c r="B152" s="3292"/>
      <c r="C152" s="3287"/>
      <c r="D152" s="3288"/>
      <c r="E152" s="3289"/>
      <c r="F152" s="3290">
        <f t="shared" si="30"/>
        <v>0</v>
      </c>
      <c r="G152" s="3291"/>
      <c r="H152" s="3292"/>
      <c r="I152" s="3286"/>
      <c r="J152" s="3288"/>
      <c r="K152" s="3289"/>
      <c r="L152" s="3290">
        <f t="shared" si="31"/>
        <v>0</v>
      </c>
      <c r="M152" s="3291"/>
      <c r="N152" s="3292"/>
      <c r="O152" s="3286"/>
      <c r="P152" s="3288"/>
      <c r="Q152" s="3289"/>
      <c r="R152" s="3290">
        <f t="shared" si="32"/>
        <v>0</v>
      </c>
      <c r="S152" s="3291"/>
      <c r="T152" s="3292"/>
      <c r="U152" s="3287"/>
      <c r="V152" s="3288"/>
      <c r="W152" s="3289"/>
      <c r="X152" s="3290">
        <f t="shared" si="33"/>
        <v>0</v>
      </c>
      <c r="Y152" s="3291"/>
      <c r="Z152" s="3292"/>
      <c r="AA152" s="3287"/>
      <c r="AB152" s="3286"/>
      <c r="AC152" s="3289"/>
      <c r="AD152" s="3290">
        <f t="shared" si="34"/>
        <v>0</v>
      </c>
      <c r="AE152" s="3291"/>
      <c r="AF152" s="20"/>
      <c r="AG152" t="b">
        <f t="shared" si="35"/>
        <v>0</v>
      </c>
    </row>
    <row r="153" spans="1:33" ht="13.5" customHeight="1">
      <c r="A153" s="3295"/>
      <c r="B153" s="3292"/>
      <c r="C153" s="3287"/>
      <c r="D153" s="3288"/>
      <c r="E153" s="3289"/>
      <c r="F153" s="3290">
        <f t="shared" si="30"/>
        <v>0</v>
      </c>
      <c r="G153" s="3291"/>
      <c r="H153" s="3292"/>
      <c r="I153" s="3286"/>
      <c r="J153" s="3288"/>
      <c r="K153" s="3289"/>
      <c r="L153" s="3290">
        <f t="shared" si="31"/>
        <v>0</v>
      </c>
      <c r="M153" s="3291"/>
      <c r="N153" s="3292"/>
      <c r="O153" s="3286"/>
      <c r="P153" s="3288"/>
      <c r="Q153" s="3289"/>
      <c r="R153" s="3290">
        <f t="shared" si="32"/>
        <v>0</v>
      </c>
      <c r="S153" s="3291"/>
      <c r="T153" s="3292"/>
      <c r="U153" s="3287"/>
      <c r="V153" s="3288"/>
      <c r="W153" s="3289"/>
      <c r="X153" s="3290">
        <f t="shared" si="33"/>
        <v>0</v>
      </c>
      <c r="Y153" s="3291"/>
      <c r="Z153" s="3292"/>
      <c r="AA153" s="3287"/>
      <c r="AB153" s="3286"/>
      <c r="AC153" s="3289"/>
      <c r="AD153" s="3290">
        <f t="shared" si="34"/>
        <v>0</v>
      </c>
      <c r="AE153" s="3291"/>
      <c r="AF153" s="20"/>
      <c r="AG153" t="b">
        <f t="shared" si="35"/>
        <v>0</v>
      </c>
    </row>
    <row r="154" spans="1:33" ht="13.5" customHeight="1">
      <c r="A154" s="3295"/>
      <c r="B154" s="3292"/>
      <c r="C154" s="3287"/>
      <c r="D154" s="3288"/>
      <c r="E154" s="3289"/>
      <c r="F154" s="3290">
        <f t="shared" si="30"/>
        <v>0</v>
      </c>
      <c r="G154" s="3291"/>
      <c r="H154" s="3292"/>
      <c r="I154" s="3286"/>
      <c r="J154" s="3288"/>
      <c r="K154" s="3289"/>
      <c r="L154" s="3290">
        <f t="shared" si="31"/>
        <v>0</v>
      </c>
      <c r="M154" s="3291"/>
      <c r="N154" s="3292"/>
      <c r="O154" s="3286"/>
      <c r="P154" s="3288"/>
      <c r="Q154" s="3289"/>
      <c r="R154" s="3290">
        <f t="shared" si="32"/>
        <v>0</v>
      </c>
      <c r="S154" s="3291"/>
      <c r="T154" s="3292"/>
      <c r="U154" s="3287"/>
      <c r="V154" s="3288"/>
      <c r="W154" s="3289"/>
      <c r="X154" s="3290">
        <f t="shared" si="33"/>
        <v>0</v>
      </c>
      <c r="Y154" s="3291"/>
      <c r="Z154" s="3292"/>
      <c r="AA154" s="3287"/>
      <c r="AB154" s="3286"/>
      <c r="AC154" s="3289"/>
      <c r="AD154" s="3290">
        <f t="shared" si="34"/>
        <v>0</v>
      </c>
      <c r="AE154" s="3291"/>
      <c r="AF154" s="20"/>
      <c r="AG154" t="b">
        <f t="shared" si="35"/>
        <v>0</v>
      </c>
    </row>
    <row r="155" spans="1:33" ht="13.5" customHeight="1">
      <c r="A155" s="3295"/>
      <c r="B155" s="3292"/>
      <c r="C155" s="3287"/>
      <c r="D155" s="3288"/>
      <c r="E155" s="3289"/>
      <c r="F155" s="3290">
        <f t="shared" si="30"/>
        <v>0</v>
      </c>
      <c r="G155" s="3291"/>
      <c r="H155" s="3292"/>
      <c r="I155" s="3286"/>
      <c r="J155" s="3288"/>
      <c r="K155" s="3289"/>
      <c r="L155" s="3290">
        <f t="shared" si="31"/>
        <v>0</v>
      </c>
      <c r="M155" s="3291"/>
      <c r="N155" s="3292"/>
      <c r="O155" s="3286"/>
      <c r="P155" s="3288"/>
      <c r="Q155" s="3289"/>
      <c r="R155" s="3290">
        <f t="shared" si="32"/>
        <v>0</v>
      </c>
      <c r="S155" s="3291"/>
      <c r="T155" s="3292"/>
      <c r="U155" s="3287"/>
      <c r="V155" s="3288"/>
      <c r="W155" s="3289"/>
      <c r="X155" s="3290">
        <f t="shared" si="33"/>
        <v>0</v>
      </c>
      <c r="Y155" s="3291"/>
      <c r="Z155" s="3292"/>
      <c r="AA155" s="3287"/>
      <c r="AB155" s="3286"/>
      <c r="AC155" s="3289"/>
      <c r="AD155" s="3290">
        <f t="shared" si="34"/>
        <v>0</v>
      </c>
      <c r="AE155" s="3291"/>
      <c r="AF155" s="20"/>
      <c r="AG155" t="b">
        <f t="shared" si="35"/>
        <v>0</v>
      </c>
    </row>
    <row r="156" spans="1:33" ht="13.5" customHeight="1">
      <c r="A156" s="3295"/>
      <c r="B156" s="3292"/>
      <c r="C156" s="3287"/>
      <c r="D156" s="3288"/>
      <c r="E156" s="3289"/>
      <c r="F156" s="3290">
        <f t="shared" si="30"/>
        <v>0</v>
      </c>
      <c r="G156" s="3291"/>
      <c r="H156" s="3292"/>
      <c r="I156" s="3286"/>
      <c r="J156" s="3288"/>
      <c r="K156" s="3289"/>
      <c r="L156" s="3290">
        <f t="shared" si="31"/>
        <v>0</v>
      </c>
      <c r="M156" s="3291"/>
      <c r="N156" s="3292"/>
      <c r="O156" s="3286"/>
      <c r="P156" s="3288"/>
      <c r="Q156" s="3289"/>
      <c r="R156" s="3290">
        <f t="shared" si="32"/>
        <v>0</v>
      </c>
      <c r="S156" s="3291"/>
      <c r="T156" s="3292"/>
      <c r="U156" s="3287"/>
      <c r="V156" s="3288"/>
      <c r="W156" s="3289"/>
      <c r="X156" s="3290">
        <f t="shared" si="33"/>
        <v>0</v>
      </c>
      <c r="Y156" s="3291"/>
      <c r="Z156" s="3292"/>
      <c r="AA156" s="3287"/>
      <c r="AB156" s="3286"/>
      <c r="AC156" s="3289"/>
      <c r="AD156" s="3290">
        <f t="shared" si="34"/>
        <v>0</v>
      </c>
      <c r="AE156" s="3291"/>
      <c r="AF156" s="20"/>
      <c r="AG156" t="b">
        <f t="shared" si="35"/>
        <v>0</v>
      </c>
    </row>
    <row r="157" spans="1:33" ht="13.5" customHeight="1">
      <c r="A157" s="3295"/>
      <c r="B157" s="3292"/>
      <c r="C157" s="3287"/>
      <c r="D157" s="3288"/>
      <c r="E157" s="3289"/>
      <c r="F157" s="3290">
        <f t="shared" si="30"/>
        <v>0</v>
      </c>
      <c r="G157" s="3291"/>
      <c r="H157" s="3292"/>
      <c r="I157" s="3286"/>
      <c r="J157" s="3288"/>
      <c r="K157" s="3289"/>
      <c r="L157" s="3290">
        <f t="shared" si="31"/>
        <v>0</v>
      </c>
      <c r="M157" s="3291"/>
      <c r="N157" s="3292"/>
      <c r="O157" s="3286"/>
      <c r="P157" s="3288"/>
      <c r="Q157" s="3289"/>
      <c r="R157" s="3290">
        <f t="shared" si="32"/>
        <v>0</v>
      </c>
      <c r="S157" s="3291"/>
      <c r="T157" s="3292"/>
      <c r="U157" s="3287"/>
      <c r="V157" s="3288"/>
      <c r="W157" s="3289"/>
      <c r="X157" s="3290">
        <f t="shared" si="33"/>
        <v>0</v>
      </c>
      <c r="Y157" s="3291"/>
      <c r="Z157" s="3292"/>
      <c r="AA157" s="3287"/>
      <c r="AB157" s="3286"/>
      <c r="AC157" s="3289"/>
      <c r="AD157" s="3290">
        <f t="shared" si="34"/>
        <v>0</v>
      </c>
      <c r="AE157" s="3291"/>
      <c r="AF157" s="20"/>
      <c r="AG157" t="b">
        <f t="shared" si="35"/>
        <v>0</v>
      </c>
    </row>
    <row r="158" spans="1:33" ht="13.5" customHeight="1">
      <c r="A158" s="3295"/>
      <c r="B158" s="3292"/>
      <c r="C158" s="3287"/>
      <c r="D158" s="3288"/>
      <c r="E158" s="3289"/>
      <c r="F158" s="3290">
        <f t="shared" si="30"/>
        <v>0</v>
      </c>
      <c r="G158" s="3291"/>
      <c r="H158" s="3292"/>
      <c r="I158" s="3286"/>
      <c r="J158" s="3288"/>
      <c r="K158" s="3289"/>
      <c r="L158" s="3290">
        <f t="shared" si="31"/>
        <v>0</v>
      </c>
      <c r="M158" s="3291"/>
      <c r="N158" s="3292"/>
      <c r="O158" s="3286"/>
      <c r="P158" s="3288"/>
      <c r="Q158" s="3289"/>
      <c r="R158" s="3290">
        <f t="shared" si="32"/>
        <v>0</v>
      </c>
      <c r="S158" s="3291"/>
      <c r="T158" s="3292"/>
      <c r="U158" s="3287"/>
      <c r="V158" s="3288"/>
      <c r="W158" s="3289"/>
      <c r="X158" s="3290">
        <f t="shared" si="33"/>
        <v>0</v>
      </c>
      <c r="Y158" s="3291"/>
      <c r="Z158" s="3292"/>
      <c r="AA158" s="3287"/>
      <c r="AB158" s="3286"/>
      <c r="AC158" s="3289"/>
      <c r="AD158" s="3290">
        <f t="shared" si="34"/>
        <v>0</v>
      </c>
      <c r="AE158" s="3291"/>
      <c r="AF158" s="20"/>
      <c r="AG158" t="b">
        <f t="shared" si="35"/>
        <v>0</v>
      </c>
    </row>
    <row r="159" spans="1:33" ht="13.5" customHeight="1">
      <c r="A159" s="3296"/>
      <c r="B159" s="3278"/>
      <c r="C159" s="3279"/>
      <c r="D159" s="3280"/>
      <c r="E159" s="3281"/>
      <c r="F159" s="3138">
        <f t="shared" si="30"/>
        <v>0</v>
      </c>
      <c r="G159" s="3140"/>
      <c r="H159" s="3278"/>
      <c r="I159" s="3293"/>
      <c r="J159" s="3280"/>
      <c r="K159" s="3281"/>
      <c r="L159" s="3138">
        <f t="shared" si="31"/>
        <v>0</v>
      </c>
      <c r="M159" s="3140"/>
      <c r="N159" s="3278"/>
      <c r="O159" s="3293"/>
      <c r="P159" s="3280"/>
      <c r="Q159" s="3281"/>
      <c r="R159" s="3138">
        <f t="shared" si="32"/>
        <v>0</v>
      </c>
      <c r="S159" s="3140"/>
      <c r="T159" s="3278"/>
      <c r="U159" s="3279"/>
      <c r="V159" s="3280"/>
      <c r="W159" s="3281"/>
      <c r="X159" s="3138">
        <f t="shared" si="33"/>
        <v>0</v>
      </c>
      <c r="Y159" s="3140"/>
      <c r="Z159" s="3282"/>
      <c r="AA159" s="3283"/>
      <c r="AB159" s="3284"/>
      <c r="AC159" s="3285"/>
      <c r="AD159" s="3138">
        <f t="shared" si="34"/>
        <v>0</v>
      </c>
      <c r="AE159" s="3140"/>
      <c r="AF159" s="20"/>
      <c r="AG159" t="b">
        <f t="shared" si="35"/>
        <v>0</v>
      </c>
    </row>
    <row r="160" spans="1:33" ht="13.5" customHeight="1">
      <c r="A160" s="548" t="s">
        <v>1060</v>
      </c>
      <c r="B160" s="3275"/>
      <c r="C160" s="3276"/>
      <c r="D160" s="3276"/>
      <c r="E160" s="3276"/>
      <c r="F160" s="3276"/>
      <c r="G160" s="3277"/>
      <c r="H160" s="3275"/>
      <c r="I160" s="3276"/>
      <c r="J160" s="3276"/>
      <c r="K160" s="3276"/>
      <c r="L160" s="3276"/>
      <c r="M160" s="3277"/>
      <c r="N160" s="3275"/>
      <c r="O160" s="3276"/>
      <c r="P160" s="3276"/>
      <c r="Q160" s="3276"/>
      <c r="R160" s="3276"/>
      <c r="S160" s="3277"/>
      <c r="T160" s="3275"/>
      <c r="U160" s="3276"/>
      <c r="V160" s="3276"/>
      <c r="W160" s="3276"/>
      <c r="X160" s="3276"/>
      <c r="Y160" s="3277"/>
      <c r="Z160" s="3275"/>
      <c r="AA160" s="3276"/>
      <c r="AB160" s="3276"/>
      <c r="AC160" s="3276"/>
      <c r="AD160" s="3276"/>
      <c r="AE160" s="3277"/>
      <c r="AF160" s="20"/>
      <c r="AG160" t="b">
        <f>AG163</f>
        <v>0</v>
      </c>
    </row>
    <row r="161" spans="1:33" ht="13.5" customHeight="1">
      <c r="A161" s="548" t="s">
        <v>1061</v>
      </c>
      <c r="B161" s="3271">
        <f>SUM(F144:F159)</f>
        <v>0</v>
      </c>
      <c r="C161" s="3272"/>
      <c r="D161" s="3272"/>
      <c r="E161" s="3272"/>
      <c r="F161" s="3272"/>
      <c r="G161" s="3273"/>
      <c r="H161" s="3271">
        <f>SUM(L144:L159)</f>
        <v>0</v>
      </c>
      <c r="I161" s="3272"/>
      <c r="J161" s="3272"/>
      <c r="K161" s="3272"/>
      <c r="L161" s="3272"/>
      <c r="M161" s="3273"/>
      <c r="N161" s="3271">
        <f>SUM(R144:R159)</f>
        <v>0</v>
      </c>
      <c r="O161" s="3272"/>
      <c r="P161" s="3272"/>
      <c r="Q161" s="3272"/>
      <c r="R161" s="3272"/>
      <c r="S161" s="3273"/>
      <c r="T161" s="3271">
        <f>SUM(X144:X159)</f>
        <v>0</v>
      </c>
      <c r="U161" s="3272"/>
      <c r="V161" s="3272"/>
      <c r="W161" s="3272"/>
      <c r="X161" s="3272"/>
      <c r="Y161" s="3273"/>
      <c r="Z161" s="3271">
        <f>SUM(AD144:AD159)</f>
        <v>0</v>
      </c>
      <c r="AA161" s="3272"/>
      <c r="AB161" s="3272"/>
      <c r="AC161" s="3272"/>
      <c r="AD161" s="3272"/>
      <c r="AE161" s="3273"/>
      <c r="AF161" s="20"/>
      <c r="AG161" t="b">
        <f>AG163</f>
        <v>0</v>
      </c>
    </row>
    <row r="162" spans="1:33" ht="13.5" customHeight="1">
      <c r="A162" s="548" t="s">
        <v>1062</v>
      </c>
      <c r="B162" s="2971"/>
      <c r="C162" s="2972"/>
      <c r="D162" s="2972"/>
      <c r="E162" s="2972"/>
      <c r="F162" s="2972"/>
      <c r="G162" s="3274"/>
      <c r="H162" s="2971"/>
      <c r="I162" s="2972"/>
      <c r="J162" s="2972"/>
      <c r="K162" s="2972"/>
      <c r="L162" s="2972"/>
      <c r="M162" s="3274"/>
      <c r="N162" s="2971"/>
      <c r="O162" s="2972"/>
      <c r="P162" s="2972"/>
      <c r="Q162" s="2972"/>
      <c r="R162" s="2972"/>
      <c r="S162" s="3274"/>
      <c r="T162" s="2971"/>
      <c r="U162" s="2972"/>
      <c r="V162" s="2972"/>
      <c r="W162" s="2972"/>
      <c r="X162" s="2972"/>
      <c r="Y162" s="3274"/>
      <c r="Z162" s="2971"/>
      <c r="AA162" s="2972"/>
      <c r="AB162" s="2972"/>
      <c r="AC162" s="2972"/>
      <c r="AD162" s="2972"/>
      <c r="AE162" s="3274"/>
      <c r="AF162" s="20"/>
      <c r="AG162" t="b">
        <f>AG163</f>
        <v>0</v>
      </c>
    </row>
    <row r="163" spans="1:33" ht="13.5" customHeight="1">
      <c r="A163" s="548" t="s">
        <v>1064</v>
      </c>
      <c r="B163" s="3271">
        <f>B161-B162</f>
        <v>0</v>
      </c>
      <c r="C163" s="3272"/>
      <c r="D163" s="3272"/>
      <c r="E163" s="3272"/>
      <c r="F163" s="3272"/>
      <c r="G163" s="3273"/>
      <c r="H163" s="3271">
        <f>H161-H162</f>
        <v>0</v>
      </c>
      <c r="I163" s="3272"/>
      <c r="J163" s="3272"/>
      <c r="K163" s="3272"/>
      <c r="L163" s="3272"/>
      <c r="M163" s="3273"/>
      <c r="N163" s="3271">
        <f>N161-N162</f>
        <v>0</v>
      </c>
      <c r="O163" s="3272"/>
      <c r="P163" s="3272"/>
      <c r="Q163" s="3272"/>
      <c r="R163" s="3272"/>
      <c r="S163" s="3273"/>
      <c r="T163" s="3271">
        <f>T161-T162</f>
        <v>0</v>
      </c>
      <c r="U163" s="3272"/>
      <c r="V163" s="3272"/>
      <c r="W163" s="3272"/>
      <c r="X163" s="3272"/>
      <c r="Y163" s="3273"/>
      <c r="Z163" s="3271">
        <f>Z161-Z162</f>
        <v>0</v>
      </c>
      <c r="AA163" s="3272"/>
      <c r="AB163" s="3272"/>
      <c r="AC163" s="3272"/>
      <c r="AD163" s="3272"/>
      <c r="AE163" s="3273"/>
      <c r="AF163" s="20"/>
      <c r="AG163" t="b">
        <f>SUM(B163:AE163)&lt;&gt;0</f>
        <v>0</v>
      </c>
    </row>
    <row r="164" spans="1:33" ht="13.5" customHeight="1">
      <c r="AG164" t="b">
        <f>AG188</f>
        <v>0</v>
      </c>
    </row>
    <row r="165" spans="1:33" ht="13.5" customHeight="1">
      <c r="A165" s="3308" t="s">
        <v>1040</v>
      </c>
      <c r="B165" s="3297" t="s">
        <v>1056</v>
      </c>
      <c r="C165" s="3298"/>
      <c r="D165" s="3298"/>
      <c r="E165" s="3298"/>
      <c r="F165" s="3298"/>
      <c r="G165" s="3299"/>
      <c r="H165" s="3297" t="s">
        <v>1056</v>
      </c>
      <c r="I165" s="3298"/>
      <c r="J165" s="3298"/>
      <c r="K165" s="3298"/>
      <c r="L165" s="3298"/>
      <c r="M165" s="3299"/>
      <c r="N165" s="3297" t="s">
        <v>1056</v>
      </c>
      <c r="O165" s="3298"/>
      <c r="P165" s="3298"/>
      <c r="Q165" s="3298"/>
      <c r="R165" s="3298"/>
      <c r="S165" s="3299"/>
      <c r="T165" s="3297" t="s">
        <v>1056</v>
      </c>
      <c r="U165" s="3298"/>
      <c r="V165" s="3298"/>
      <c r="W165" s="3298"/>
      <c r="X165" s="3298"/>
      <c r="Y165" s="3299"/>
      <c r="Z165" s="3297" t="s">
        <v>1056</v>
      </c>
      <c r="AA165" s="3298"/>
      <c r="AB165" s="3298"/>
      <c r="AC165" s="3298"/>
      <c r="AD165" s="3298"/>
      <c r="AE165" s="3299"/>
      <c r="AG165" t="b">
        <f>AG188</f>
        <v>0</v>
      </c>
    </row>
    <row r="166" spans="1:33" ht="13.5" customHeight="1">
      <c r="A166" s="3295"/>
      <c r="B166" s="543" t="s">
        <v>1057</v>
      </c>
      <c r="C166" s="543"/>
      <c r="D166" s="544" t="s">
        <v>1058</v>
      </c>
      <c r="E166" s="545"/>
      <c r="F166" s="546" t="s">
        <v>1059</v>
      </c>
      <c r="G166" s="543"/>
      <c r="H166" s="546" t="s">
        <v>1057</v>
      </c>
      <c r="I166" s="543"/>
      <c r="J166" s="544" t="s">
        <v>1058</v>
      </c>
      <c r="K166" s="545"/>
      <c r="L166" s="546" t="s">
        <v>1059</v>
      </c>
      <c r="M166" s="543"/>
      <c r="N166" s="546" t="s">
        <v>1057</v>
      </c>
      <c r="O166" s="543"/>
      <c r="P166" s="544" t="s">
        <v>1058</v>
      </c>
      <c r="Q166" s="545"/>
      <c r="R166" s="546" t="s">
        <v>1059</v>
      </c>
      <c r="S166" s="543"/>
      <c r="T166" s="546" t="s">
        <v>1057</v>
      </c>
      <c r="U166" s="543"/>
      <c r="V166" s="544" t="s">
        <v>1058</v>
      </c>
      <c r="W166" s="545"/>
      <c r="X166" s="546" t="s">
        <v>1059</v>
      </c>
      <c r="Y166" s="543"/>
      <c r="Z166" s="546" t="s">
        <v>1057</v>
      </c>
      <c r="AA166" s="543"/>
      <c r="AB166" s="544" t="s">
        <v>1058</v>
      </c>
      <c r="AC166" s="545"/>
      <c r="AD166" s="546" t="s">
        <v>1059</v>
      </c>
      <c r="AE166" s="545"/>
      <c r="AF166" s="547"/>
      <c r="AG166" t="b">
        <f>AG188</f>
        <v>0</v>
      </c>
    </row>
    <row r="167" spans="1:33" ht="13.5" customHeight="1">
      <c r="A167" s="3295"/>
      <c r="B167" s="3300"/>
      <c r="C167" s="3301"/>
      <c r="D167" s="3302"/>
      <c r="E167" s="3303"/>
      <c r="F167" s="3304">
        <f t="shared" ref="F167:F182" si="36">ROUNDDOWN(B167*D167,2)</f>
        <v>0</v>
      </c>
      <c r="G167" s="3134"/>
      <c r="H167" s="3307"/>
      <c r="I167" s="3300"/>
      <c r="J167" s="3302"/>
      <c r="K167" s="3303"/>
      <c r="L167" s="3304">
        <f t="shared" ref="L167:L182" si="37">ROUNDDOWN(H167*J167,2)</f>
        <v>0</v>
      </c>
      <c r="M167" s="3134"/>
      <c r="N167" s="3307"/>
      <c r="O167" s="3300"/>
      <c r="P167" s="3302"/>
      <c r="Q167" s="3303"/>
      <c r="R167" s="3304">
        <f t="shared" ref="R167:R182" si="38">ROUNDDOWN(N167*P167,2)</f>
        <v>0</v>
      </c>
      <c r="S167" s="3134"/>
      <c r="T167" s="3307"/>
      <c r="U167" s="3301"/>
      <c r="V167" s="3302"/>
      <c r="W167" s="3303"/>
      <c r="X167" s="3304">
        <f t="shared" ref="X167:X182" si="39">ROUNDDOWN(T167*V167,2)</f>
        <v>0</v>
      </c>
      <c r="Y167" s="3134"/>
      <c r="Z167" s="3307"/>
      <c r="AA167" s="3301"/>
      <c r="AB167" s="3300"/>
      <c r="AC167" s="3303"/>
      <c r="AD167" s="3305">
        <f t="shared" ref="AD167:AD182" si="40">ROUNDDOWN(Z167*AB167,2)</f>
        <v>0</v>
      </c>
      <c r="AE167" s="3306"/>
      <c r="AF167" s="20"/>
      <c r="AG167" t="b">
        <f t="shared" ref="AG167:AG182" si="41">SUM(B167:AE167)&lt;&gt;0</f>
        <v>0</v>
      </c>
    </row>
    <row r="168" spans="1:33" ht="13.5" customHeight="1">
      <c r="A168" s="3295"/>
      <c r="B168" s="3286"/>
      <c r="C168" s="3287"/>
      <c r="D168" s="3288"/>
      <c r="E168" s="3289"/>
      <c r="F168" s="3290">
        <f t="shared" si="36"/>
        <v>0</v>
      </c>
      <c r="G168" s="3291"/>
      <c r="H168" s="3292"/>
      <c r="I168" s="3286"/>
      <c r="J168" s="3288"/>
      <c r="K168" s="3289"/>
      <c r="L168" s="3290">
        <f t="shared" si="37"/>
        <v>0</v>
      </c>
      <c r="M168" s="3291"/>
      <c r="N168" s="3292"/>
      <c r="O168" s="3286"/>
      <c r="P168" s="3288"/>
      <c r="Q168" s="3289"/>
      <c r="R168" s="3290">
        <f t="shared" si="38"/>
        <v>0</v>
      </c>
      <c r="S168" s="3291"/>
      <c r="T168" s="3292"/>
      <c r="U168" s="3287"/>
      <c r="V168" s="3288"/>
      <c r="W168" s="3289"/>
      <c r="X168" s="3290">
        <f t="shared" si="39"/>
        <v>0</v>
      </c>
      <c r="Y168" s="3291"/>
      <c r="Z168" s="3292"/>
      <c r="AA168" s="3287"/>
      <c r="AB168" s="3286"/>
      <c r="AC168" s="3289"/>
      <c r="AD168" s="3290">
        <f t="shared" si="40"/>
        <v>0</v>
      </c>
      <c r="AE168" s="3291"/>
      <c r="AF168" s="20"/>
      <c r="AG168" t="b">
        <f t="shared" si="41"/>
        <v>0</v>
      </c>
    </row>
    <row r="169" spans="1:33" ht="13.5" customHeight="1">
      <c r="A169" s="3295"/>
      <c r="B169" s="3286"/>
      <c r="C169" s="3287"/>
      <c r="D169" s="3288"/>
      <c r="E169" s="3289"/>
      <c r="F169" s="3290">
        <f t="shared" si="36"/>
        <v>0</v>
      </c>
      <c r="G169" s="3291"/>
      <c r="H169" s="3292"/>
      <c r="I169" s="3286"/>
      <c r="J169" s="3288"/>
      <c r="K169" s="3289"/>
      <c r="L169" s="3290">
        <f t="shared" si="37"/>
        <v>0</v>
      </c>
      <c r="M169" s="3291"/>
      <c r="N169" s="3292"/>
      <c r="O169" s="3286"/>
      <c r="P169" s="3288"/>
      <c r="Q169" s="3289"/>
      <c r="R169" s="3290">
        <f t="shared" si="38"/>
        <v>0</v>
      </c>
      <c r="S169" s="3291"/>
      <c r="T169" s="3292"/>
      <c r="U169" s="3287"/>
      <c r="V169" s="3288"/>
      <c r="W169" s="3289"/>
      <c r="X169" s="3290">
        <f t="shared" si="39"/>
        <v>0</v>
      </c>
      <c r="Y169" s="3291"/>
      <c r="Z169" s="3292"/>
      <c r="AA169" s="3287"/>
      <c r="AB169" s="3286"/>
      <c r="AC169" s="3289"/>
      <c r="AD169" s="3290">
        <f t="shared" si="40"/>
        <v>0</v>
      </c>
      <c r="AE169" s="3291"/>
      <c r="AF169" s="20"/>
      <c r="AG169" t="b">
        <f t="shared" si="41"/>
        <v>0</v>
      </c>
    </row>
    <row r="170" spans="1:33" ht="13.5" customHeight="1">
      <c r="A170" s="3295"/>
      <c r="B170" s="3286"/>
      <c r="C170" s="3287"/>
      <c r="D170" s="3288"/>
      <c r="E170" s="3289"/>
      <c r="F170" s="3290">
        <f t="shared" si="36"/>
        <v>0</v>
      </c>
      <c r="G170" s="3291"/>
      <c r="H170" s="3292"/>
      <c r="I170" s="3286"/>
      <c r="J170" s="3288"/>
      <c r="K170" s="3289"/>
      <c r="L170" s="3290">
        <f t="shared" si="37"/>
        <v>0</v>
      </c>
      <c r="M170" s="3291"/>
      <c r="N170" s="3292"/>
      <c r="O170" s="3286"/>
      <c r="P170" s="3288"/>
      <c r="Q170" s="3289"/>
      <c r="R170" s="3290">
        <f t="shared" si="38"/>
        <v>0</v>
      </c>
      <c r="S170" s="3291"/>
      <c r="T170" s="3292"/>
      <c r="U170" s="3287"/>
      <c r="V170" s="3288"/>
      <c r="W170" s="3289"/>
      <c r="X170" s="3290">
        <f t="shared" si="39"/>
        <v>0</v>
      </c>
      <c r="Y170" s="3291"/>
      <c r="Z170" s="3292"/>
      <c r="AA170" s="3287"/>
      <c r="AB170" s="3286"/>
      <c r="AC170" s="3289"/>
      <c r="AD170" s="3290">
        <f t="shared" si="40"/>
        <v>0</v>
      </c>
      <c r="AE170" s="3291"/>
      <c r="AF170" s="20"/>
      <c r="AG170" t="b">
        <f t="shared" si="41"/>
        <v>0</v>
      </c>
    </row>
    <row r="171" spans="1:33" ht="13.5" customHeight="1">
      <c r="A171" s="3295"/>
      <c r="B171" s="3286"/>
      <c r="C171" s="3287"/>
      <c r="D171" s="3288"/>
      <c r="E171" s="3289"/>
      <c r="F171" s="3290">
        <f t="shared" si="36"/>
        <v>0</v>
      </c>
      <c r="G171" s="3291"/>
      <c r="H171" s="3292"/>
      <c r="I171" s="3286"/>
      <c r="J171" s="3288"/>
      <c r="K171" s="3289"/>
      <c r="L171" s="3290">
        <f t="shared" si="37"/>
        <v>0</v>
      </c>
      <c r="M171" s="3291"/>
      <c r="N171" s="3292"/>
      <c r="O171" s="3286"/>
      <c r="P171" s="3288"/>
      <c r="Q171" s="3289"/>
      <c r="R171" s="3290">
        <f t="shared" si="38"/>
        <v>0</v>
      </c>
      <c r="S171" s="3291"/>
      <c r="T171" s="3292"/>
      <c r="U171" s="3287"/>
      <c r="V171" s="3288"/>
      <c r="W171" s="3289"/>
      <c r="X171" s="3290">
        <f t="shared" si="39"/>
        <v>0</v>
      </c>
      <c r="Y171" s="3291"/>
      <c r="Z171" s="3292"/>
      <c r="AA171" s="3287"/>
      <c r="AB171" s="3286"/>
      <c r="AC171" s="3289"/>
      <c r="AD171" s="3290">
        <f t="shared" si="40"/>
        <v>0</v>
      </c>
      <c r="AE171" s="3291"/>
      <c r="AF171" s="20"/>
      <c r="AG171" t="b">
        <f t="shared" si="41"/>
        <v>0</v>
      </c>
    </row>
    <row r="172" spans="1:33" ht="13.5" customHeight="1">
      <c r="A172" s="3295"/>
      <c r="B172" s="3286"/>
      <c r="C172" s="3287"/>
      <c r="D172" s="3288"/>
      <c r="E172" s="3289"/>
      <c r="F172" s="3290">
        <f t="shared" si="36"/>
        <v>0</v>
      </c>
      <c r="G172" s="3291"/>
      <c r="H172" s="3292"/>
      <c r="I172" s="3286"/>
      <c r="J172" s="3288"/>
      <c r="K172" s="3289"/>
      <c r="L172" s="3290">
        <f t="shared" si="37"/>
        <v>0</v>
      </c>
      <c r="M172" s="3291"/>
      <c r="N172" s="3292"/>
      <c r="O172" s="3286"/>
      <c r="P172" s="3288"/>
      <c r="Q172" s="3289"/>
      <c r="R172" s="3290">
        <f t="shared" si="38"/>
        <v>0</v>
      </c>
      <c r="S172" s="3291"/>
      <c r="T172" s="3292"/>
      <c r="U172" s="3287"/>
      <c r="V172" s="3288"/>
      <c r="W172" s="3289"/>
      <c r="X172" s="3290">
        <f t="shared" si="39"/>
        <v>0</v>
      </c>
      <c r="Y172" s="3291"/>
      <c r="Z172" s="3292"/>
      <c r="AA172" s="3287"/>
      <c r="AB172" s="3286"/>
      <c r="AC172" s="3289"/>
      <c r="AD172" s="3290">
        <f t="shared" si="40"/>
        <v>0</v>
      </c>
      <c r="AE172" s="3291"/>
      <c r="AF172" s="20"/>
      <c r="AG172" t="b">
        <f t="shared" si="41"/>
        <v>0</v>
      </c>
    </row>
    <row r="173" spans="1:33" ht="13.5" customHeight="1">
      <c r="A173" s="3295"/>
      <c r="B173" s="3286"/>
      <c r="C173" s="3287"/>
      <c r="D173" s="3288"/>
      <c r="E173" s="3289"/>
      <c r="F173" s="3290">
        <f t="shared" si="36"/>
        <v>0</v>
      </c>
      <c r="G173" s="3291"/>
      <c r="H173" s="3292"/>
      <c r="I173" s="3286"/>
      <c r="J173" s="3288"/>
      <c r="K173" s="3289"/>
      <c r="L173" s="3290">
        <f t="shared" si="37"/>
        <v>0</v>
      </c>
      <c r="M173" s="3291"/>
      <c r="N173" s="3292"/>
      <c r="O173" s="3286"/>
      <c r="P173" s="3288"/>
      <c r="Q173" s="3289"/>
      <c r="R173" s="3290">
        <f t="shared" si="38"/>
        <v>0</v>
      </c>
      <c r="S173" s="3291"/>
      <c r="T173" s="3292"/>
      <c r="U173" s="3287"/>
      <c r="V173" s="3288"/>
      <c r="W173" s="3289"/>
      <c r="X173" s="3290">
        <f t="shared" si="39"/>
        <v>0</v>
      </c>
      <c r="Y173" s="3291"/>
      <c r="Z173" s="3292"/>
      <c r="AA173" s="3287"/>
      <c r="AB173" s="3286"/>
      <c r="AC173" s="3289"/>
      <c r="AD173" s="3290">
        <f t="shared" si="40"/>
        <v>0</v>
      </c>
      <c r="AE173" s="3291"/>
      <c r="AF173" s="20"/>
      <c r="AG173" t="b">
        <f t="shared" si="41"/>
        <v>0</v>
      </c>
    </row>
    <row r="174" spans="1:33" ht="13.5" customHeight="1">
      <c r="A174" s="3295"/>
      <c r="B174" s="3286"/>
      <c r="C174" s="3287"/>
      <c r="D174" s="3288"/>
      <c r="E174" s="3289"/>
      <c r="F174" s="3290">
        <f t="shared" si="36"/>
        <v>0</v>
      </c>
      <c r="G174" s="3291"/>
      <c r="H174" s="3292"/>
      <c r="I174" s="3286"/>
      <c r="J174" s="3288"/>
      <c r="K174" s="3289"/>
      <c r="L174" s="3290">
        <f t="shared" si="37"/>
        <v>0</v>
      </c>
      <c r="M174" s="3291"/>
      <c r="N174" s="3292"/>
      <c r="O174" s="3286"/>
      <c r="P174" s="3288"/>
      <c r="Q174" s="3289"/>
      <c r="R174" s="3290">
        <f t="shared" si="38"/>
        <v>0</v>
      </c>
      <c r="S174" s="3291"/>
      <c r="T174" s="3292"/>
      <c r="U174" s="3287"/>
      <c r="V174" s="3288"/>
      <c r="W174" s="3289"/>
      <c r="X174" s="3290">
        <f t="shared" si="39"/>
        <v>0</v>
      </c>
      <c r="Y174" s="3291"/>
      <c r="Z174" s="3292"/>
      <c r="AA174" s="3287"/>
      <c r="AB174" s="3286"/>
      <c r="AC174" s="3289"/>
      <c r="AD174" s="3290">
        <f t="shared" si="40"/>
        <v>0</v>
      </c>
      <c r="AE174" s="3291"/>
      <c r="AF174" s="20"/>
      <c r="AG174" t="b">
        <f t="shared" si="41"/>
        <v>0</v>
      </c>
    </row>
    <row r="175" spans="1:33" ht="13.5" customHeight="1">
      <c r="A175" s="3295"/>
      <c r="B175" s="3286"/>
      <c r="C175" s="3287"/>
      <c r="D175" s="3288"/>
      <c r="E175" s="3289"/>
      <c r="F175" s="3290">
        <f t="shared" si="36"/>
        <v>0</v>
      </c>
      <c r="G175" s="3291"/>
      <c r="H175" s="3292"/>
      <c r="I175" s="3286"/>
      <c r="J175" s="3288"/>
      <c r="K175" s="3289"/>
      <c r="L175" s="3290">
        <f t="shared" si="37"/>
        <v>0</v>
      </c>
      <c r="M175" s="3291"/>
      <c r="N175" s="3292"/>
      <c r="O175" s="3286"/>
      <c r="P175" s="3288"/>
      <c r="Q175" s="3289"/>
      <c r="R175" s="3290">
        <f t="shared" si="38"/>
        <v>0</v>
      </c>
      <c r="S175" s="3291"/>
      <c r="T175" s="3292"/>
      <c r="U175" s="3287"/>
      <c r="V175" s="3288"/>
      <c r="W175" s="3289"/>
      <c r="X175" s="3290">
        <f t="shared" si="39"/>
        <v>0</v>
      </c>
      <c r="Y175" s="3291"/>
      <c r="Z175" s="3292"/>
      <c r="AA175" s="3287"/>
      <c r="AB175" s="3286"/>
      <c r="AC175" s="3289"/>
      <c r="AD175" s="3290">
        <f t="shared" si="40"/>
        <v>0</v>
      </c>
      <c r="AE175" s="3291"/>
      <c r="AF175" s="20"/>
      <c r="AG175" t="b">
        <f t="shared" si="41"/>
        <v>0</v>
      </c>
    </row>
    <row r="176" spans="1:33" ht="13.5" customHeight="1">
      <c r="A176" s="3295"/>
      <c r="B176" s="3286"/>
      <c r="C176" s="3287"/>
      <c r="D176" s="3288"/>
      <c r="E176" s="3289"/>
      <c r="F176" s="3290">
        <f t="shared" si="36"/>
        <v>0</v>
      </c>
      <c r="G176" s="3291"/>
      <c r="H176" s="3292"/>
      <c r="I176" s="3286"/>
      <c r="J176" s="3288"/>
      <c r="K176" s="3289"/>
      <c r="L176" s="3290">
        <f t="shared" si="37"/>
        <v>0</v>
      </c>
      <c r="M176" s="3291"/>
      <c r="N176" s="3292"/>
      <c r="O176" s="3286"/>
      <c r="P176" s="3288"/>
      <c r="Q176" s="3289"/>
      <c r="R176" s="3290">
        <f t="shared" si="38"/>
        <v>0</v>
      </c>
      <c r="S176" s="3291"/>
      <c r="T176" s="3292"/>
      <c r="U176" s="3287"/>
      <c r="V176" s="3288"/>
      <c r="W176" s="3289"/>
      <c r="X176" s="3290">
        <f t="shared" si="39"/>
        <v>0</v>
      </c>
      <c r="Y176" s="3291"/>
      <c r="Z176" s="3292"/>
      <c r="AA176" s="3287"/>
      <c r="AB176" s="3286"/>
      <c r="AC176" s="3289"/>
      <c r="AD176" s="3290">
        <f t="shared" si="40"/>
        <v>0</v>
      </c>
      <c r="AE176" s="3291"/>
      <c r="AF176" s="20"/>
      <c r="AG176" t="b">
        <f t="shared" si="41"/>
        <v>0</v>
      </c>
    </row>
    <row r="177" spans="1:33" ht="13.5" customHeight="1">
      <c r="A177" s="3295"/>
      <c r="B177" s="3286"/>
      <c r="C177" s="3287"/>
      <c r="D177" s="3288"/>
      <c r="E177" s="3289"/>
      <c r="F177" s="3290">
        <f t="shared" si="36"/>
        <v>0</v>
      </c>
      <c r="G177" s="3291"/>
      <c r="H177" s="3292"/>
      <c r="I177" s="3286"/>
      <c r="J177" s="3288"/>
      <c r="K177" s="3289"/>
      <c r="L177" s="3290">
        <f t="shared" si="37"/>
        <v>0</v>
      </c>
      <c r="M177" s="3291"/>
      <c r="N177" s="3292"/>
      <c r="O177" s="3286"/>
      <c r="P177" s="3288"/>
      <c r="Q177" s="3289"/>
      <c r="R177" s="3290">
        <f t="shared" si="38"/>
        <v>0</v>
      </c>
      <c r="S177" s="3291"/>
      <c r="T177" s="3292"/>
      <c r="U177" s="3287"/>
      <c r="V177" s="3288"/>
      <c r="W177" s="3289"/>
      <c r="X177" s="3290">
        <f t="shared" si="39"/>
        <v>0</v>
      </c>
      <c r="Y177" s="3291"/>
      <c r="Z177" s="3292"/>
      <c r="AA177" s="3287"/>
      <c r="AB177" s="3286"/>
      <c r="AC177" s="3289"/>
      <c r="AD177" s="3290">
        <f t="shared" si="40"/>
        <v>0</v>
      </c>
      <c r="AE177" s="3291"/>
      <c r="AF177" s="20"/>
      <c r="AG177" t="b">
        <f t="shared" si="41"/>
        <v>0</v>
      </c>
    </row>
    <row r="178" spans="1:33" ht="13.5" customHeight="1">
      <c r="A178" s="3295"/>
      <c r="B178" s="3286"/>
      <c r="C178" s="3287"/>
      <c r="D178" s="3288"/>
      <c r="E178" s="3289"/>
      <c r="F178" s="3290">
        <f t="shared" si="36"/>
        <v>0</v>
      </c>
      <c r="G178" s="3291"/>
      <c r="H178" s="3292"/>
      <c r="I178" s="3286"/>
      <c r="J178" s="3288"/>
      <c r="K178" s="3289"/>
      <c r="L178" s="3290">
        <f t="shared" si="37"/>
        <v>0</v>
      </c>
      <c r="M178" s="3291"/>
      <c r="N178" s="3292"/>
      <c r="O178" s="3286"/>
      <c r="P178" s="3288"/>
      <c r="Q178" s="3289"/>
      <c r="R178" s="3290">
        <f t="shared" si="38"/>
        <v>0</v>
      </c>
      <c r="S178" s="3291"/>
      <c r="T178" s="3292"/>
      <c r="U178" s="3287"/>
      <c r="V178" s="3288"/>
      <c r="W178" s="3289"/>
      <c r="X178" s="3290">
        <f t="shared" si="39"/>
        <v>0</v>
      </c>
      <c r="Y178" s="3291"/>
      <c r="Z178" s="3292"/>
      <c r="AA178" s="3287"/>
      <c r="AB178" s="3286"/>
      <c r="AC178" s="3289"/>
      <c r="AD178" s="3290">
        <f t="shared" si="40"/>
        <v>0</v>
      </c>
      <c r="AE178" s="3291"/>
      <c r="AF178" s="20"/>
      <c r="AG178" t="b">
        <f t="shared" si="41"/>
        <v>0</v>
      </c>
    </row>
    <row r="179" spans="1:33" ht="13.5" customHeight="1">
      <c r="A179" s="3295"/>
      <c r="B179" s="3286"/>
      <c r="C179" s="3287"/>
      <c r="D179" s="3288"/>
      <c r="E179" s="3289"/>
      <c r="F179" s="3290">
        <f t="shared" si="36"/>
        <v>0</v>
      </c>
      <c r="G179" s="3291"/>
      <c r="H179" s="3292"/>
      <c r="I179" s="3286"/>
      <c r="J179" s="3288"/>
      <c r="K179" s="3289"/>
      <c r="L179" s="3290">
        <f t="shared" si="37"/>
        <v>0</v>
      </c>
      <c r="M179" s="3291"/>
      <c r="N179" s="3292"/>
      <c r="O179" s="3286"/>
      <c r="P179" s="3288"/>
      <c r="Q179" s="3289"/>
      <c r="R179" s="3290">
        <f t="shared" si="38"/>
        <v>0</v>
      </c>
      <c r="S179" s="3291"/>
      <c r="T179" s="3292"/>
      <c r="U179" s="3287"/>
      <c r="V179" s="3288"/>
      <c r="W179" s="3289"/>
      <c r="X179" s="3290">
        <f t="shared" si="39"/>
        <v>0</v>
      </c>
      <c r="Y179" s="3291"/>
      <c r="Z179" s="3292"/>
      <c r="AA179" s="3287"/>
      <c r="AB179" s="3286"/>
      <c r="AC179" s="3289"/>
      <c r="AD179" s="3290">
        <f t="shared" si="40"/>
        <v>0</v>
      </c>
      <c r="AE179" s="3291"/>
      <c r="AF179" s="20"/>
      <c r="AG179" t="b">
        <f t="shared" si="41"/>
        <v>0</v>
      </c>
    </row>
    <row r="180" spans="1:33" ht="13.5" customHeight="1">
      <c r="A180" s="3295"/>
      <c r="B180" s="3286"/>
      <c r="C180" s="3287"/>
      <c r="D180" s="3288"/>
      <c r="E180" s="3289"/>
      <c r="F180" s="3290">
        <f t="shared" si="36"/>
        <v>0</v>
      </c>
      <c r="G180" s="3291"/>
      <c r="H180" s="3292"/>
      <c r="I180" s="3286"/>
      <c r="J180" s="3288"/>
      <c r="K180" s="3289"/>
      <c r="L180" s="3290">
        <f t="shared" si="37"/>
        <v>0</v>
      </c>
      <c r="M180" s="3291"/>
      <c r="N180" s="3292"/>
      <c r="O180" s="3286"/>
      <c r="P180" s="3288"/>
      <c r="Q180" s="3289"/>
      <c r="R180" s="3290">
        <f t="shared" si="38"/>
        <v>0</v>
      </c>
      <c r="S180" s="3291"/>
      <c r="T180" s="3292"/>
      <c r="U180" s="3287"/>
      <c r="V180" s="3288"/>
      <c r="W180" s="3289"/>
      <c r="X180" s="3290">
        <f t="shared" si="39"/>
        <v>0</v>
      </c>
      <c r="Y180" s="3291"/>
      <c r="Z180" s="3292"/>
      <c r="AA180" s="3287"/>
      <c r="AB180" s="3286"/>
      <c r="AC180" s="3289"/>
      <c r="AD180" s="3290">
        <f t="shared" si="40"/>
        <v>0</v>
      </c>
      <c r="AE180" s="3291"/>
      <c r="AF180" s="20"/>
      <c r="AG180" t="b">
        <f t="shared" si="41"/>
        <v>0</v>
      </c>
    </row>
    <row r="181" spans="1:33" ht="13.5" customHeight="1">
      <c r="A181" s="3295"/>
      <c r="B181" s="3286"/>
      <c r="C181" s="3287"/>
      <c r="D181" s="3288"/>
      <c r="E181" s="3289"/>
      <c r="F181" s="3290">
        <f t="shared" si="36"/>
        <v>0</v>
      </c>
      <c r="G181" s="3291"/>
      <c r="H181" s="3292"/>
      <c r="I181" s="3286"/>
      <c r="J181" s="3288"/>
      <c r="K181" s="3289"/>
      <c r="L181" s="3290">
        <f t="shared" si="37"/>
        <v>0</v>
      </c>
      <c r="M181" s="3291"/>
      <c r="N181" s="3292"/>
      <c r="O181" s="3286"/>
      <c r="P181" s="3288"/>
      <c r="Q181" s="3289"/>
      <c r="R181" s="3290">
        <f t="shared" si="38"/>
        <v>0</v>
      </c>
      <c r="S181" s="3291"/>
      <c r="T181" s="3292"/>
      <c r="U181" s="3287"/>
      <c r="V181" s="3288"/>
      <c r="W181" s="3289"/>
      <c r="X181" s="3290">
        <f t="shared" si="39"/>
        <v>0</v>
      </c>
      <c r="Y181" s="3291"/>
      <c r="Z181" s="3292"/>
      <c r="AA181" s="3287"/>
      <c r="AB181" s="3286"/>
      <c r="AC181" s="3289"/>
      <c r="AD181" s="3290">
        <f t="shared" si="40"/>
        <v>0</v>
      </c>
      <c r="AE181" s="3291"/>
      <c r="AF181" s="20"/>
      <c r="AG181" t="b">
        <f t="shared" si="41"/>
        <v>0</v>
      </c>
    </row>
    <row r="182" spans="1:33" ht="13.5" customHeight="1">
      <c r="A182" s="3296"/>
      <c r="B182" s="3293"/>
      <c r="C182" s="3279"/>
      <c r="D182" s="3280"/>
      <c r="E182" s="3281"/>
      <c r="F182" s="3138">
        <f t="shared" si="36"/>
        <v>0</v>
      </c>
      <c r="G182" s="3140"/>
      <c r="H182" s="3278"/>
      <c r="I182" s="3293"/>
      <c r="J182" s="3280"/>
      <c r="K182" s="3281"/>
      <c r="L182" s="3138">
        <f t="shared" si="37"/>
        <v>0</v>
      </c>
      <c r="M182" s="3140"/>
      <c r="N182" s="3278"/>
      <c r="O182" s="3293"/>
      <c r="P182" s="3280"/>
      <c r="Q182" s="3281"/>
      <c r="R182" s="3138">
        <f t="shared" si="38"/>
        <v>0</v>
      </c>
      <c r="S182" s="3140"/>
      <c r="T182" s="3278"/>
      <c r="U182" s="3279"/>
      <c r="V182" s="3280"/>
      <c r="W182" s="3281"/>
      <c r="X182" s="3138">
        <f t="shared" si="39"/>
        <v>0</v>
      </c>
      <c r="Y182" s="3140"/>
      <c r="Z182" s="3282"/>
      <c r="AA182" s="3283"/>
      <c r="AB182" s="3284"/>
      <c r="AC182" s="3285"/>
      <c r="AD182" s="3138">
        <f t="shared" si="40"/>
        <v>0</v>
      </c>
      <c r="AE182" s="3140"/>
      <c r="AF182" s="20"/>
      <c r="AG182" t="b">
        <f t="shared" si="41"/>
        <v>0</v>
      </c>
    </row>
    <row r="183" spans="1:33" ht="13.5" customHeight="1">
      <c r="A183" s="548" t="s">
        <v>1067</v>
      </c>
      <c r="B183" s="3275"/>
      <c r="C183" s="3276"/>
      <c r="D183" s="3276"/>
      <c r="E183" s="3276"/>
      <c r="F183" s="3276"/>
      <c r="G183" s="3277"/>
      <c r="H183" s="3275"/>
      <c r="I183" s="3276"/>
      <c r="J183" s="3276"/>
      <c r="K183" s="3276"/>
      <c r="L183" s="3276"/>
      <c r="M183" s="3277"/>
      <c r="N183" s="3275"/>
      <c r="O183" s="3276"/>
      <c r="P183" s="3276"/>
      <c r="Q183" s="3276"/>
      <c r="R183" s="3276"/>
      <c r="S183" s="3277"/>
      <c r="T183" s="3275"/>
      <c r="U183" s="3276"/>
      <c r="V183" s="3276"/>
      <c r="W183" s="3276"/>
      <c r="X183" s="3276"/>
      <c r="Y183" s="3277"/>
      <c r="Z183" s="3275"/>
      <c r="AA183" s="3276"/>
      <c r="AB183" s="3276"/>
      <c r="AC183" s="3276"/>
      <c r="AD183" s="3276"/>
      <c r="AE183" s="3277"/>
      <c r="AF183" s="547"/>
      <c r="AG183" t="b">
        <f>AG188</f>
        <v>0</v>
      </c>
    </row>
    <row r="184" spans="1:33" ht="13.5" customHeight="1">
      <c r="A184" s="1958" t="s">
        <v>1974</v>
      </c>
      <c r="B184" s="3265"/>
      <c r="C184" s="3266"/>
      <c r="D184" s="3266"/>
      <c r="E184" s="3266"/>
      <c r="F184" s="3266"/>
      <c r="G184" s="3267"/>
      <c r="H184" s="3265"/>
      <c r="I184" s="3266"/>
      <c r="J184" s="3266"/>
      <c r="K184" s="3266"/>
      <c r="L184" s="3266"/>
      <c r="M184" s="3267"/>
      <c r="N184" s="3265"/>
      <c r="O184" s="3266"/>
      <c r="P184" s="3266"/>
      <c r="Q184" s="3266"/>
      <c r="R184" s="3266"/>
      <c r="S184" s="3267"/>
      <c r="T184" s="3265"/>
      <c r="U184" s="3266"/>
      <c r="V184" s="3266"/>
      <c r="W184" s="3266"/>
      <c r="X184" s="3266"/>
      <c r="Y184" s="3267"/>
      <c r="Z184" s="3265"/>
      <c r="AA184" s="3266"/>
      <c r="AB184" s="3266"/>
      <c r="AC184" s="3266"/>
      <c r="AD184" s="3266"/>
      <c r="AE184" s="3267"/>
      <c r="AF184" s="547"/>
      <c r="AG184" s="1941" t="b">
        <f>AG188</f>
        <v>0</v>
      </c>
    </row>
    <row r="185" spans="1:33" s="1941" customFormat="1" ht="13.5" customHeight="1">
      <c r="A185" s="1959" t="s">
        <v>1975</v>
      </c>
      <c r="B185" s="3262"/>
      <c r="C185" s="3263"/>
      <c r="D185" s="3263"/>
      <c r="E185" s="3263"/>
      <c r="F185" s="3263"/>
      <c r="G185" s="3264"/>
      <c r="H185" s="3262"/>
      <c r="I185" s="3263"/>
      <c r="J185" s="3263"/>
      <c r="K185" s="3263"/>
      <c r="L185" s="3263"/>
      <c r="M185" s="3264"/>
      <c r="N185" s="3262"/>
      <c r="O185" s="3263"/>
      <c r="P185" s="3263"/>
      <c r="Q185" s="3263"/>
      <c r="R185" s="3263"/>
      <c r="S185" s="3264"/>
      <c r="T185" s="3262"/>
      <c r="U185" s="3263"/>
      <c r="V185" s="3263"/>
      <c r="W185" s="3263"/>
      <c r="X185" s="3263"/>
      <c r="Y185" s="3264"/>
      <c r="Z185" s="3262"/>
      <c r="AA185" s="3263"/>
      <c r="AB185" s="3263"/>
      <c r="AC185" s="3263"/>
      <c r="AD185" s="3263"/>
      <c r="AE185" s="3264"/>
      <c r="AF185" s="547"/>
      <c r="AG185" s="1941" t="b">
        <f>AG188</f>
        <v>0</v>
      </c>
    </row>
    <row r="186" spans="1:33" ht="13.5" customHeight="1" thickBot="1">
      <c r="A186" s="548" t="s">
        <v>1061</v>
      </c>
      <c r="B186" s="3271">
        <f>SUM(F167:F182)</f>
        <v>0</v>
      </c>
      <c r="C186" s="3272"/>
      <c r="D186" s="3272"/>
      <c r="E186" s="3272"/>
      <c r="F186" s="3272"/>
      <c r="G186" s="3273"/>
      <c r="H186" s="3271">
        <f>SUM(L167:L182)</f>
        <v>0</v>
      </c>
      <c r="I186" s="3272"/>
      <c r="J186" s="3272"/>
      <c r="K186" s="3272"/>
      <c r="L186" s="3272"/>
      <c r="M186" s="3273"/>
      <c r="N186" s="3271">
        <f>SUM(R167:R182)</f>
        <v>0</v>
      </c>
      <c r="O186" s="3272"/>
      <c r="P186" s="3272"/>
      <c r="Q186" s="3272"/>
      <c r="R186" s="3272"/>
      <c r="S186" s="3273"/>
      <c r="T186" s="3271">
        <f>SUM(X167:X182)</f>
        <v>0</v>
      </c>
      <c r="U186" s="3272"/>
      <c r="V186" s="3272"/>
      <c r="W186" s="3272"/>
      <c r="X186" s="3272"/>
      <c r="Y186" s="3273"/>
      <c r="Z186" s="3271">
        <f>SUM(AD167:AD182)</f>
        <v>0</v>
      </c>
      <c r="AA186" s="3272"/>
      <c r="AB186" s="3272"/>
      <c r="AC186" s="3272"/>
      <c r="AD186" s="3272"/>
      <c r="AE186" s="3273"/>
      <c r="AF186" s="20"/>
      <c r="AG186" t="b">
        <f>AG188</f>
        <v>0</v>
      </c>
    </row>
    <row r="187" spans="1:33" ht="13.5" customHeight="1">
      <c r="A187" s="548" t="s">
        <v>1062</v>
      </c>
      <c r="B187" s="2971"/>
      <c r="C187" s="2972"/>
      <c r="D187" s="2972"/>
      <c r="E187" s="2972"/>
      <c r="F187" s="2972"/>
      <c r="G187" s="3274"/>
      <c r="H187" s="2971"/>
      <c r="I187" s="2972"/>
      <c r="J187" s="2972"/>
      <c r="K187" s="2972"/>
      <c r="L187" s="2972"/>
      <c r="M187" s="3274"/>
      <c r="N187" s="2971"/>
      <c r="O187" s="2972"/>
      <c r="P187" s="2972"/>
      <c r="Q187" s="2972"/>
      <c r="R187" s="2972"/>
      <c r="S187" s="3274"/>
      <c r="T187" s="2971"/>
      <c r="U187" s="2972"/>
      <c r="V187" s="2972"/>
      <c r="W187" s="2972"/>
      <c r="X187" s="2972"/>
      <c r="Y187" s="3274"/>
      <c r="Z187" s="2971"/>
      <c r="AA187" s="2972"/>
      <c r="AB187" s="2972"/>
      <c r="AC187" s="2972"/>
      <c r="AD187" s="2972"/>
      <c r="AE187" s="2972"/>
      <c r="AF187" s="549" t="s">
        <v>1041</v>
      </c>
      <c r="AG187" t="b">
        <f>AG188</f>
        <v>0</v>
      </c>
    </row>
    <row r="188" spans="1:33" ht="13.5" customHeight="1" thickBot="1">
      <c r="A188" s="548" t="s">
        <v>1069</v>
      </c>
      <c r="B188" s="3271">
        <f>B186-B187</f>
        <v>0</v>
      </c>
      <c r="C188" s="3272"/>
      <c r="D188" s="3272"/>
      <c r="E188" s="3272"/>
      <c r="F188" s="3272"/>
      <c r="G188" s="3273"/>
      <c r="H188" s="3271">
        <f>H186-H187</f>
        <v>0</v>
      </c>
      <c r="I188" s="3272"/>
      <c r="J188" s="3272"/>
      <c r="K188" s="3272"/>
      <c r="L188" s="3272"/>
      <c r="M188" s="3273"/>
      <c r="N188" s="3271">
        <f>N186-N187</f>
        <v>0</v>
      </c>
      <c r="O188" s="3272"/>
      <c r="P188" s="3272"/>
      <c r="Q188" s="3272"/>
      <c r="R188" s="3272"/>
      <c r="S188" s="3273"/>
      <c r="T188" s="3271">
        <f>T186-T187</f>
        <v>0</v>
      </c>
      <c r="U188" s="3272"/>
      <c r="V188" s="3272"/>
      <c r="W188" s="3272"/>
      <c r="X188" s="3272"/>
      <c r="Y188" s="3273"/>
      <c r="Z188" s="3271">
        <f>Z186-Z187</f>
        <v>0</v>
      </c>
      <c r="AA188" s="3272"/>
      <c r="AB188" s="3272"/>
      <c r="AC188" s="3272"/>
      <c r="AD188" s="3272"/>
      <c r="AE188" s="3272"/>
      <c r="AF188" s="550">
        <f>SUMIF(B183:AE183,"*",B188:AE188)-SUMIF(B183:AE183,"無し",B188:AE188)+SUMIF(B208:AE208,"*",B213:AE213)-SUMIF(B208:AE208,"無し",B213:AE213)</f>
        <v>0</v>
      </c>
      <c r="AG188" t="b">
        <f>SUM(A188:AF188)&lt;&gt;0</f>
        <v>0</v>
      </c>
    </row>
    <row r="189" spans="1:33" ht="13.5" customHeight="1">
      <c r="AG189" t="b">
        <f>AG213</f>
        <v>0</v>
      </c>
    </row>
    <row r="190" spans="1:33" ht="13.5" customHeight="1">
      <c r="A190" s="3294" t="s">
        <v>1042</v>
      </c>
      <c r="B190" s="3297" t="s">
        <v>1056</v>
      </c>
      <c r="C190" s="3298"/>
      <c r="D190" s="3298"/>
      <c r="E190" s="3298"/>
      <c r="F190" s="3298"/>
      <c r="G190" s="3299"/>
      <c r="H190" s="3297" t="s">
        <v>1056</v>
      </c>
      <c r="I190" s="3298"/>
      <c r="J190" s="3298"/>
      <c r="K190" s="3298"/>
      <c r="L190" s="3298"/>
      <c r="M190" s="3299"/>
      <c r="N190" s="3297" t="s">
        <v>1056</v>
      </c>
      <c r="O190" s="3298"/>
      <c r="P190" s="3298"/>
      <c r="Q190" s="3298"/>
      <c r="R190" s="3298"/>
      <c r="S190" s="3299"/>
      <c r="T190" s="3297" t="s">
        <v>1056</v>
      </c>
      <c r="U190" s="3298"/>
      <c r="V190" s="3298"/>
      <c r="W190" s="3298"/>
      <c r="X190" s="3298"/>
      <c r="Y190" s="3299"/>
      <c r="Z190" s="3297" t="s">
        <v>1056</v>
      </c>
      <c r="AA190" s="3298"/>
      <c r="AB190" s="3298"/>
      <c r="AC190" s="3298"/>
      <c r="AD190" s="3298"/>
      <c r="AE190" s="3299"/>
      <c r="AG190" t="b">
        <f>AG213</f>
        <v>0</v>
      </c>
    </row>
    <row r="191" spans="1:33" ht="13.5" customHeight="1">
      <c r="A191" s="3295"/>
      <c r="B191" s="543" t="s">
        <v>1057</v>
      </c>
      <c r="C191" s="543"/>
      <c r="D191" s="544" t="s">
        <v>1058</v>
      </c>
      <c r="E191" s="545"/>
      <c r="F191" s="546" t="s">
        <v>1059</v>
      </c>
      <c r="G191" s="543"/>
      <c r="H191" s="546" t="s">
        <v>1057</v>
      </c>
      <c r="I191" s="543"/>
      <c r="J191" s="544" t="s">
        <v>1058</v>
      </c>
      <c r="K191" s="545"/>
      <c r="L191" s="546" t="s">
        <v>1059</v>
      </c>
      <c r="M191" s="543"/>
      <c r="N191" s="546" t="s">
        <v>1057</v>
      </c>
      <c r="O191" s="543"/>
      <c r="P191" s="544" t="s">
        <v>1058</v>
      </c>
      <c r="Q191" s="545"/>
      <c r="R191" s="546" t="s">
        <v>1059</v>
      </c>
      <c r="S191" s="543"/>
      <c r="T191" s="546" t="s">
        <v>1057</v>
      </c>
      <c r="U191" s="543"/>
      <c r="V191" s="544" t="s">
        <v>1058</v>
      </c>
      <c r="W191" s="545"/>
      <c r="X191" s="546" t="s">
        <v>1059</v>
      </c>
      <c r="Y191" s="543"/>
      <c r="Z191" s="546" t="s">
        <v>1057</v>
      </c>
      <c r="AA191" s="543"/>
      <c r="AB191" s="544" t="s">
        <v>1058</v>
      </c>
      <c r="AC191" s="545"/>
      <c r="AD191" s="546" t="s">
        <v>1059</v>
      </c>
      <c r="AE191" s="545"/>
      <c r="AF191" s="547"/>
      <c r="AG191" t="b">
        <f>AG213</f>
        <v>0</v>
      </c>
    </row>
    <row r="192" spans="1:33" ht="13.5" customHeight="1">
      <c r="A192" s="3295"/>
      <c r="B192" s="3300"/>
      <c r="C192" s="3301"/>
      <c r="D192" s="3302"/>
      <c r="E192" s="3303"/>
      <c r="F192" s="3304">
        <f t="shared" ref="F192:F207" si="42">ROUNDDOWN(B192*D192,2)</f>
        <v>0</v>
      </c>
      <c r="G192" s="3134"/>
      <c r="H192" s="3307"/>
      <c r="I192" s="3300"/>
      <c r="J192" s="3302"/>
      <c r="K192" s="3303"/>
      <c r="L192" s="3304">
        <f t="shared" ref="L192:L207" si="43">ROUNDDOWN(H192*J192,2)</f>
        <v>0</v>
      </c>
      <c r="M192" s="3134"/>
      <c r="N192" s="3307"/>
      <c r="O192" s="3300"/>
      <c r="P192" s="3302"/>
      <c r="Q192" s="3303"/>
      <c r="R192" s="3304">
        <f t="shared" ref="R192:R207" si="44">ROUNDDOWN(N192*P192,2)</f>
        <v>0</v>
      </c>
      <c r="S192" s="3134"/>
      <c r="T192" s="3307"/>
      <c r="U192" s="3301"/>
      <c r="V192" s="3302"/>
      <c r="W192" s="3303"/>
      <c r="X192" s="3304">
        <f t="shared" ref="X192:X207" si="45">ROUNDDOWN(T192*V192,2)</f>
        <v>0</v>
      </c>
      <c r="Y192" s="3134"/>
      <c r="Z192" s="3307"/>
      <c r="AA192" s="3301"/>
      <c r="AB192" s="3300"/>
      <c r="AC192" s="3303"/>
      <c r="AD192" s="3305">
        <f t="shared" ref="AD192:AD207" si="46">ROUNDDOWN(Z192*AB192,2)</f>
        <v>0</v>
      </c>
      <c r="AE192" s="3306"/>
      <c r="AF192" s="20"/>
      <c r="AG192" t="b">
        <f t="shared" ref="AG192:AG207" si="47">SUM(B192:AE192)&lt;&gt;0</f>
        <v>0</v>
      </c>
    </row>
    <row r="193" spans="1:33" ht="13.5" customHeight="1">
      <c r="A193" s="3295"/>
      <c r="B193" s="3286"/>
      <c r="C193" s="3287"/>
      <c r="D193" s="3288"/>
      <c r="E193" s="3289"/>
      <c r="F193" s="3290">
        <f t="shared" si="42"/>
        <v>0</v>
      </c>
      <c r="G193" s="3291"/>
      <c r="H193" s="3292"/>
      <c r="I193" s="3286"/>
      <c r="J193" s="3288"/>
      <c r="K193" s="3289"/>
      <c r="L193" s="3290">
        <f t="shared" si="43"/>
        <v>0</v>
      </c>
      <c r="M193" s="3291"/>
      <c r="N193" s="3292"/>
      <c r="O193" s="3286"/>
      <c r="P193" s="3288"/>
      <c r="Q193" s="3289"/>
      <c r="R193" s="3290">
        <f t="shared" si="44"/>
        <v>0</v>
      </c>
      <c r="S193" s="3291"/>
      <c r="T193" s="3292"/>
      <c r="U193" s="3287"/>
      <c r="V193" s="3288"/>
      <c r="W193" s="3289"/>
      <c r="X193" s="3290">
        <f t="shared" si="45"/>
        <v>0</v>
      </c>
      <c r="Y193" s="3291"/>
      <c r="Z193" s="3292"/>
      <c r="AA193" s="3287"/>
      <c r="AB193" s="3286"/>
      <c r="AC193" s="3289"/>
      <c r="AD193" s="3290">
        <f t="shared" si="46"/>
        <v>0</v>
      </c>
      <c r="AE193" s="3291"/>
      <c r="AF193" s="20"/>
      <c r="AG193" t="b">
        <f t="shared" si="47"/>
        <v>0</v>
      </c>
    </row>
    <row r="194" spans="1:33" ht="13.5" customHeight="1">
      <c r="A194" s="3295"/>
      <c r="B194" s="3286"/>
      <c r="C194" s="3287"/>
      <c r="D194" s="3288"/>
      <c r="E194" s="3289"/>
      <c r="F194" s="3290">
        <f t="shared" si="42"/>
        <v>0</v>
      </c>
      <c r="G194" s="3291"/>
      <c r="H194" s="3292"/>
      <c r="I194" s="3286"/>
      <c r="J194" s="3288"/>
      <c r="K194" s="3289"/>
      <c r="L194" s="3290">
        <f t="shared" si="43"/>
        <v>0</v>
      </c>
      <c r="M194" s="3291"/>
      <c r="N194" s="3292"/>
      <c r="O194" s="3286"/>
      <c r="P194" s="3288"/>
      <c r="Q194" s="3289"/>
      <c r="R194" s="3290">
        <f t="shared" si="44"/>
        <v>0</v>
      </c>
      <c r="S194" s="3291"/>
      <c r="T194" s="3292"/>
      <c r="U194" s="3287"/>
      <c r="V194" s="3288"/>
      <c r="W194" s="3289"/>
      <c r="X194" s="3290">
        <f t="shared" si="45"/>
        <v>0</v>
      </c>
      <c r="Y194" s="3291"/>
      <c r="Z194" s="3292"/>
      <c r="AA194" s="3287"/>
      <c r="AB194" s="3286"/>
      <c r="AC194" s="3289"/>
      <c r="AD194" s="3290">
        <f t="shared" si="46"/>
        <v>0</v>
      </c>
      <c r="AE194" s="3291"/>
      <c r="AF194" s="20"/>
      <c r="AG194" t="b">
        <f t="shared" si="47"/>
        <v>0</v>
      </c>
    </row>
    <row r="195" spans="1:33" ht="13.5" customHeight="1">
      <c r="A195" s="3295"/>
      <c r="B195" s="3286"/>
      <c r="C195" s="3287"/>
      <c r="D195" s="3288"/>
      <c r="E195" s="3289"/>
      <c r="F195" s="3290">
        <f t="shared" si="42"/>
        <v>0</v>
      </c>
      <c r="G195" s="3291"/>
      <c r="H195" s="3292"/>
      <c r="I195" s="3286"/>
      <c r="J195" s="3288"/>
      <c r="K195" s="3289"/>
      <c r="L195" s="3290">
        <f t="shared" si="43"/>
        <v>0</v>
      </c>
      <c r="M195" s="3291"/>
      <c r="N195" s="3292"/>
      <c r="O195" s="3286"/>
      <c r="P195" s="3288"/>
      <c r="Q195" s="3289"/>
      <c r="R195" s="3290">
        <f t="shared" si="44"/>
        <v>0</v>
      </c>
      <c r="S195" s="3291"/>
      <c r="T195" s="3292"/>
      <c r="U195" s="3287"/>
      <c r="V195" s="3288"/>
      <c r="W195" s="3289"/>
      <c r="X195" s="3290">
        <f t="shared" si="45"/>
        <v>0</v>
      </c>
      <c r="Y195" s="3291"/>
      <c r="Z195" s="3292"/>
      <c r="AA195" s="3287"/>
      <c r="AB195" s="3286"/>
      <c r="AC195" s="3289"/>
      <c r="AD195" s="3290">
        <f t="shared" si="46"/>
        <v>0</v>
      </c>
      <c r="AE195" s="3291"/>
      <c r="AF195" s="20"/>
      <c r="AG195" t="b">
        <f t="shared" si="47"/>
        <v>0</v>
      </c>
    </row>
    <row r="196" spans="1:33" ht="13.5" customHeight="1">
      <c r="A196" s="3295"/>
      <c r="B196" s="3286"/>
      <c r="C196" s="3287"/>
      <c r="D196" s="3288"/>
      <c r="E196" s="3289"/>
      <c r="F196" s="3290">
        <f t="shared" si="42"/>
        <v>0</v>
      </c>
      <c r="G196" s="3291"/>
      <c r="H196" s="3292"/>
      <c r="I196" s="3286"/>
      <c r="J196" s="3288"/>
      <c r="K196" s="3289"/>
      <c r="L196" s="3290">
        <f t="shared" si="43"/>
        <v>0</v>
      </c>
      <c r="M196" s="3291"/>
      <c r="N196" s="3292"/>
      <c r="O196" s="3286"/>
      <c r="P196" s="3288"/>
      <c r="Q196" s="3289"/>
      <c r="R196" s="3290">
        <f t="shared" si="44"/>
        <v>0</v>
      </c>
      <c r="S196" s="3291"/>
      <c r="T196" s="3292"/>
      <c r="U196" s="3287"/>
      <c r="V196" s="3288"/>
      <c r="W196" s="3289"/>
      <c r="X196" s="3290">
        <f t="shared" si="45"/>
        <v>0</v>
      </c>
      <c r="Y196" s="3291"/>
      <c r="Z196" s="3292"/>
      <c r="AA196" s="3287"/>
      <c r="AB196" s="3286"/>
      <c r="AC196" s="3289"/>
      <c r="AD196" s="3290">
        <f t="shared" si="46"/>
        <v>0</v>
      </c>
      <c r="AE196" s="3291"/>
      <c r="AF196" s="20"/>
      <c r="AG196" t="b">
        <f t="shared" si="47"/>
        <v>0</v>
      </c>
    </row>
    <row r="197" spans="1:33" ht="13.5" customHeight="1">
      <c r="A197" s="3295"/>
      <c r="B197" s="3286"/>
      <c r="C197" s="3287"/>
      <c r="D197" s="3288"/>
      <c r="E197" s="3289"/>
      <c r="F197" s="3290">
        <f t="shared" si="42"/>
        <v>0</v>
      </c>
      <c r="G197" s="3291"/>
      <c r="H197" s="3292"/>
      <c r="I197" s="3286"/>
      <c r="J197" s="3288"/>
      <c r="K197" s="3289"/>
      <c r="L197" s="3290">
        <f t="shared" si="43"/>
        <v>0</v>
      </c>
      <c r="M197" s="3291"/>
      <c r="N197" s="3292"/>
      <c r="O197" s="3286"/>
      <c r="P197" s="3288"/>
      <c r="Q197" s="3289"/>
      <c r="R197" s="3290">
        <f t="shared" si="44"/>
        <v>0</v>
      </c>
      <c r="S197" s="3291"/>
      <c r="T197" s="3292"/>
      <c r="U197" s="3287"/>
      <c r="V197" s="3288"/>
      <c r="W197" s="3289"/>
      <c r="X197" s="3290">
        <f t="shared" si="45"/>
        <v>0</v>
      </c>
      <c r="Y197" s="3291"/>
      <c r="Z197" s="3292"/>
      <c r="AA197" s="3287"/>
      <c r="AB197" s="3286"/>
      <c r="AC197" s="3289"/>
      <c r="AD197" s="3290">
        <f t="shared" si="46"/>
        <v>0</v>
      </c>
      <c r="AE197" s="3291"/>
      <c r="AF197" s="20"/>
      <c r="AG197" t="b">
        <f t="shared" si="47"/>
        <v>0</v>
      </c>
    </row>
    <row r="198" spans="1:33" ht="13.5" customHeight="1">
      <c r="A198" s="3295"/>
      <c r="B198" s="3286"/>
      <c r="C198" s="3287"/>
      <c r="D198" s="3288"/>
      <c r="E198" s="3289"/>
      <c r="F198" s="3290">
        <f t="shared" si="42"/>
        <v>0</v>
      </c>
      <c r="G198" s="3291"/>
      <c r="H198" s="3292"/>
      <c r="I198" s="3286"/>
      <c r="J198" s="3288"/>
      <c r="K198" s="3289"/>
      <c r="L198" s="3290">
        <f t="shared" si="43"/>
        <v>0</v>
      </c>
      <c r="M198" s="3291"/>
      <c r="N198" s="3292"/>
      <c r="O198" s="3286"/>
      <c r="P198" s="3288"/>
      <c r="Q198" s="3289"/>
      <c r="R198" s="3290">
        <f t="shared" si="44"/>
        <v>0</v>
      </c>
      <c r="S198" s="3291"/>
      <c r="T198" s="3292"/>
      <c r="U198" s="3287"/>
      <c r="V198" s="3288"/>
      <c r="W198" s="3289"/>
      <c r="X198" s="3290">
        <f t="shared" si="45"/>
        <v>0</v>
      </c>
      <c r="Y198" s="3291"/>
      <c r="Z198" s="3292"/>
      <c r="AA198" s="3287"/>
      <c r="AB198" s="3286"/>
      <c r="AC198" s="3289"/>
      <c r="AD198" s="3290">
        <f t="shared" si="46"/>
        <v>0</v>
      </c>
      <c r="AE198" s="3291"/>
      <c r="AF198" s="20"/>
      <c r="AG198" t="b">
        <f t="shared" si="47"/>
        <v>0</v>
      </c>
    </row>
    <row r="199" spans="1:33" ht="13.5" customHeight="1">
      <c r="A199" s="3295"/>
      <c r="B199" s="3286"/>
      <c r="C199" s="3287"/>
      <c r="D199" s="3288"/>
      <c r="E199" s="3289"/>
      <c r="F199" s="3290">
        <f t="shared" si="42"/>
        <v>0</v>
      </c>
      <c r="G199" s="3291"/>
      <c r="H199" s="3292"/>
      <c r="I199" s="3286"/>
      <c r="J199" s="3288"/>
      <c r="K199" s="3289"/>
      <c r="L199" s="3290">
        <f t="shared" si="43"/>
        <v>0</v>
      </c>
      <c r="M199" s="3291"/>
      <c r="N199" s="3292"/>
      <c r="O199" s="3286"/>
      <c r="P199" s="3288"/>
      <c r="Q199" s="3289"/>
      <c r="R199" s="3290">
        <f t="shared" si="44"/>
        <v>0</v>
      </c>
      <c r="S199" s="3291"/>
      <c r="T199" s="3292"/>
      <c r="U199" s="3287"/>
      <c r="V199" s="3288"/>
      <c r="W199" s="3289"/>
      <c r="X199" s="3290">
        <f t="shared" si="45"/>
        <v>0</v>
      </c>
      <c r="Y199" s="3291"/>
      <c r="Z199" s="3292"/>
      <c r="AA199" s="3287"/>
      <c r="AB199" s="3286"/>
      <c r="AC199" s="3289"/>
      <c r="AD199" s="3290">
        <f t="shared" si="46"/>
        <v>0</v>
      </c>
      <c r="AE199" s="3291"/>
      <c r="AF199" s="20"/>
      <c r="AG199" t="b">
        <f t="shared" si="47"/>
        <v>0</v>
      </c>
    </row>
    <row r="200" spans="1:33" ht="13.5" customHeight="1">
      <c r="A200" s="3295"/>
      <c r="B200" s="3286"/>
      <c r="C200" s="3287"/>
      <c r="D200" s="3288"/>
      <c r="E200" s="3289"/>
      <c r="F200" s="3290">
        <f t="shared" si="42"/>
        <v>0</v>
      </c>
      <c r="G200" s="3291"/>
      <c r="H200" s="3292"/>
      <c r="I200" s="3286"/>
      <c r="J200" s="3288"/>
      <c r="K200" s="3289"/>
      <c r="L200" s="3290">
        <f t="shared" si="43"/>
        <v>0</v>
      </c>
      <c r="M200" s="3291"/>
      <c r="N200" s="3292"/>
      <c r="O200" s="3286"/>
      <c r="P200" s="3288"/>
      <c r="Q200" s="3289"/>
      <c r="R200" s="3290">
        <f t="shared" si="44"/>
        <v>0</v>
      </c>
      <c r="S200" s="3291"/>
      <c r="T200" s="3292"/>
      <c r="U200" s="3287"/>
      <c r="V200" s="3288"/>
      <c r="W200" s="3289"/>
      <c r="X200" s="3290">
        <f t="shared" si="45"/>
        <v>0</v>
      </c>
      <c r="Y200" s="3291"/>
      <c r="Z200" s="3292"/>
      <c r="AA200" s="3287"/>
      <c r="AB200" s="3286"/>
      <c r="AC200" s="3289"/>
      <c r="AD200" s="3290">
        <f t="shared" si="46"/>
        <v>0</v>
      </c>
      <c r="AE200" s="3291"/>
      <c r="AF200" s="20"/>
      <c r="AG200" t="b">
        <f t="shared" si="47"/>
        <v>0</v>
      </c>
    </row>
    <row r="201" spans="1:33" ht="13.5" customHeight="1">
      <c r="A201" s="3295"/>
      <c r="B201" s="3286"/>
      <c r="C201" s="3287"/>
      <c r="D201" s="3288"/>
      <c r="E201" s="3289"/>
      <c r="F201" s="3290">
        <f t="shared" si="42"/>
        <v>0</v>
      </c>
      <c r="G201" s="3291"/>
      <c r="H201" s="3292"/>
      <c r="I201" s="3286"/>
      <c r="J201" s="3288"/>
      <c r="K201" s="3289"/>
      <c r="L201" s="3290">
        <f t="shared" si="43"/>
        <v>0</v>
      </c>
      <c r="M201" s="3291"/>
      <c r="N201" s="3292"/>
      <c r="O201" s="3286"/>
      <c r="P201" s="3288"/>
      <c r="Q201" s="3289"/>
      <c r="R201" s="3290">
        <f t="shared" si="44"/>
        <v>0</v>
      </c>
      <c r="S201" s="3291"/>
      <c r="T201" s="3292"/>
      <c r="U201" s="3287"/>
      <c r="V201" s="3288"/>
      <c r="W201" s="3289"/>
      <c r="X201" s="3290">
        <f t="shared" si="45"/>
        <v>0</v>
      </c>
      <c r="Y201" s="3291"/>
      <c r="Z201" s="3292"/>
      <c r="AA201" s="3287"/>
      <c r="AB201" s="3286"/>
      <c r="AC201" s="3289"/>
      <c r="AD201" s="3290">
        <f t="shared" si="46"/>
        <v>0</v>
      </c>
      <c r="AE201" s="3291"/>
      <c r="AF201" s="20"/>
      <c r="AG201" t="b">
        <f t="shared" si="47"/>
        <v>0</v>
      </c>
    </row>
    <row r="202" spans="1:33" ht="13.5" customHeight="1">
      <c r="A202" s="3295"/>
      <c r="B202" s="3286"/>
      <c r="C202" s="3287"/>
      <c r="D202" s="3288"/>
      <c r="E202" s="3289"/>
      <c r="F202" s="3290">
        <f t="shared" si="42"/>
        <v>0</v>
      </c>
      <c r="G202" s="3291"/>
      <c r="H202" s="3292"/>
      <c r="I202" s="3286"/>
      <c r="J202" s="3288"/>
      <c r="K202" s="3289"/>
      <c r="L202" s="3290">
        <f t="shared" si="43"/>
        <v>0</v>
      </c>
      <c r="M202" s="3291"/>
      <c r="N202" s="3292"/>
      <c r="O202" s="3286"/>
      <c r="P202" s="3288"/>
      <c r="Q202" s="3289"/>
      <c r="R202" s="3290">
        <f t="shared" si="44"/>
        <v>0</v>
      </c>
      <c r="S202" s="3291"/>
      <c r="T202" s="3292"/>
      <c r="U202" s="3287"/>
      <c r="V202" s="3288"/>
      <c r="W202" s="3289"/>
      <c r="X202" s="3290">
        <f t="shared" si="45"/>
        <v>0</v>
      </c>
      <c r="Y202" s="3291"/>
      <c r="Z202" s="3292"/>
      <c r="AA202" s="3287"/>
      <c r="AB202" s="3286"/>
      <c r="AC202" s="3289"/>
      <c r="AD202" s="3290">
        <f t="shared" si="46"/>
        <v>0</v>
      </c>
      <c r="AE202" s="3291"/>
      <c r="AF202" s="20"/>
      <c r="AG202" t="b">
        <f t="shared" si="47"/>
        <v>0</v>
      </c>
    </row>
    <row r="203" spans="1:33" ht="13.5" customHeight="1">
      <c r="A203" s="3295"/>
      <c r="B203" s="3286"/>
      <c r="C203" s="3287"/>
      <c r="D203" s="3288"/>
      <c r="E203" s="3289"/>
      <c r="F203" s="3290">
        <f t="shared" si="42"/>
        <v>0</v>
      </c>
      <c r="G203" s="3291"/>
      <c r="H203" s="3292"/>
      <c r="I203" s="3286"/>
      <c r="J203" s="3288"/>
      <c r="K203" s="3289"/>
      <c r="L203" s="3290">
        <f t="shared" si="43"/>
        <v>0</v>
      </c>
      <c r="M203" s="3291"/>
      <c r="N203" s="3292"/>
      <c r="O203" s="3286"/>
      <c r="P203" s="3288"/>
      <c r="Q203" s="3289"/>
      <c r="R203" s="3290">
        <f t="shared" si="44"/>
        <v>0</v>
      </c>
      <c r="S203" s="3291"/>
      <c r="T203" s="3292"/>
      <c r="U203" s="3287"/>
      <c r="V203" s="3288"/>
      <c r="W203" s="3289"/>
      <c r="X203" s="3290">
        <f t="shared" si="45"/>
        <v>0</v>
      </c>
      <c r="Y203" s="3291"/>
      <c r="Z203" s="3292"/>
      <c r="AA203" s="3287"/>
      <c r="AB203" s="3286"/>
      <c r="AC203" s="3289"/>
      <c r="AD203" s="3290">
        <f t="shared" si="46"/>
        <v>0</v>
      </c>
      <c r="AE203" s="3291"/>
      <c r="AF203" s="20"/>
      <c r="AG203" t="b">
        <f t="shared" si="47"/>
        <v>0</v>
      </c>
    </row>
    <row r="204" spans="1:33" ht="13.5" customHeight="1">
      <c r="A204" s="3295"/>
      <c r="B204" s="3286"/>
      <c r="C204" s="3287"/>
      <c r="D204" s="3288"/>
      <c r="E204" s="3289"/>
      <c r="F204" s="3290">
        <f t="shared" si="42"/>
        <v>0</v>
      </c>
      <c r="G204" s="3291"/>
      <c r="H204" s="3292"/>
      <c r="I204" s="3286"/>
      <c r="J204" s="3288"/>
      <c r="K204" s="3289"/>
      <c r="L204" s="3290">
        <f t="shared" si="43"/>
        <v>0</v>
      </c>
      <c r="M204" s="3291"/>
      <c r="N204" s="3292"/>
      <c r="O204" s="3286"/>
      <c r="P204" s="3288"/>
      <c r="Q204" s="3289"/>
      <c r="R204" s="3290">
        <f t="shared" si="44"/>
        <v>0</v>
      </c>
      <c r="S204" s="3291"/>
      <c r="T204" s="3292"/>
      <c r="U204" s="3287"/>
      <c r="V204" s="3288"/>
      <c r="W204" s="3289"/>
      <c r="X204" s="3290">
        <f t="shared" si="45"/>
        <v>0</v>
      </c>
      <c r="Y204" s="3291"/>
      <c r="Z204" s="3292"/>
      <c r="AA204" s="3287"/>
      <c r="AB204" s="3286"/>
      <c r="AC204" s="3289"/>
      <c r="AD204" s="3290">
        <f t="shared" si="46"/>
        <v>0</v>
      </c>
      <c r="AE204" s="3291"/>
      <c r="AF204" s="20"/>
      <c r="AG204" t="b">
        <f t="shared" si="47"/>
        <v>0</v>
      </c>
    </row>
    <row r="205" spans="1:33" ht="13.5" customHeight="1">
      <c r="A205" s="3295"/>
      <c r="B205" s="3286"/>
      <c r="C205" s="3287"/>
      <c r="D205" s="3288"/>
      <c r="E205" s="3289"/>
      <c r="F205" s="3290">
        <f t="shared" si="42"/>
        <v>0</v>
      </c>
      <c r="G205" s="3291"/>
      <c r="H205" s="3292"/>
      <c r="I205" s="3286"/>
      <c r="J205" s="3288"/>
      <c r="K205" s="3289"/>
      <c r="L205" s="3290">
        <f t="shared" si="43"/>
        <v>0</v>
      </c>
      <c r="M205" s="3291"/>
      <c r="N205" s="3292"/>
      <c r="O205" s="3286"/>
      <c r="P205" s="3288"/>
      <c r="Q205" s="3289"/>
      <c r="R205" s="3290">
        <f t="shared" si="44"/>
        <v>0</v>
      </c>
      <c r="S205" s="3291"/>
      <c r="T205" s="3292"/>
      <c r="U205" s="3287"/>
      <c r="V205" s="3288"/>
      <c r="W205" s="3289"/>
      <c r="X205" s="3290">
        <f t="shared" si="45"/>
        <v>0</v>
      </c>
      <c r="Y205" s="3291"/>
      <c r="Z205" s="3292"/>
      <c r="AA205" s="3287"/>
      <c r="AB205" s="3286"/>
      <c r="AC205" s="3289"/>
      <c r="AD205" s="3290">
        <f t="shared" si="46"/>
        <v>0</v>
      </c>
      <c r="AE205" s="3291"/>
      <c r="AF205" s="20"/>
      <c r="AG205" t="b">
        <f t="shared" si="47"/>
        <v>0</v>
      </c>
    </row>
    <row r="206" spans="1:33" ht="13.5" customHeight="1">
      <c r="A206" s="3295"/>
      <c r="B206" s="3286"/>
      <c r="C206" s="3287"/>
      <c r="D206" s="3288"/>
      <c r="E206" s="3289"/>
      <c r="F206" s="3290">
        <f t="shared" si="42"/>
        <v>0</v>
      </c>
      <c r="G206" s="3291"/>
      <c r="H206" s="3292"/>
      <c r="I206" s="3286"/>
      <c r="J206" s="3288"/>
      <c r="K206" s="3289"/>
      <c r="L206" s="3290">
        <f t="shared" si="43"/>
        <v>0</v>
      </c>
      <c r="M206" s="3291"/>
      <c r="N206" s="3292"/>
      <c r="O206" s="3286"/>
      <c r="P206" s="3288"/>
      <c r="Q206" s="3289"/>
      <c r="R206" s="3290">
        <f t="shared" si="44"/>
        <v>0</v>
      </c>
      <c r="S206" s="3291"/>
      <c r="T206" s="3292"/>
      <c r="U206" s="3287"/>
      <c r="V206" s="3288"/>
      <c r="W206" s="3289"/>
      <c r="X206" s="3290">
        <f t="shared" si="45"/>
        <v>0</v>
      </c>
      <c r="Y206" s="3291"/>
      <c r="Z206" s="3292"/>
      <c r="AA206" s="3287"/>
      <c r="AB206" s="3286"/>
      <c r="AC206" s="3289"/>
      <c r="AD206" s="3290">
        <f t="shared" si="46"/>
        <v>0</v>
      </c>
      <c r="AE206" s="3291"/>
      <c r="AF206" s="20"/>
      <c r="AG206" t="b">
        <f t="shared" si="47"/>
        <v>0</v>
      </c>
    </row>
    <row r="207" spans="1:33" ht="13.5" customHeight="1">
      <c r="A207" s="3296"/>
      <c r="B207" s="3293"/>
      <c r="C207" s="3279"/>
      <c r="D207" s="3280"/>
      <c r="E207" s="3281"/>
      <c r="F207" s="3138">
        <f t="shared" si="42"/>
        <v>0</v>
      </c>
      <c r="G207" s="3140"/>
      <c r="H207" s="3278"/>
      <c r="I207" s="3293"/>
      <c r="J207" s="3280"/>
      <c r="K207" s="3281"/>
      <c r="L207" s="3138">
        <f t="shared" si="43"/>
        <v>0</v>
      </c>
      <c r="M207" s="3140"/>
      <c r="N207" s="3278"/>
      <c r="O207" s="3293"/>
      <c r="P207" s="3280"/>
      <c r="Q207" s="3281"/>
      <c r="R207" s="3138">
        <f t="shared" si="44"/>
        <v>0</v>
      </c>
      <c r="S207" s="3140"/>
      <c r="T207" s="3278"/>
      <c r="U207" s="3279"/>
      <c r="V207" s="3280"/>
      <c r="W207" s="3281"/>
      <c r="X207" s="3138">
        <f t="shared" si="45"/>
        <v>0</v>
      </c>
      <c r="Y207" s="3140"/>
      <c r="Z207" s="3282"/>
      <c r="AA207" s="3283"/>
      <c r="AB207" s="3284"/>
      <c r="AC207" s="3285"/>
      <c r="AD207" s="3138">
        <f t="shared" si="46"/>
        <v>0</v>
      </c>
      <c r="AE207" s="3140"/>
      <c r="AF207" s="20"/>
      <c r="AG207" t="b">
        <f t="shared" si="47"/>
        <v>0</v>
      </c>
    </row>
    <row r="208" spans="1:33" ht="13.5" customHeight="1">
      <c r="A208" s="548" t="s">
        <v>1067</v>
      </c>
      <c r="B208" s="3275"/>
      <c r="C208" s="3276"/>
      <c r="D208" s="3276"/>
      <c r="E208" s="3276"/>
      <c r="F208" s="3276"/>
      <c r="G208" s="3277"/>
      <c r="H208" s="3275"/>
      <c r="I208" s="3276"/>
      <c r="J208" s="3276"/>
      <c r="K208" s="3276"/>
      <c r="L208" s="3276"/>
      <c r="M208" s="3277"/>
      <c r="N208" s="3275"/>
      <c r="O208" s="3276"/>
      <c r="P208" s="3276"/>
      <c r="Q208" s="3276"/>
      <c r="R208" s="3276"/>
      <c r="S208" s="3277"/>
      <c r="T208" s="3275"/>
      <c r="U208" s="3276"/>
      <c r="V208" s="3276"/>
      <c r="W208" s="3276"/>
      <c r="X208" s="3276"/>
      <c r="Y208" s="3277"/>
      <c r="Z208" s="3275"/>
      <c r="AA208" s="3276"/>
      <c r="AB208" s="3276"/>
      <c r="AC208" s="3276"/>
      <c r="AD208" s="3276"/>
      <c r="AE208" s="3277"/>
      <c r="AF208" s="20"/>
      <c r="AG208" t="b">
        <f>AG213</f>
        <v>0</v>
      </c>
    </row>
    <row r="209" spans="1:33" s="1941" customFormat="1" ht="13.5" customHeight="1">
      <c r="A209" s="1958" t="s">
        <v>1974</v>
      </c>
      <c r="B209" s="3265"/>
      <c r="C209" s="3266"/>
      <c r="D209" s="3266"/>
      <c r="E209" s="3266"/>
      <c r="F209" s="3266"/>
      <c r="G209" s="3267"/>
      <c r="H209" s="3265"/>
      <c r="I209" s="3266"/>
      <c r="J209" s="3266"/>
      <c r="K209" s="3266"/>
      <c r="L209" s="3266"/>
      <c r="M209" s="3267"/>
      <c r="N209" s="3265"/>
      <c r="O209" s="3266"/>
      <c r="P209" s="3266"/>
      <c r="Q209" s="3266"/>
      <c r="R209" s="3266"/>
      <c r="S209" s="3267"/>
      <c r="T209" s="3265"/>
      <c r="U209" s="3266"/>
      <c r="V209" s="3266"/>
      <c r="W209" s="3266"/>
      <c r="X209" s="3266"/>
      <c r="Y209" s="3267"/>
      <c r="Z209" s="3265"/>
      <c r="AA209" s="3266"/>
      <c r="AB209" s="3266"/>
      <c r="AC209" s="3266"/>
      <c r="AD209" s="3266"/>
      <c r="AE209" s="3267"/>
      <c r="AF209" s="547"/>
      <c r="AG209" s="1941" t="b">
        <f>AG213</f>
        <v>0</v>
      </c>
    </row>
    <row r="210" spans="1:33" s="1941" customFormat="1" ht="13.5" customHeight="1">
      <c r="A210" s="1959" t="s">
        <v>1975</v>
      </c>
      <c r="B210" s="3262"/>
      <c r="C210" s="3263"/>
      <c r="D210" s="3263"/>
      <c r="E210" s="3263"/>
      <c r="F210" s="3263"/>
      <c r="G210" s="3264"/>
      <c r="H210" s="3262"/>
      <c r="I210" s="3263"/>
      <c r="J210" s="3263"/>
      <c r="K210" s="3263"/>
      <c r="L210" s="3263"/>
      <c r="M210" s="3264"/>
      <c r="N210" s="3262"/>
      <c r="O210" s="3263"/>
      <c r="P210" s="3263"/>
      <c r="Q210" s="3263"/>
      <c r="R210" s="3263"/>
      <c r="S210" s="3264"/>
      <c r="T210" s="3262"/>
      <c r="U210" s="3263"/>
      <c r="V210" s="3263"/>
      <c r="W210" s="3263"/>
      <c r="X210" s="3263"/>
      <c r="Y210" s="3264"/>
      <c r="Z210" s="3262"/>
      <c r="AA210" s="3263"/>
      <c r="AB210" s="3263"/>
      <c r="AC210" s="3263"/>
      <c r="AD210" s="3263"/>
      <c r="AE210" s="3264"/>
      <c r="AF210" s="547"/>
      <c r="AG210" s="1941" t="b">
        <f>AG213</f>
        <v>0</v>
      </c>
    </row>
    <row r="211" spans="1:33" ht="13.5" customHeight="1">
      <c r="A211" s="548" t="s">
        <v>1061</v>
      </c>
      <c r="B211" s="3271">
        <f>SUM(F192:F207)</f>
        <v>0</v>
      </c>
      <c r="C211" s="3272"/>
      <c r="D211" s="3272"/>
      <c r="E211" s="3272"/>
      <c r="F211" s="3272"/>
      <c r="G211" s="3273"/>
      <c r="H211" s="3271">
        <f>SUM(L192:L207)</f>
        <v>0</v>
      </c>
      <c r="I211" s="3272"/>
      <c r="J211" s="3272"/>
      <c r="K211" s="3272"/>
      <c r="L211" s="3272"/>
      <c r="M211" s="3273"/>
      <c r="N211" s="3271">
        <f>SUM(R192:R207)</f>
        <v>0</v>
      </c>
      <c r="O211" s="3272"/>
      <c r="P211" s="3272"/>
      <c r="Q211" s="3272"/>
      <c r="R211" s="3272"/>
      <c r="S211" s="3273"/>
      <c r="T211" s="3271">
        <f>SUM(X192:X207)</f>
        <v>0</v>
      </c>
      <c r="U211" s="3272"/>
      <c r="V211" s="3272"/>
      <c r="W211" s="3272"/>
      <c r="X211" s="3272"/>
      <c r="Y211" s="3273"/>
      <c r="Z211" s="3271">
        <f>SUM(AD192:AD207)</f>
        <v>0</v>
      </c>
      <c r="AA211" s="3272"/>
      <c r="AB211" s="3272"/>
      <c r="AC211" s="3272"/>
      <c r="AD211" s="3272"/>
      <c r="AE211" s="3273"/>
      <c r="AF211" s="20"/>
      <c r="AG211" t="b">
        <f>AG213</f>
        <v>0</v>
      </c>
    </row>
    <row r="212" spans="1:33" ht="13.5" customHeight="1">
      <c r="A212" s="548" t="s">
        <v>1062</v>
      </c>
      <c r="B212" s="2971"/>
      <c r="C212" s="2972"/>
      <c r="D212" s="2972"/>
      <c r="E212" s="2972"/>
      <c r="F212" s="2972"/>
      <c r="G212" s="3274"/>
      <c r="H212" s="2971"/>
      <c r="I212" s="2972"/>
      <c r="J212" s="2972"/>
      <c r="K212" s="2972"/>
      <c r="L212" s="2972"/>
      <c r="M212" s="3274"/>
      <c r="N212" s="2971"/>
      <c r="O212" s="2972"/>
      <c r="P212" s="2972"/>
      <c r="Q212" s="2972"/>
      <c r="R212" s="2972"/>
      <c r="S212" s="3274"/>
      <c r="T212" s="2971"/>
      <c r="U212" s="2972"/>
      <c r="V212" s="2972"/>
      <c r="W212" s="2972"/>
      <c r="X212" s="2972"/>
      <c r="Y212" s="3274"/>
      <c r="Z212" s="2971"/>
      <c r="AA212" s="2972"/>
      <c r="AB212" s="2972"/>
      <c r="AC212" s="2972"/>
      <c r="AD212" s="2972"/>
      <c r="AE212" s="3274"/>
      <c r="AF212" s="20"/>
      <c r="AG212" t="b">
        <f>AG213</f>
        <v>0</v>
      </c>
    </row>
    <row r="213" spans="1:33" ht="13.5" customHeight="1">
      <c r="A213" s="548" t="s">
        <v>1069</v>
      </c>
      <c r="B213" s="3271">
        <f>B211-B212</f>
        <v>0</v>
      </c>
      <c r="C213" s="3272"/>
      <c r="D213" s="3272"/>
      <c r="E213" s="3272"/>
      <c r="F213" s="3272"/>
      <c r="G213" s="3273"/>
      <c r="H213" s="3271">
        <f>H211-H212</f>
        <v>0</v>
      </c>
      <c r="I213" s="3272"/>
      <c r="J213" s="3272"/>
      <c r="K213" s="3272"/>
      <c r="L213" s="3272"/>
      <c r="M213" s="3273"/>
      <c r="N213" s="3271">
        <f>N211-N212</f>
        <v>0</v>
      </c>
      <c r="O213" s="3272"/>
      <c r="P213" s="3272"/>
      <c r="Q213" s="3272"/>
      <c r="R213" s="3272"/>
      <c r="S213" s="3273"/>
      <c r="T213" s="3271">
        <f>T211-T212</f>
        <v>0</v>
      </c>
      <c r="U213" s="3272"/>
      <c r="V213" s="3272"/>
      <c r="W213" s="3272"/>
      <c r="X213" s="3272"/>
      <c r="Y213" s="3273"/>
      <c r="Z213" s="3271">
        <f>Z211-Z212</f>
        <v>0</v>
      </c>
      <c r="AA213" s="3272"/>
      <c r="AB213" s="3272"/>
      <c r="AC213" s="3272"/>
      <c r="AD213" s="3272"/>
      <c r="AE213" s="3273"/>
      <c r="AF213" s="20"/>
      <c r="AG213" t="b">
        <f>SUM(A213:AF213)&lt;&gt;0</f>
        <v>0</v>
      </c>
    </row>
  </sheetData>
  <autoFilter ref="AG1:AG213"/>
  <mergeCells count="2295">
    <mergeCell ref="B14:C14"/>
    <mergeCell ref="E14:F14"/>
    <mergeCell ref="H14:I14"/>
    <mergeCell ref="K14:L14"/>
    <mergeCell ref="N14:O14"/>
    <mergeCell ref="Q14:R14"/>
    <mergeCell ref="T14:U14"/>
    <mergeCell ref="W14:X14"/>
    <mergeCell ref="Z14:AA14"/>
    <mergeCell ref="AC14:AD14"/>
    <mergeCell ref="AC13:AD13"/>
    <mergeCell ref="AE13:AE14"/>
    <mergeCell ref="AF13:AF14"/>
    <mergeCell ref="N177:O177"/>
    <mergeCell ref="P177:Q177"/>
    <mergeCell ref="R177:S177"/>
    <mergeCell ref="D178:E178"/>
    <mergeCell ref="F178:G178"/>
    <mergeCell ref="N178:O178"/>
    <mergeCell ref="P178:Q178"/>
    <mergeCell ref="T165:Y165"/>
    <mergeCell ref="Z165:AE165"/>
    <mergeCell ref="L176:M176"/>
    <mergeCell ref="H177:I177"/>
    <mergeCell ref="J177:K177"/>
    <mergeCell ref="Z67:AE67"/>
    <mergeCell ref="L177:M177"/>
    <mergeCell ref="H178:I178"/>
    <mergeCell ref="J178:K178"/>
    <mergeCell ref="L178:M178"/>
    <mergeCell ref="H175:I175"/>
    <mergeCell ref="J175:K175"/>
    <mergeCell ref="A12:A14"/>
    <mergeCell ref="B13:C13"/>
    <mergeCell ref="E13:F13"/>
    <mergeCell ref="H13:I13"/>
    <mergeCell ref="K13:L13"/>
    <mergeCell ref="N13:O13"/>
    <mergeCell ref="Q13:R13"/>
    <mergeCell ref="T13:U13"/>
    <mergeCell ref="W13:X13"/>
    <mergeCell ref="Z13:AA13"/>
    <mergeCell ref="T19:Y19"/>
    <mergeCell ref="Z19:AE19"/>
    <mergeCell ref="A19:A36"/>
    <mergeCell ref="B19:G19"/>
    <mergeCell ref="H19:M19"/>
    <mergeCell ref="N19:S19"/>
    <mergeCell ref="H33:I33"/>
    <mergeCell ref="J33:K33"/>
    <mergeCell ref="L33:M33"/>
    <mergeCell ref="L36:M36"/>
    <mergeCell ref="H21:I21"/>
    <mergeCell ref="L31:M31"/>
    <mergeCell ref="H32:I32"/>
    <mergeCell ref="Z25:AA25"/>
    <mergeCell ref="Z26:AA26"/>
    <mergeCell ref="Z29:AA29"/>
    <mergeCell ref="Z32:AA32"/>
    <mergeCell ref="Z30:AA30"/>
    <mergeCell ref="Z23:AA23"/>
    <mergeCell ref="Z24:AA24"/>
    <mergeCell ref="R21:S21"/>
    <mergeCell ref="R22:S22"/>
    <mergeCell ref="A119:A136"/>
    <mergeCell ref="B119:G119"/>
    <mergeCell ref="H119:M119"/>
    <mergeCell ref="N119:S119"/>
    <mergeCell ref="T119:Y119"/>
    <mergeCell ref="Z119:AE119"/>
    <mergeCell ref="H81:I81"/>
    <mergeCell ref="J81:K81"/>
    <mergeCell ref="L81:M81"/>
    <mergeCell ref="J122:K122"/>
    <mergeCell ref="L135:M135"/>
    <mergeCell ref="H136:I136"/>
    <mergeCell ref="A165:A182"/>
    <mergeCell ref="B165:G165"/>
    <mergeCell ref="H165:M165"/>
    <mergeCell ref="N165:S165"/>
    <mergeCell ref="H67:M67"/>
    <mergeCell ref="N67:S67"/>
    <mergeCell ref="H135:I135"/>
    <mergeCell ref="J135:K135"/>
    <mergeCell ref="H179:I179"/>
    <mergeCell ref="J179:K179"/>
    <mergeCell ref="L179:M179"/>
    <mergeCell ref="H180:I180"/>
    <mergeCell ref="J180:K180"/>
    <mergeCell ref="L180:M180"/>
    <mergeCell ref="H181:I181"/>
    <mergeCell ref="J181:K181"/>
    <mergeCell ref="L181:M181"/>
    <mergeCell ref="H182:I182"/>
    <mergeCell ref="J182:K182"/>
    <mergeCell ref="L182:M182"/>
    <mergeCell ref="L175:M175"/>
    <mergeCell ref="H167:I167"/>
    <mergeCell ref="J167:K167"/>
    <mergeCell ref="L167:M167"/>
    <mergeCell ref="H168:I168"/>
    <mergeCell ref="J168:K168"/>
    <mergeCell ref="L168:M168"/>
    <mergeCell ref="J151:K151"/>
    <mergeCell ref="L151:M151"/>
    <mergeCell ref="T67:Y67"/>
    <mergeCell ref="L32:M32"/>
    <mergeCell ref="H70:I70"/>
    <mergeCell ref="J70:K70"/>
    <mergeCell ref="J21:K21"/>
    <mergeCell ref="L21:M21"/>
    <mergeCell ref="H22:I22"/>
    <mergeCell ref="J22:K22"/>
    <mergeCell ref="L22:M22"/>
    <mergeCell ref="H34:I34"/>
    <mergeCell ref="J34:K34"/>
    <mergeCell ref="H23:I23"/>
    <mergeCell ref="J23:K23"/>
    <mergeCell ref="L23:M23"/>
    <mergeCell ref="H24:I24"/>
    <mergeCell ref="J24:K24"/>
    <mergeCell ref="L24:M24"/>
    <mergeCell ref="L70:M70"/>
    <mergeCell ref="H37:M37"/>
    <mergeCell ref="H38:M38"/>
    <mergeCell ref="H40:M40"/>
    <mergeCell ref="H41:M41"/>
    <mergeCell ref="H69:I69"/>
    <mergeCell ref="J69:K69"/>
    <mergeCell ref="L69:M69"/>
    <mergeCell ref="R175:S175"/>
    <mergeCell ref="T175:U175"/>
    <mergeCell ref="V174:W174"/>
    <mergeCell ref="X174:Y174"/>
    <mergeCell ref="H6:I6"/>
    <mergeCell ref="K6:L6"/>
    <mergeCell ref="H7:I7"/>
    <mergeCell ref="K7:L7"/>
    <mergeCell ref="H8:I8"/>
    <mergeCell ref="K8:L8"/>
    <mergeCell ref="T172:U172"/>
    <mergeCell ref="V172:W172"/>
    <mergeCell ref="X172:Y172"/>
    <mergeCell ref="T38:Y38"/>
    <mergeCell ref="R25:S25"/>
    <mergeCell ref="R26:S26"/>
    <mergeCell ref="R27:S27"/>
    <mergeCell ref="R28:S28"/>
    <mergeCell ref="R29:S29"/>
    <mergeCell ref="R30:S30"/>
    <mergeCell ref="H27:I27"/>
    <mergeCell ref="R32:S32"/>
    <mergeCell ref="R33:S33"/>
    <mergeCell ref="R34:S34"/>
    <mergeCell ref="T32:U32"/>
    <mergeCell ref="T33:U33"/>
    <mergeCell ref="L34:M34"/>
    <mergeCell ref="L35:M35"/>
    <mergeCell ref="H31:I31"/>
    <mergeCell ref="J31:K31"/>
    <mergeCell ref="Z174:AA174"/>
    <mergeCell ref="AB174:AC174"/>
    <mergeCell ref="Z173:AA173"/>
    <mergeCell ref="AB173:AC173"/>
    <mergeCell ref="AD174:AE174"/>
    <mergeCell ref="B175:C175"/>
    <mergeCell ref="D175:E175"/>
    <mergeCell ref="F175:G175"/>
    <mergeCell ref="N175:O175"/>
    <mergeCell ref="P175:Q175"/>
    <mergeCell ref="V173:W173"/>
    <mergeCell ref="X173:Y173"/>
    <mergeCell ref="AD173:AE173"/>
    <mergeCell ref="B174:C174"/>
    <mergeCell ref="D174:E174"/>
    <mergeCell ref="F174:G174"/>
    <mergeCell ref="N174:O174"/>
    <mergeCell ref="P174:Q174"/>
    <mergeCell ref="R174:S174"/>
    <mergeCell ref="T174:U174"/>
    <mergeCell ref="D173:E173"/>
    <mergeCell ref="F173:G173"/>
    <mergeCell ref="N173:O173"/>
    <mergeCell ref="P173:Q173"/>
    <mergeCell ref="R173:S173"/>
    <mergeCell ref="T173:U173"/>
    <mergeCell ref="H173:I173"/>
    <mergeCell ref="J173:K173"/>
    <mergeCell ref="L173:M173"/>
    <mergeCell ref="H174:I174"/>
    <mergeCell ref="J174:K174"/>
    <mergeCell ref="L174:M174"/>
    <mergeCell ref="Z172:AA172"/>
    <mergeCell ref="AB172:AC172"/>
    <mergeCell ref="AD172:AE172"/>
    <mergeCell ref="V171:W171"/>
    <mergeCell ref="X171:Y171"/>
    <mergeCell ref="Z171:AA171"/>
    <mergeCell ref="AB171:AC171"/>
    <mergeCell ref="AD171:AE171"/>
    <mergeCell ref="B172:C172"/>
    <mergeCell ref="D172:E172"/>
    <mergeCell ref="F172:G172"/>
    <mergeCell ref="N172:O172"/>
    <mergeCell ref="P172:Q172"/>
    <mergeCell ref="Z170:AA170"/>
    <mergeCell ref="AB170:AC170"/>
    <mergeCell ref="AD170:AE170"/>
    <mergeCell ref="B171:C171"/>
    <mergeCell ref="D171:E171"/>
    <mergeCell ref="F171:G171"/>
    <mergeCell ref="N171:O171"/>
    <mergeCell ref="P171:Q171"/>
    <mergeCell ref="R171:S171"/>
    <mergeCell ref="T171:U171"/>
    <mergeCell ref="H170:I170"/>
    <mergeCell ref="J170:K170"/>
    <mergeCell ref="L170:M170"/>
    <mergeCell ref="H171:I171"/>
    <mergeCell ref="J171:K171"/>
    <mergeCell ref="L171:M171"/>
    <mergeCell ref="H172:I172"/>
    <mergeCell ref="J172:K172"/>
    <mergeCell ref="L172:M172"/>
    <mergeCell ref="AD169:AE169"/>
    <mergeCell ref="B170:C170"/>
    <mergeCell ref="D170:E170"/>
    <mergeCell ref="F170:G170"/>
    <mergeCell ref="N170:O170"/>
    <mergeCell ref="P170:Q170"/>
    <mergeCell ref="R170:S170"/>
    <mergeCell ref="T170:U170"/>
    <mergeCell ref="V170:W170"/>
    <mergeCell ref="X170:Y170"/>
    <mergeCell ref="T169:U169"/>
    <mergeCell ref="V169:W169"/>
    <mergeCell ref="X169:Y169"/>
    <mergeCell ref="Z169:AA169"/>
    <mergeCell ref="AB169:AC169"/>
    <mergeCell ref="R168:S168"/>
    <mergeCell ref="T168:U168"/>
    <mergeCell ref="V168:W168"/>
    <mergeCell ref="H169:I169"/>
    <mergeCell ref="J169:K169"/>
    <mergeCell ref="L169:M169"/>
    <mergeCell ref="AD167:AE167"/>
    <mergeCell ref="X168:Y168"/>
    <mergeCell ref="Z168:AA168"/>
    <mergeCell ref="AB168:AC168"/>
    <mergeCell ref="AD168:AE168"/>
    <mergeCell ref="X167:Y167"/>
    <mergeCell ref="Z167:AA167"/>
    <mergeCell ref="AB167:AC167"/>
    <mergeCell ref="N168:O168"/>
    <mergeCell ref="P168:Q168"/>
    <mergeCell ref="N167:O167"/>
    <mergeCell ref="P167:Q167"/>
    <mergeCell ref="B184:G184"/>
    <mergeCell ref="N184:S184"/>
    <mergeCell ref="N169:O169"/>
    <mergeCell ref="R169:S169"/>
    <mergeCell ref="R172:S172"/>
    <mergeCell ref="B173:C173"/>
    <mergeCell ref="B167:C167"/>
    <mergeCell ref="D167:E167"/>
    <mergeCell ref="R167:S167"/>
    <mergeCell ref="T177:U177"/>
    <mergeCell ref="H176:I176"/>
    <mergeCell ref="J176:K176"/>
    <mergeCell ref="V177:W177"/>
    <mergeCell ref="X177:Y177"/>
    <mergeCell ref="Z177:AA177"/>
    <mergeCell ref="AB177:AC177"/>
    <mergeCell ref="Z176:AA176"/>
    <mergeCell ref="AB176:AC176"/>
    <mergeCell ref="AD177:AE177"/>
    <mergeCell ref="B178:C178"/>
    <mergeCell ref="D124:E124"/>
    <mergeCell ref="H121:I121"/>
    <mergeCell ref="J121:K121"/>
    <mergeCell ref="T167:U167"/>
    <mergeCell ref="P169:Q169"/>
    <mergeCell ref="T40:Y40"/>
    <mergeCell ref="V167:W167"/>
    <mergeCell ref="V121:W121"/>
    <mergeCell ref="X121:Y121"/>
    <mergeCell ref="V122:W122"/>
    <mergeCell ref="X122:Y122"/>
    <mergeCell ref="V123:W123"/>
    <mergeCell ref="T121:U121"/>
    <mergeCell ref="B40:G40"/>
    <mergeCell ref="B41:G41"/>
    <mergeCell ref="N40:S40"/>
    <mergeCell ref="N41:S41"/>
    <mergeCell ref="N121:O121"/>
    <mergeCell ref="P121:Q121"/>
    <mergeCell ref="R121:S121"/>
    <mergeCell ref="L121:M121"/>
    <mergeCell ref="B127:C127"/>
    <mergeCell ref="D127:E127"/>
    <mergeCell ref="F127:G127"/>
    <mergeCell ref="N127:O127"/>
    <mergeCell ref="H127:I127"/>
    <mergeCell ref="J127:K127"/>
    <mergeCell ref="T125:U125"/>
    <mergeCell ref="V125:W125"/>
    <mergeCell ref="T124:U124"/>
    <mergeCell ref="V124:W124"/>
    <mergeCell ref="X124:Y124"/>
    <mergeCell ref="R23:S23"/>
    <mergeCell ref="R24:S24"/>
    <mergeCell ref="T29:U29"/>
    <mergeCell ref="B38:G38"/>
    <mergeCell ref="N38:S38"/>
    <mergeCell ref="F169:G169"/>
    <mergeCell ref="AB21:AC21"/>
    <mergeCell ref="AB25:AC25"/>
    <mergeCell ref="AB26:AC26"/>
    <mergeCell ref="AB27:AC27"/>
    <mergeCell ref="AB28:AC28"/>
    <mergeCell ref="AB29:AC29"/>
    <mergeCell ref="AB30:AC30"/>
    <mergeCell ref="F167:G167"/>
    <mergeCell ref="F168:G168"/>
    <mergeCell ref="B169:C169"/>
    <mergeCell ref="D169:E169"/>
    <mergeCell ref="B168:C168"/>
    <mergeCell ref="D168:E168"/>
    <mergeCell ref="D33:E33"/>
    <mergeCell ref="D34:E34"/>
    <mergeCell ref="D35:E35"/>
    <mergeCell ref="Z27:AA27"/>
    <mergeCell ref="Z28:AA28"/>
    <mergeCell ref="AB31:AC31"/>
    <mergeCell ref="AB32:AC32"/>
    <mergeCell ref="AB33:AC33"/>
    <mergeCell ref="AB34:AC34"/>
    <mergeCell ref="V36:W36"/>
    <mergeCell ref="V30:W30"/>
    <mergeCell ref="V31:W31"/>
    <mergeCell ref="V35:W35"/>
    <mergeCell ref="V32:W32"/>
    <mergeCell ref="V33:W33"/>
    <mergeCell ref="F21:G21"/>
    <mergeCell ref="B21:C21"/>
    <mergeCell ref="D21:E21"/>
    <mergeCell ref="E7:F7"/>
    <mergeCell ref="E8:F8"/>
    <mergeCell ref="E9:F9"/>
    <mergeCell ref="B6:C6"/>
    <mergeCell ref="B7:C7"/>
    <mergeCell ref="E10:F10"/>
    <mergeCell ref="N8:O8"/>
    <mergeCell ref="V21:W21"/>
    <mergeCell ref="V22:W22"/>
    <mergeCell ref="V23:W23"/>
    <mergeCell ref="V24:W24"/>
    <mergeCell ref="T21:U21"/>
    <mergeCell ref="T22:U22"/>
    <mergeCell ref="B8:C8"/>
    <mergeCell ref="B9:C9"/>
    <mergeCell ref="B10:C10"/>
    <mergeCell ref="H9:I9"/>
    <mergeCell ref="K9:L9"/>
    <mergeCell ref="H10:I10"/>
    <mergeCell ref="K10:L10"/>
    <mergeCell ref="H17:I17"/>
    <mergeCell ref="K17:L17"/>
    <mergeCell ref="J32:K32"/>
    <mergeCell ref="B22:C22"/>
    <mergeCell ref="B23:C23"/>
    <mergeCell ref="B24:C24"/>
    <mergeCell ref="B25:C25"/>
    <mergeCell ref="T35:U35"/>
    <mergeCell ref="T36:U36"/>
    <mergeCell ref="P21:Q21"/>
    <mergeCell ref="P22:Q22"/>
    <mergeCell ref="P23:Q23"/>
    <mergeCell ref="P24:Q24"/>
    <mergeCell ref="P25:Q25"/>
    <mergeCell ref="P26:Q26"/>
    <mergeCell ref="P27:Q27"/>
    <mergeCell ref="P28:Q28"/>
    <mergeCell ref="AB35:AC35"/>
    <mergeCell ref="AB36:AC36"/>
    <mergeCell ref="Z34:AA34"/>
    <mergeCell ref="X30:Y30"/>
    <mergeCell ref="X31:Y31"/>
    <mergeCell ref="X32:Y32"/>
    <mergeCell ref="X33:Y33"/>
    <mergeCell ref="X34:Y34"/>
    <mergeCell ref="X21:Y21"/>
    <mergeCell ref="X22:Y22"/>
    <mergeCell ref="X23:Y23"/>
    <mergeCell ref="X24:Y24"/>
    <mergeCell ref="X25:Y25"/>
    <mergeCell ref="X26:Y26"/>
    <mergeCell ref="V25:W25"/>
    <mergeCell ref="V26:W26"/>
    <mergeCell ref="V27:W27"/>
    <mergeCell ref="V28:W28"/>
    <mergeCell ref="V29:W29"/>
    <mergeCell ref="Z36:AA36"/>
    <mergeCell ref="X27:Y27"/>
    <mergeCell ref="Z33:AA33"/>
    <mergeCell ref="B31:C31"/>
    <mergeCell ref="B32:C32"/>
    <mergeCell ref="H30:I30"/>
    <mergeCell ref="J30:K30"/>
    <mergeCell ref="L30:M30"/>
    <mergeCell ref="F29:G29"/>
    <mergeCell ref="F30:G30"/>
    <mergeCell ref="H29:I29"/>
    <mergeCell ref="J29:K29"/>
    <mergeCell ref="F22:G22"/>
    <mergeCell ref="F23:G23"/>
    <mergeCell ref="F24:G24"/>
    <mergeCell ref="F28:G28"/>
    <mergeCell ref="F25:G25"/>
    <mergeCell ref="F26:G26"/>
    <mergeCell ref="F27:G27"/>
    <mergeCell ref="D22:E22"/>
    <mergeCell ref="D23:E23"/>
    <mergeCell ref="D24:E24"/>
    <mergeCell ref="J27:K27"/>
    <mergeCell ref="L27:M27"/>
    <mergeCell ref="H28:I28"/>
    <mergeCell ref="J28:K28"/>
    <mergeCell ref="L28:M28"/>
    <mergeCell ref="H25:I25"/>
    <mergeCell ref="J25:K25"/>
    <mergeCell ref="L25:M25"/>
    <mergeCell ref="H26:I26"/>
    <mergeCell ref="F34:G34"/>
    <mergeCell ref="H35:I35"/>
    <mergeCell ref="J35:K35"/>
    <mergeCell ref="P35:Q35"/>
    <mergeCell ref="N35:O35"/>
    <mergeCell ref="J36:K36"/>
    <mergeCell ref="D31:E31"/>
    <mergeCell ref="D29:E29"/>
    <mergeCell ref="D30:E30"/>
    <mergeCell ref="D25:E25"/>
    <mergeCell ref="D26:E26"/>
    <mergeCell ref="D27:E27"/>
    <mergeCell ref="D28:E28"/>
    <mergeCell ref="B33:C33"/>
    <mergeCell ref="B26:C26"/>
    <mergeCell ref="B27:C27"/>
    <mergeCell ref="B30:C30"/>
    <mergeCell ref="B28:C28"/>
    <mergeCell ref="B29:C29"/>
    <mergeCell ref="J26:K26"/>
    <mergeCell ref="L26:M26"/>
    <mergeCell ref="N27:O27"/>
    <mergeCell ref="N30:O30"/>
    <mergeCell ref="N28:O28"/>
    <mergeCell ref="N29:O29"/>
    <mergeCell ref="P33:Q33"/>
    <mergeCell ref="P34:Q34"/>
    <mergeCell ref="N32:O32"/>
    <mergeCell ref="N33:O33"/>
    <mergeCell ref="N34:O34"/>
    <mergeCell ref="P29:Q29"/>
    <mergeCell ref="N25:O25"/>
    <mergeCell ref="Z38:AE38"/>
    <mergeCell ref="Z40:AE40"/>
    <mergeCell ref="Z41:AE41"/>
    <mergeCell ref="N36:O36"/>
    <mergeCell ref="T41:Y41"/>
    <mergeCell ref="N37:S37"/>
    <mergeCell ref="T37:Y37"/>
    <mergeCell ref="R36:S36"/>
    <mergeCell ref="X36:Y36"/>
    <mergeCell ref="AD25:AE25"/>
    <mergeCell ref="AD35:AE35"/>
    <mergeCell ref="AD36:AE36"/>
    <mergeCell ref="B37:G37"/>
    <mergeCell ref="Z37:AE37"/>
    <mergeCell ref="B36:C36"/>
    <mergeCell ref="R35:S35"/>
    <mergeCell ref="Z35:AA35"/>
    <mergeCell ref="X35:Y35"/>
    <mergeCell ref="H36:I36"/>
    <mergeCell ref="AD26:AE26"/>
    <mergeCell ref="AD27:AE27"/>
    <mergeCell ref="D36:E36"/>
    <mergeCell ref="D32:E32"/>
    <mergeCell ref="F35:G35"/>
    <mergeCell ref="F36:G36"/>
    <mergeCell ref="F31:G31"/>
    <mergeCell ref="F32:G32"/>
    <mergeCell ref="F33:G33"/>
    <mergeCell ref="L29:M29"/>
    <mergeCell ref="P36:Q36"/>
    <mergeCell ref="B34:C34"/>
    <mergeCell ref="B35:C35"/>
    <mergeCell ref="P30:Q30"/>
    <mergeCell ref="P31:Q31"/>
    <mergeCell ref="P32:Q32"/>
    <mergeCell ref="AE6:AE10"/>
    <mergeCell ref="V34:W34"/>
    <mergeCell ref="Z31:AA31"/>
    <mergeCell ref="X29:Y29"/>
    <mergeCell ref="Q8:R8"/>
    <mergeCell ref="Q9:R9"/>
    <mergeCell ref="Z6:AA6"/>
    <mergeCell ref="Z7:AA7"/>
    <mergeCell ref="Z8:AA8"/>
    <mergeCell ref="Z9:AA9"/>
    <mergeCell ref="N6:O6"/>
    <mergeCell ref="N7:O7"/>
    <mergeCell ref="N21:O21"/>
    <mergeCell ref="N22:O22"/>
    <mergeCell ref="N23:O23"/>
    <mergeCell ref="N24:O24"/>
    <mergeCell ref="N26:O26"/>
    <mergeCell ref="R31:S31"/>
    <mergeCell ref="T34:U34"/>
    <mergeCell ref="T23:U23"/>
    <mergeCell ref="T24:U24"/>
    <mergeCell ref="T30:U30"/>
    <mergeCell ref="T31:U31"/>
    <mergeCell ref="T25:U25"/>
    <mergeCell ref="T26:U26"/>
    <mergeCell ref="T27:U27"/>
    <mergeCell ref="T28:U28"/>
    <mergeCell ref="Z21:AA21"/>
    <mergeCell ref="Z22:AA22"/>
    <mergeCell ref="AD121:AE121"/>
    <mergeCell ref="B122:C122"/>
    <mergeCell ref="D122:E122"/>
    <mergeCell ref="AF6:AF10"/>
    <mergeCell ref="Z17:AA17"/>
    <mergeCell ref="AC17:AD17"/>
    <mergeCell ref="Z10:AA10"/>
    <mergeCell ref="AC6:AD6"/>
    <mergeCell ref="AC7:AD7"/>
    <mergeCell ref="AC8:AD8"/>
    <mergeCell ref="AC9:AD9"/>
    <mergeCell ref="AC10:AD10"/>
    <mergeCell ref="AD24:AE24"/>
    <mergeCell ref="N17:O17"/>
    <mergeCell ref="Q17:R17"/>
    <mergeCell ref="AD28:AE28"/>
    <mergeCell ref="N10:O10"/>
    <mergeCell ref="Q10:R10"/>
    <mergeCell ref="W10:X10"/>
    <mergeCell ref="AD21:AE21"/>
    <mergeCell ref="AD22:AE22"/>
    <mergeCell ref="AD23:AE23"/>
    <mergeCell ref="X28:Y28"/>
    <mergeCell ref="AB22:AC22"/>
    <mergeCell ref="AB23:AC23"/>
    <mergeCell ref="AB24:AC24"/>
    <mergeCell ref="T8:U8"/>
    <mergeCell ref="T9:U9"/>
    <mergeCell ref="Q6:R6"/>
    <mergeCell ref="Q7:R7"/>
    <mergeCell ref="AD32:AE32"/>
    <mergeCell ref="AD33:AE33"/>
    <mergeCell ref="F177:G177"/>
    <mergeCell ref="Z180:AA180"/>
    <mergeCell ref="AB180:AC180"/>
    <mergeCell ref="R178:S178"/>
    <mergeCell ref="T178:U178"/>
    <mergeCell ref="V178:W178"/>
    <mergeCell ref="X178:Y178"/>
    <mergeCell ref="AD178:AE178"/>
    <mergeCell ref="N9:O9"/>
    <mergeCell ref="W9:X9"/>
    <mergeCell ref="T6:U6"/>
    <mergeCell ref="T7:U7"/>
    <mergeCell ref="A5:A10"/>
    <mergeCell ref="A16:A17"/>
    <mergeCell ref="T17:U17"/>
    <mergeCell ref="W17:X17"/>
    <mergeCell ref="B17:C17"/>
    <mergeCell ref="E17:F17"/>
    <mergeCell ref="T10:U10"/>
    <mergeCell ref="W6:X6"/>
    <mergeCell ref="W7:X7"/>
    <mergeCell ref="W8:X8"/>
    <mergeCell ref="E6:F6"/>
    <mergeCell ref="AD34:AE34"/>
    <mergeCell ref="N31:O31"/>
    <mergeCell ref="AD29:AE29"/>
    <mergeCell ref="AD30:AE30"/>
    <mergeCell ref="AD31:AE31"/>
    <mergeCell ref="Z178:AA178"/>
    <mergeCell ref="AB178:AC178"/>
    <mergeCell ref="Z121:AA121"/>
    <mergeCell ref="AB121:AC121"/>
    <mergeCell ref="T179:U179"/>
    <mergeCell ref="V179:W179"/>
    <mergeCell ref="X179:Y179"/>
    <mergeCell ref="Z179:AA179"/>
    <mergeCell ref="AB179:AC179"/>
    <mergeCell ref="AD179:AE179"/>
    <mergeCell ref="B180:C180"/>
    <mergeCell ref="D180:E180"/>
    <mergeCell ref="F180:G180"/>
    <mergeCell ref="N180:O180"/>
    <mergeCell ref="P180:Q180"/>
    <mergeCell ref="R180:S180"/>
    <mergeCell ref="T180:U180"/>
    <mergeCell ref="V180:W180"/>
    <mergeCell ref="X180:Y180"/>
    <mergeCell ref="V175:W175"/>
    <mergeCell ref="X175:Y175"/>
    <mergeCell ref="Z175:AA175"/>
    <mergeCell ref="AB175:AC175"/>
    <mergeCell ref="AD175:AE175"/>
    <mergeCell ref="B176:C176"/>
    <mergeCell ref="D176:E176"/>
    <mergeCell ref="F176:G176"/>
    <mergeCell ref="N176:O176"/>
    <mergeCell ref="P176:Q176"/>
    <mergeCell ref="R176:S176"/>
    <mergeCell ref="T176:U176"/>
    <mergeCell ref="V176:W176"/>
    <mergeCell ref="X176:Y176"/>
    <mergeCell ref="AD176:AE176"/>
    <mergeCell ref="B177:C177"/>
    <mergeCell ref="D177:E177"/>
    <mergeCell ref="H187:M187"/>
    <mergeCell ref="B186:G186"/>
    <mergeCell ref="N186:S186"/>
    <mergeCell ref="T186:Y186"/>
    <mergeCell ref="Z186:AE186"/>
    <mergeCell ref="Z182:AA182"/>
    <mergeCell ref="AB182:AC182"/>
    <mergeCell ref="AD182:AE182"/>
    <mergeCell ref="B183:G183"/>
    <mergeCell ref="N183:S183"/>
    <mergeCell ref="AB181:AC181"/>
    <mergeCell ref="AD180:AE180"/>
    <mergeCell ref="B181:C181"/>
    <mergeCell ref="D181:E181"/>
    <mergeCell ref="F181:G181"/>
    <mergeCell ref="N181:O181"/>
    <mergeCell ref="P181:Q181"/>
    <mergeCell ref="R181:S181"/>
    <mergeCell ref="T182:U182"/>
    <mergeCell ref="V182:W182"/>
    <mergeCell ref="X182:Y182"/>
    <mergeCell ref="V181:W181"/>
    <mergeCell ref="X181:Y181"/>
    <mergeCell ref="Z181:AA181"/>
    <mergeCell ref="T181:U181"/>
    <mergeCell ref="T184:Y184"/>
    <mergeCell ref="Z184:AE184"/>
    <mergeCell ref="H184:M184"/>
    <mergeCell ref="H186:M186"/>
    <mergeCell ref="Z124:AA124"/>
    <mergeCell ref="B125:C125"/>
    <mergeCell ref="D125:E125"/>
    <mergeCell ref="F125:G125"/>
    <mergeCell ref="N125:O125"/>
    <mergeCell ref="P125:Q125"/>
    <mergeCell ref="R125:S125"/>
    <mergeCell ref="H125:I125"/>
    <mergeCell ref="J125:K125"/>
    <mergeCell ref="L125:M125"/>
    <mergeCell ref="X125:Y125"/>
    <mergeCell ref="T183:Y183"/>
    <mergeCell ref="Z183:AE183"/>
    <mergeCell ref="H183:M183"/>
    <mergeCell ref="AD181:AE181"/>
    <mergeCell ref="B182:C182"/>
    <mergeCell ref="D182:E182"/>
    <mergeCell ref="F182:G182"/>
    <mergeCell ref="N182:O182"/>
    <mergeCell ref="P182:Q182"/>
    <mergeCell ref="R182:S182"/>
    <mergeCell ref="B179:C179"/>
    <mergeCell ref="D179:E179"/>
    <mergeCell ref="F179:G179"/>
    <mergeCell ref="N179:O179"/>
    <mergeCell ref="P179:Q179"/>
    <mergeCell ref="R179:S179"/>
    <mergeCell ref="X127:Y127"/>
    <mergeCell ref="Z127:AA127"/>
    <mergeCell ref="AB127:AC127"/>
    <mergeCell ref="AD127:AE127"/>
    <mergeCell ref="P127:Q127"/>
    <mergeCell ref="N122:O122"/>
    <mergeCell ref="P122:Q122"/>
    <mergeCell ref="R122:S122"/>
    <mergeCell ref="B123:C123"/>
    <mergeCell ref="D123:E123"/>
    <mergeCell ref="F123:G123"/>
    <mergeCell ref="N123:O123"/>
    <mergeCell ref="P123:Q123"/>
    <mergeCell ref="R123:S123"/>
    <mergeCell ref="X123:Y123"/>
    <mergeCell ref="Z123:AA123"/>
    <mergeCell ref="AB123:AC123"/>
    <mergeCell ref="AD123:AE123"/>
    <mergeCell ref="Z122:AA122"/>
    <mergeCell ref="AB122:AC122"/>
    <mergeCell ref="AD122:AE122"/>
    <mergeCell ref="B188:G188"/>
    <mergeCell ref="N188:S188"/>
    <mergeCell ref="T188:Y188"/>
    <mergeCell ref="Z188:AE188"/>
    <mergeCell ref="H188:M188"/>
    <mergeCell ref="B187:G187"/>
    <mergeCell ref="N187:S187"/>
    <mergeCell ref="T187:Y187"/>
    <mergeCell ref="Z187:AE187"/>
    <mergeCell ref="T122:U122"/>
    <mergeCell ref="F124:G124"/>
    <mergeCell ref="N124:O124"/>
    <mergeCell ref="P124:Q124"/>
    <mergeCell ref="R124:S124"/>
    <mergeCell ref="H122:I122"/>
    <mergeCell ref="T123:U123"/>
    <mergeCell ref="B121:C121"/>
    <mergeCell ref="D121:E121"/>
    <mergeCell ref="F121:G121"/>
    <mergeCell ref="L122:M122"/>
    <mergeCell ref="H123:I123"/>
    <mergeCell ref="J123:K123"/>
    <mergeCell ref="L123:M123"/>
    <mergeCell ref="Z125:AA125"/>
    <mergeCell ref="AB125:AC125"/>
    <mergeCell ref="AD125:AE125"/>
    <mergeCell ref="AB124:AC124"/>
    <mergeCell ref="AD124:AE124"/>
    <mergeCell ref="B126:C126"/>
    <mergeCell ref="D126:E126"/>
    <mergeCell ref="F126:G126"/>
    <mergeCell ref="N126:O126"/>
    <mergeCell ref="H126:I126"/>
    <mergeCell ref="J126:K126"/>
    <mergeCell ref="L126:M126"/>
    <mergeCell ref="X126:Y126"/>
    <mergeCell ref="Z126:AA126"/>
    <mergeCell ref="AB126:AC126"/>
    <mergeCell ref="AD126:AE126"/>
    <mergeCell ref="P126:Q126"/>
    <mergeCell ref="R126:S126"/>
    <mergeCell ref="T126:U126"/>
    <mergeCell ref="V126:W126"/>
    <mergeCell ref="B124:C124"/>
    <mergeCell ref="H124:I124"/>
    <mergeCell ref="J124:K124"/>
    <mergeCell ref="L124:M124"/>
    <mergeCell ref="F122:G122"/>
    <mergeCell ref="R127:S127"/>
    <mergeCell ref="T127:U127"/>
    <mergeCell ref="V127:W127"/>
    <mergeCell ref="B128:C128"/>
    <mergeCell ref="D128:E128"/>
    <mergeCell ref="F128:G128"/>
    <mergeCell ref="N128:O128"/>
    <mergeCell ref="H128:I128"/>
    <mergeCell ref="J128:K128"/>
    <mergeCell ref="L128:M128"/>
    <mergeCell ref="X128:Y128"/>
    <mergeCell ref="Z128:AA128"/>
    <mergeCell ref="AB128:AC128"/>
    <mergeCell ref="AD128:AE128"/>
    <mergeCell ref="P128:Q128"/>
    <mergeCell ref="R128:S128"/>
    <mergeCell ref="T128:U128"/>
    <mergeCell ref="V128:W128"/>
    <mergeCell ref="L127:M127"/>
    <mergeCell ref="B129:C129"/>
    <mergeCell ref="D129:E129"/>
    <mergeCell ref="F129:G129"/>
    <mergeCell ref="N129:O129"/>
    <mergeCell ref="H129:I129"/>
    <mergeCell ref="J129:K129"/>
    <mergeCell ref="L129:M129"/>
    <mergeCell ref="X129:Y129"/>
    <mergeCell ref="Z129:AA129"/>
    <mergeCell ref="AB129:AC129"/>
    <mergeCell ref="AD129:AE129"/>
    <mergeCell ref="P129:Q129"/>
    <mergeCell ref="R129:S129"/>
    <mergeCell ref="T129:U129"/>
    <mergeCell ref="V129:W129"/>
    <mergeCell ref="B130:C130"/>
    <mergeCell ref="D130:E130"/>
    <mergeCell ref="F130:G130"/>
    <mergeCell ref="N130:O130"/>
    <mergeCell ref="H130:I130"/>
    <mergeCell ref="J130:K130"/>
    <mergeCell ref="L130:M130"/>
    <mergeCell ref="X130:Y130"/>
    <mergeCell ref="Z130:AA130"/>
    <mergeCell ref="AB130:AC130"/>
    <mergeCell ref="AD130:AE130"/>
    <mergeCell ref="P130:Q130"/>
    <mergeCell ref="R130:S130"/>
    <mergeCell ref="T130:U130"/>
    <mergeCell ref="V130:W130"/>
    <mergeCell ref="B131:C131"/>
    <mergeCell ref="D131:E131"/>
    <mergeCell ref="F131:G131"/>
    <mergeCell ref="N131:O131"/>
    <mergeCell ref="H131:I131"/>
    <mergeCell ref="J131:K131"/>
    <mergeCell ref="L131:M131"/>
    <mergeCell ref="X131:Y131"/>
    <mergeCell ref="Z131:AA131"/>
    <mergeCell ref="AB131:AC131"/>
    <mergeCell ref="AD131:AE131"/>
    <mergeCell ref="P131:Q131"/>
    <mergeCell ref="R131:S131"/>
    <mergeCell ref="T131:U131"/>
    <mergeCell ref="V131:W131"/>
    <mergeCell ref="B132:C132"/>
    <mergeCell ref="D132:E132"/>
    <mergeCell ref="F132:G132"/>
    <mergeCell ref="N132:O132"/>
    <mergeCell ref="H132:I132"/>
    <mergeCell ref="J132:K132"/>
    <mergeCell ref="L132:M132"/>
    <mergeCell ref="X132:Y132"/>
    <mergeCell ref="Z132:AA132"/>
    <mergeCell ref="AB132:AC132"/>
    <mergeCell ref="AD132:AE132"/>
    <mergeCell ref="P132:Q132"/>
    <mergeCell ref="R132:S132"/>
    <mergeCell ref="T132:U132"/>
    <mergeCell ref="V132:W132"/>
    <mergeCell ref="AD133:AE133"/>
    <mergeCell ref="P133:Q133"/>
    <mergeCell ref="R133:S133"/>
    <mergeCell ref="T133:U133"/>
    <mergeCell ref="V133:W133"/>
    <mergeCell ref="B133:C133"/>
    <mergeCell ref="D133:E133"/>
    <mergeCell ref="F133:G133"/>
    <mergeCell ref="N133:O133"/>
    <mergeCell ref="H133:I133"/>
    <mergeCell ref="H134:I134"/>
    <mergeCell ref="J134:K134"/>
    <mergeCell ref="L134:M134"/>
    <mergeCell ref="X133:Y133"/>
    <mergeCell ref="Z133:AA133"/>
    <mergeCell ref="AB133:AC133"/>
    <mergeCell ref="J133:K133"/>
    <mergeCell ref="L133:M133"/>
    <mergeCell ref="AB134:AC134"/>
    <mergeCell ref="AD134:AE134"/>
    <mergeCell ref="P134:Q134"/>
    <mergeCell ref="R134:S134"/>
    <mergeCell ref="T134:U134"/>
    <mergeCell ref="V134:W134"/>
    <mergeCell ref="B135:C135"/>
    <mergeCell ref="D135:E135"/>
    <mergeCell ref="F135:G135"/>
    <mergeCell ref="N135:O135"/>
    <mergeCell ref="X134:Y134"/>
    <mergeCell ref="Z134:AA134"/>
    <mergeCell ref="B134:C134"/>
    <mergeCell ref="D134:E134"/>
    <mergeCell ref="F134:G134"/>
    <mergeCell ref="N134:O134"/>
    <mergeCell ref="X135:Y135"/>
    <mergeCell ref="Z135:AA135"/>
    <mergeCell ref="AB135:AC135"/>
    <mergeCell ref="AD135:AE135"/>
    <mergeCell ref="P135:Q135"/>
    <mergeCell ref="R135:S135"/>
    <mergeCell ref="T135:U135"/>
    <mergeCell ref="V135:W135"/>
    <mergeCell ref="X136:Y136"/>
    <mergeCell ref="Z136:AA136"/>
    <mergeCell ref="AB136:AC136"/>
    <mergeCell ref="B136:C136"/>
    <mergeCell ref="D136:E136"/>
    <mergeCell ref="F136:G136"/>
    <mergeCell ref="N136:O136"/>
    <mergeCell ref="B137:G137"/>
    <mergeCell ref="N137:S137"/>
    <mergeCell ref="T137:Y137"/>
    <mergeCell ref="Z137:AE137"/>
    <mergeCell ref="H137:M137"/>
    <mergeCell ref="P136:Q136"/>
    <mergeCell ref="R136:S136"/>
    <mergeCell ref="T136:U136"/>
    <mergeCell ref="AD136:AE136"/>
    <mergeCell ref="V136:W136"/>
    <mergeCell ref="J136:K136"/>
    <mergeCell ref="L136:M136"/>
    <mergeCell ref="N139:S139"/>
    <mergeCell ref="T139:Y139"/>
    <mergeCell ref="Z139:AE139"/>
    <mergeCell ref="H139:M139"/>
    <mergeCell ref="B138:G138"/>
    <mergeCell ref="N138:S138"/>
    <mergeCell ref="T138:Y138"/>
    <mergeCell ref="Z138:AE138"/>
    <mergeCell ref="H138:M138"/>
    <mergeCell ref="N87:S87"/>
    <mergeCell ref="T87:Y87"/>
    <mergeCell ref="Z87:AE87"/>
    <mergeCell ref="H87:M87"/>
    <mergeCell ref="B140:G140"/>
    <mergeCell ref="N140:S140"/>
    <mergeCell ref="T140:Y140"/>
    <mergeCell ref="Z140:AE140"/>
    <mergeCell ref="H140:M140"/>
    <mergeCell ref="B139:G139"/>
    <mergeCell ref="B88:G88"/>
    <mergeCell ref="N88:S88"/>
    <mergeCell ref="T88:Y88"/>
    <mergeCell ref="Z88:AE88"/>
    <mergeCell ref="H88:M88"/>
    <mergeCell ref="B91:G91"/>
    <mergeCell ref="N91:S91"/>
    <mergeCell ref="T91:Y91"/>
    <mergeCell ref="Z91:AE91"/>
    <mergeCell ref="H91:M91"/>
    <mergeCell ref="B90:G90"/>
    <mergeCell ref="N90:S90"/>
    <mergeCell ref="T90:Y90"/>
    <mergeCell ref="B69:C69"/>
    <mergeCell ref="D69:E69"/>
    <mergeCell ref="F69:G69"/>
    <mergeCell ref="A67:A84"/>
    <mergeCell ref="B67:G67"/>
    <mergeCell ref="B87:G87"/>
    <mergeCell ref="V69:W69"/>
    <mergeCell ref="X69:Y69"/>
    <mergeCell ref="Z69:AA69"/>
    <mergeCell ref="AB69:AC69"/>
    <mergeCell ref="N69:O69"/>
    <mergeCell ref="P69:Q69"/>
    <mergeCell ref="R69:S69"/>
    <mergeCell ref="T69:U69"/>
    <mergeCell ref="AD69:AE69"/>
    <mergeCell ref="B70:C70"/>
    <mergeCell ref="D70:E70"/>
    <mergeCell ref="F70:G70"/>
    <mergeCell ref="N70:O70"/>
    <mergeCell ref="P70:Q70"/>
    <mergeCell ref="R70:S70"/>
    <mergeCell ref="T70:U70"/>
    <mergeCell ref="V70:W70"/>
    <mergeCell ref="X70:Y70"/>
    <mergeCell ref="AD70:AE70"/>
    <mergeCell ref="B71:C71"/>
    <mergeCell ref="D71:E71"/>
    <mergeCell ref="F71:G71"/>
    <mergeCell ref="N71:O71"/>
    <mergeCell ref="P71:Q71"/>
    <mergeCell ref="R71:S71"/>
    <mergeCell ref="T71:U71"/>
    <mergeCell ref="V71:W71"/>
    <mergeCell ref="X71:Y71"/>
    <mergeCell ref="Z71:AA71"/>
    <mergeCell ref="AB71:AC71"/>
    <mergeCell ref="Z70:AA70"/>
    <mergeCell ref="AB70:AC70"/>
    <mergeCell ref="AD71:AE71"/>
    <mergeCell ref="B72:C72"/>
    <mergeCell ref="D72:E72"/>
    <mergeCell ref="F72:G72"/>
    <mergeCell ref="N72:O72"/>
    <mergeCell ref="P72:Q72"/>
    <mergeCell ref="R72:S72"/>
    <mergeCell ref="T72:U72"/>
    <mergeCell ref="V72:W72"/>
    <mergeCell ref="X72:Y72"/>
    <mergeCell ref="AD72:AE72"/>
    <mergeCell ref="H71:I71"/>
    <mergeCell ref="J71:K71"/>
    <mergeCell ref="L71:M71"/>
    <mergeCell ref="H72:I72"/>
    <mergeCell ref="J72:K72"/>
    <mergeCell ref="L72:M72"/>
    <mergeCell ref="B73:C73"/>
    <mergeCell ref="D73:E73"/>
    <mergeCell ref="F73:G73"/>
    <mergeCell ref="N73:O73"/>
    <mergeCell ref="P73:Q73"/>
    <mergeCell ref="R73:S73"/>
    <mergeCell ref="T73:U73"/>
    <mergeCell ref="H73:I73"/>
    <mergeCell ref="J73:K73"/>
    <mergeCell ref="V73:W73"/>
    <mergeCell ref="X73:Y73"/>
    <mergeCell ref="Z73:AA73"/>
    <mergeCell ref="AB73:AC73"/>
    <mergeCell ref="Z72:AA72"/>
    <mergeCell ref="AB72:AC72"/>
    <mergeCell ref="AD73:AE73"/>
    <mergeCell ref="B74:C74"/>
    <mergeCell ref="D74:E74"/>
    <mergeCell ref="F74:G74"/>
    <mergeCell ref="N74:O74"/>
    <mergeCell ref="P74:Q74"/>
    <mergeCell ref="R74:S74"/>
    <mergeCell ref="T74:U74"/>
    <mergeCell ref="V74:W74"/>
    <mergeCell ref="X74:Y74"/>
    <mergeCell ref="AD74:AE74"/>
    <mergeCell ref="L73:M73"/>
    <mergeCell ref="H74:I74"/>
    <mergeCell ref="J74:K74"/>
    <mergeCell ref="L74:M74"/>
    <mergeCell ref="B75:C75"/>
    <mergeCell ref="D75:E75"/>
    <mergeCell ref="F75:G75"/>
    <mergeCell ref="N75:O75"/>
    <mergeCell ref="P75:Q75"/>
    <mergeCell ref="R75:S75"/>
    <mergeCell ref="T75:U75"/>
    <mergeCell ref="V75:W75"/>
    <mergeCell ref="X75:Y75"/>
    <mergeCell ref="Z75:AA75"/>
    <mergeCell ref="AB75:AC75"/>
    <mergeCell ref="Z74:AA74"/>
    <mergeCell ref="AB74:AC74"/>
    <mergeCell ref="AD75:AE75"/>
    <mergeCell ref="B76:C76"/>
    <mergeCell ref="D76:E76"/>
    <mergeCell ref="F76:G76"/>
    <mergeCell ref="N76:O76"/>
    <mergeCell ref="P76:Q76"/>
    <mergeCell ref="R76:S76"/>
    <mergeCell ref="T76:U76"/>
    <mergeCell ref="V76:W76"/>
    <mergeCell ref="X76:Y76"/>
    <mergeCell ref="AD76:AE76"/>
    <mergeCell ref="L76:M76"/>
    <mergeCell ref="H75:I75"/>
    <mergeCell ref="J75:K75"/>
    <mergeCell ref="L75:M75"/>
    <mergeCell ref="B77:C77"/>
    <mergeCell ref="D77:E77"/>
    <mergeCell ref="F77:G77"/>
    <mergeCell ref="N77:O77"/>
    <mergeCell ref="P77:Q77"/>
    <mergeCell ref="R77:S77"/>
    <mergeCell ref="T77:U77"/>
    <mergeCell ref="H76:I76"/>
    <mergeCell ref="J76:K76"/>
    <mergeCell ref="V77:W77"/>
    <mergeCell ref="X77:Y77"/>
    <mergeCell ref="Z77:AA77"/>
    <mergeCell ref="AB77:AC77"/>
    <mergeCell ref="Z76:AA76"/>
    <mergeCell ref="AB76:AC76"/>
    <mergeCell ref="AD77:AE77"/>
    <mergeCell ref="B78:C78"/>
    <mergeCell ref="D78:E78"/>
    <mergeCell ref="F78:G78"/>
    <mergeCell ref="N78:O78"/>
    <mergeCell ref="P78:Q78"/>
    <mergeCell ref="R78:S78"/>
    <mergeCell ref="T78:U78"/>
    <mergeCell ref="V78:W78"/>
    <mergeCell ref="X78:Y78"/>
    <mergeCell ref="AD78:AE78"/>
    <mergeCell ref="H77:I77"/>
    <mergeCell ref="J77:K77"/>
    <mergeCell ref="L77:M77"/>
    <mergeCell ref="H78:I78"/>
    <mergeCell ref="J78:K78"/>
    <mergeCell ref="L78:M78"/>
    <mergeCell ref="B79:C79"/>
    <mergeCell ref="D79:E79"/>
    <mergeCell ref="F79:G79"/>
    <mergeCell ref="N79:O79"/>
    <mergeCell ref="P79:Q79"/>
    <mergeCell ref="R79:S79"/>
    <mergeCell ref="T79:U79"/>
    <mergeCell ref="H79:I79"/>
    <mergeCell ref="J79:K79"/>
    <mergeCell ref="V79:W79"/>
    <mergeCell ref="X79:Y79"/>
    <mergeCell ref="Z79:AA79"/>
    <mergeCell ref="AB79:AC79"/>
    <mergeCell ref="Z78:AA78"/>
    <mergeCell ref="AB78:AC78"/>
    <mergeCell ref="AD79:AE79"/>
    <mergeCell ref="B80:C80"/>
    <mergeCell ref="D80:E80"/>
    <mergeCell ref="F80:G80"/>
    <mergeCell ref="N80:O80"/>
    <mergeCell ref="P80:Q80"/>
    <mergeCell ref="R80:S80"/>
    <mergeCell ref="T80:U80"/>
    <mergeCell ref="V80:W80"/>
    <mergeCell ref="X80:Y80"/>
    <mergeCell ref="AD80:AE80"/>
    <mergeCell ref="L80:M80"/>
    <mergeCell ref="L79:M79"/>
    <mergeCell ref="H80:I80"/>
    <mergeCell ref="J80:K80"/>
    <mergeCell ref="B81:C81"/>
    <mergeCell ref="D81:E81"/>
    <mergeCell ref="F81:G81"/>
    <mergeCell ref="N81:O81"/>
    <mergeCell ref="P81:Q81"/>
    <mergeCell ref="R81:S81"/>
    <mergeCell ref="T81:U81"/>
    <mergeCell ref="V81:W81"/>
    <mergeCell ref="X81:Y81"/>
    <mergeCell ref="Z81:AA81"/>
    <mergeCell ref="AB81:AC81"/>
    <mergeCell ref="Z80:AA80"/>
    <mergeCell ref="AB80:AC80"/>
    <mergeCell ref="T83:U83"/>
    <mergeCell ref="AD81:AE81"/>
    <mergeCell ref="B82:C82"/>
    <mergeCell ref="D82:E82"/>
    <mergeCell ref="F82:G82"/>
    <mergeCell ref="N82:O82"/>
    <mergeCell ref="P82:Q82"/>
    <mergeCell ref="R82:S82"/>
    <mergeCell ref="T82:U82"/>
    <mergeCell ref="V82:W82"/>
    <mergeCell ref="B83:C83"/>
    <mergeCell ref="D83:E83"/>
    <mergeCell ref="F83:G83"/>
    <mergeCell ref="N83:O83"/>
    <mergeCell ref="P83:Q83"/>
    <mergeCell ref="R83:S83"/>
    <mergeCell ref="X83:Y83"/>
    <mergeCell ref="Z83:AA83"/>
    <mergeCell ref="AB83:AC83"/>
    <mergeCell ref="Z82:AA82"/>
    <mergeCell ref="AB82:AC82"/>
    <mergeCell ref="AD82:AE82"/>
    <mergeCell ref="X82:Y82"/>
    <mergeCell ref="B84:C84"/>
    <mergeCell ref="D84:E84"/>
    <mergeCell ref="F84:G84"/>
    <mergeCell ref="N84:O84"/>
    <mergeCell ref="P84:Q84"/>
    <mergeCell ref="R84:S84"/>
    <mergeCell ref="T85:Y85"/>
    <mergeCell ref="Z85:AE85"/>
    <mergeCell ref="H84:I84"/>
    <mergeCell ref="J84:K84"/>
    <mergeCell ref="L84:M84"/>
    <mergeCell ref="AD83:AE83"/>
    <mergeCell ref="T84:U84"/>
    <mergeCell ref="V84:W84"/>
    <mergeCell ref="X84:Y84"/>
    <mergeCell ref="V83:W83"/>
    <mergeCell ref="Z84:AA84"/>
    <mergeCell ref="AB84:AC84"/>
    <mergeCell ref="AD84:AE84"/>
    <mergeCell ref="B85:G85"/>
    <mergeCell ref="N85:S85"/>
    <mergeCell ref="H85:M85"/>
    <mergeCell ref="H82:I82"/>
    <mergeCell ref="J82:K82"/>
    <mergeCell ref="L82:M82"/>
    <mergeCell ref="H83:I83"/>
    <mergeCell ref="J83:K83"/>
    <mergeCell ref="L83:M83"/>
    <mergeCell ref="Z90:AE90"/>
    <mergeCell ref="H90:M90"/>
    <mergeCell ref="N192:O192"/>
    <mergeCell ref="P192:Q192"/>
    <mergeCell ref="A190:A207"/>
    <mergeCell ref="B190:G190"/>
    <mergeCell ref="H190:M190"/>
    <mergeCell ref="N190:S190"/>
    <mergeCell ref="R192:S192"/>
    <mergeCell ref="R193:S193"/>
    <mergeCell ref="R194:S194"/>
    <mergeCell ref="R195:S195"/>
    <mergeCell ref="B192:C192"/>
    <mergeCell ref="D192:E192"/>
    <mergeCell ref="F192:G192"/>
    <mergeCell ref="H192:I192"/>
    <mergeCell ref="J192:K192"/>
    <mergeCell ref="L192:M192"/>
    <mergeCell ref="T192:U192"/>
    <mergeCell ref="V192:W192"/>
    <mergeCell ref="X192:Y192"/>
    <mergeCell ref="Z192:AA192"/>
    <mergeCell ref="T190:Y190"/>
    <mergeCell ref="Z190:AE190"/>
    <mergeCell ref="AB192:AC192"/>
    <mergeCell ref="AD192:AE192"/>
    <mergeCell ref="B193:C193"/>
    <mergeCell ref="D193:E193"/>
    <mergeCell ref="F193:G193"/>
    <mergeCell ref="H193:I193"/>
    <mergeCell ref="J193:K193"/>
    <mergeCell ref="L193:M193"/>
    <mergeCell ref="N193:O193"/>
    <mergeCell ref="P193:Q193"/>
    <mergeCell ref="N194:O194"/>
    <mergeCell ref="P194:Q194"/>
    <mergeCell ref="T193:U193"/>
    <mergeCell ref="V193:W193"/>
    <mergeCell ref="X193:Y193"/>
    <mergeCell ref="Z193:AA193"/>
    <mergeCell ref="B194:C194"/>
    <mergeCell ref="D194:E194"/>
    <mergeCell ref="F194:G194"/>
    <mergeCell ref="H194:I194"/>
    <mergeCell ref="J194:K194"/>
    <mergeCell ref="L194:M194"/>
    <mergeCell ref="T194:U194"/>
    <mergeCell ref="V194:W194"/>
    <mergeCell ref="X194:Y194"/>
    <mergeCell ref="Z194:AA194"/>
    <mergeCell ref="AB193:AC193"/>
    <mergeCell ref="AD193:AE193"/>
    <mergeCell ref="AB194:AC194"/>
    <mergeCell ref="AD194:AE194"/>
    <mergeCell ref="B195:C195"/>
    <mergeCell ref="D195:E195"/>
    <mergeCell ref="F195:G195"/>
    <mergeCell ref="H195:I195"/>
    <mergeCell ref="J195:K195"/>
    <mergeCell ref="L195:M195"/>
    <mergeCell ref="N195:O195"/>
    <mergeCell ref="P195:Q195"/>
    <mergeCell ref="N196:O196"/>
    <mergeCell ref="P196:Q196"/>
    <mergeCell ref="T195:U195"/>
    <mergeCell ref="V195:W195"/>
    <mergeCell ref="X195:Y195"/>
    <mergeCell ref="Z195:AA195"/>
    <mergeCell ref="R196:S196"/>
    <mergeCell ref="B196:C196"/>
    <mergeCell ref="D196:E196"/>
    <mergeCell ref="F196:G196"/>
    <mergeCell ref="H196:I196"/>
    <mergeCell ref="J196:K196"/>
    <mergeCell ref="L196:M196"/>
    <mergeCell ref="T196:U196"/>
    <mergeCell ref="V196:W196"/>
    <mergeCell ref="X196:Y196"/>
    <mergeCell ref="Z196:AA196"/>
    <mergeCell ref="AB195:AC195"/>
    <mergeCell ref="AD195:AE195"/>
    <mergeCell ref="AB196:AC196"/>
    <mergeCell ref="AD196:AE196"/>
    <mergeCell ref="B197:C197"/>
    <mergeCell ref="D197:E197"/>
    <mergeCell ref="F197:G197"/>
    <mergeCell ref="H197:I197"/>
    <mergeCell ref="J197:K197"/>
    <mergeCell ref="L197:M197"/>
    <mergeCell ref="N197:O197"/>
    <mergeCell ref="P197:Q197"/>
    <mergeCell ref="N198:O198"/>
    <mergeCell ref="P198:Q198"/>
    <mergeCell ref="T197:U197"/>
    <mergeCell ref="V197:W197"/>
    <mergeCell ref="X197:Y197"/>
    <mergeCell ref="Z197:AA197"/>
    <mergeCell ref="R197:S197"/>
    <mergeCell ref="B198:C198"/>
    <mergeCell ref="D198:E198"/>
    <mergeCell ref="F198:G198"/>
    <mergeCell ref="H198:I198"/>
    <mergeCell ref="J198:K198"/>
    <mergeCell ref="L198:M198"/>
    <mergeCell ref="R198:S198"/>
    <mergeCell ref="T198:U198"/>
    <mergeCell ref="V198:W198"/>
    <mergeCell ref="X198:Y198"/>
    <mergeCell ref="AB197:AC197"/>
    <mergeCell ref="AD197:AE197"/>
    <mergeCell ref="Z198:AA198"/>
    <mergeCell ref="AB198:AC198"/>
    <mergeCell ref="AD198:AE198"/>
    <mergeCell ref="AB202:AC202"/>
    <mergeCell ref="AD202:AE202"/>
    <mergeCell ref="B199:C199"/>
    <mergeCell ref="D199:E199"/>
    <mergeCell ref="F199:G199"/>
    <mergeCell ref="H199:I199"/>
    <mergeCell ref="J199:K199"/>
    <mergeCell ref="L199:M199"/>
    <mergeCell ref="N199:O199"/>
    <mergeCell ref="AB199:AC199"/>
    <mergeCell ref="AD199:AE199"/>
    <mergeCell ref="P199:Q199"/>
    <mergeCell ref="R199:S199"/>
    <mergeCell ref="T199:U199"/>
    <mergeCell ref="V199:W199"/>
    <mergeCell ref="B200:C200"/>
    <mergeCell ref="D200:E200"/>
    <mergeCell ref="F200:G200"/>
    <mergeCell ref="H200:I200"/>
    <mergeCell ref="X199:Y199"/>
    <mergeCell ref="Z199:AA199"/>
    <mergeCell ref="R200:S200"/>
    <mergeCell ref="T200:U200"/>
    <mergeCell ref="V200:W200"/>
    <mergeCell ref="X200:Y200"/>
    <mergeCell ref="J200:K200"/>
    <mergeCell ref="L200:M200"/>
    <mergeCell ref="N200:O200"/>
    <mergeCell ref="P200:Q200"/>
    <mergeCell ref="Z200:AA200"/>
    <mergeCell ref="AB200:AC200"/>
    <mergeCell ref="AD200:AE200"/>
    <mergeCell ref="P204:Q204"/>
    <mergeCell ref="Z204:AA204"/>
    <mergeCell ref="AB204:AC204"/>
    <mergeCell ref="AD204:AE204"/>
    <mergeCell ref="B201:C201"/>
    <mergeCell ref="D201:E201"/>
    <mergeCell ref="F201:G201"/>
    <mergeCell ref="H201:I201"/>
    <mergeCell ref="J201:K201"/>
    <mergeCell ref="L201:M201"/>
    <mergeCell ref="N201:O201"/>
    <mergeCell ref="AB201:AC201"/>
    <mergeCell ref="AD201:AE201"/>
    <mergeCell ref="P201:Q201"/>
    <mergeCell ref="R201:S201"/>
    <mergeCell ref="T201:U201"/>
    <mergeCell ref="V201:W201"/>
    <mergeCell ref="B202:C202"/>
    <mergeCell ref="D202:E202"/>
    <mergeCell ref="F202:G202"/>
    <mergeCell ref="H202:I202"/>
    <mergeCell ref="X201:Y201"/>
    <mergeCell ref="Z201:AA201"/>
    <mergeCell ref="R202:S202"/>
    <mergeCell ref="T202:U202"/>
    <mergeCell ref="V202:W202"/>
    <mergeCell ref="X202:Y202"/>
    <mergeCell ref="J202:K202"/>
    <mergeCell ref="L202:M202"/>
    <mergeCell ref="N202:O202"/>
    <mergeCell ref="P202:Q202"/>
    <mergeCell ref="Z202:AA202"/>
    <mergeCell ref="V206:W206"/>
    <mergeCell ref="X206:Y206"/>
    <mergeCell ref="J206:K206"/>
    <mergeCell ref="L206:M206"/>
    <mergeCell ref="N206:O206"/>
    <mergeCell ref="P206:Q206"/>
    <mergeCell ref="B203:C203"/>
    <mergeCell ref="D203:E203"/>
    <mergeCell ref="F203:G203"/>
    <mergeCell ref="H203:I203"/>
    <mergeCell ref="J203:K203"/>
    <mergeCell ref="L203:M203"/>
    <mergeCell ref="N203:O203"/>
    <mergeCell ref="AB203:AC203"/>
    <mergeCell ref="AD203:AE203"/>
    <mergeCell ref="P203:Q203"/>
    <mergeCell ref="R203:S203"/>
    <mergeCell ref="T203:U203"/>
    <mergeCell ref="V203:W203"/>
    <mergeCell ref="B204:C204"/>
    <mergeCell ref="D204:E204"/>
    <mergeCell ref="F204:G204"/>
    <mergeCell ref="H204:I204"/>
    <mergeCell ref="X203:Y203"/>
    <mergeCell ref="Z203:AA203"/>
    <mergeCell ref="R204:S204"/>
    <mergeCell ref="T204:U204"/>
    <mergeCell ref="V204:W204"/>
    <mergeCell ref="X204:Y204"/>
    <mergeCell ref="J204:K204"/>
    <mergeCell ref="L204:M204"/>
    <mergeCell ref="N204:O204"/>
    <mergeCell ref="H208:M208"/>
    <mergeCell ref="N208:S208"/>
    <mergeCell ref="T208:Y208"/>
    <mergeCell ref="X207:Y207"/>
    <mergeCell ref="Z207:AA207"/>
    <mergeCell ref="AB207:AC207"/>
    <mergeCell ref="AD207:AE207"/>
    <mergeCell ref="P207:Q207"/>
    <mergeCell ref="B205:C205"/>
    <mergeCell ref="D205:E205"/>
    <mergeCell ref="F205:G205"/>
    <mergeCell ref="H205:I205"/>
    <mergeCell ref="J205:K205"/>
    <mergeCell ref="L205:M205"/>
    <mergeCell ref="N205:O205"/>
    <mergeCell ref="AB205:AC205"/>
    <mergeCell ref="AD205:AE205"/>
    <mergeCell ref="P205:Q205"/>
    <mergeCell ref="R205:S205"/>
    <mergeCell ref="T205:U205"/>
    <mergeCell ref="V205:W205"/>
    <mergeCell ref="B206:C206"/>
    <mergeCell ref="D206:E206"/>
    <mergeCell ref="F206:G206"/>
    <mergeCell ref="H206:I206"/>
    <mergeCell ref="X205:Y205"/>
    <mergeCell ref="Z205:AA205"/>
    <mergeCell ref="Z206:AA206"/>
    <mergeCell ref="AB206:AC206"/>
    <mergeCell ref="AD206:AE206"/>
    <mergeCell ref="R206:S206"/>
    <mergeCell ref="T206:U206"/>
    <mergeCell ref="Z212:AE212"/>
    <mergeCell ref="B211:G211"/>
    <mergeCell ref="H211:M211"/>
    <mergeCell ref="N211:S211"/>
    <mergeCell ref="T211:Y211"/>
    <mergeCell ref="Z208:AE208"/>
    <mergeCell ref="B210:G210"/>
    <mergeCell ref="H210:M210"/>
    <mergeCell ref="N210:S210"/>
    <mergeCell ref="T210:Y210"/>
    <mergeCell ref="N207:O207"/>
    <mergeCell ref="Z213:AE213"/>
    <mergeCell ref="B213:G213"/>
    <mergeCell ref="H213:M213"/>
    <mergeCell ref="N213:S213"/>
    <mergeCell ref="T213:Y213"/>
    <mergeCell ref="Z211:AE211"/>
    <mergeCell ref="B212:G212"/>
    <mergeCell ref="H212:M212"/>
    <mergeCell ref="N212:S212"/>
    <mergeCell ref="T212:Y212"/>
    <mergeCell ref="B207:C207"/>
    <mergeCell ref="D207:E207"/>
    <mergeCell ref="F207:G207"/>
    <mergeCell ref="H207:I207"/>
    <mergeCell ref="J207:K207"/>
    <mergeCell ref="L207:M207"/>
    <mergeCell ref="R207:S207"/>
    <mergeCell ref="T207:U207"/>
    <mergeCell ref="V207:W207"/>
    <mergeCell ref="Z210:AE210"/>
    <mergeCell ref="B208:G208"/>
    <mergeCell ref="N144:O144"/>
    <mergeCell ref="P144:Q144"/>
    <mergeCell ref="A142:A159"/>
    <mergeCell ref="B142:G142"/>
    <mergeCell ref="H142:M142"/>
    <mergeCell ref="N142:S142"/>
    <mergeCell ref="R144:S144"/>
    <mergeCell ref="R145:S145"/>
    <mergeCell ref="R146:S146"/>
    <mergeCell ref="R147:S147"/>
    <mergeCell ref="B144:C144"/>
    <mergeCell ref="D144:E144"/>
    <mergeCell ref="F144:G144"/>
    <mergeCell ref="H144:I144"/>
    <mergeCell ref="J144:K144"/>
    <mergeCell ref="L144:M144"/>
    <mergeCell ref="T144:U144"/>
    <mergeCell ref="B149:C149"/>
    <mergeCell ref="D149:E149"/>
    <mergeCell ref="F149:G149"/>
    <mergeCell ref="H149:I149"/>
    <mergeCell ref="J149:K149"/>
    <mergeCell ref="L149:M149"/>
    <mergeCell ref="N149:O149"/>
    <mergeCell ref="P149:Q149"/>
    <mergeCell ref="N150:O150"/>
    <mergeCell ref="P150:Q150"/>
    <mergeCell ref="T149:U149"/>
    <mergeCell ref="B151:C151"/>
    <mergeCell ref="D151:E151"/>
    <mergeCell ref="F151:G151"/>
    <mergeCell ref="H151:I151"/>
    <mergeCell ref="V144:W144"/>
    <mergeCell ref="X144:Y144"/>
    <mergeCell ref="Z144:AA144"/>
    <mergeCell ref="T142:Y142"/>
    <mergeCell ref="Z142:AE142"/>
    <mergeCell ref="AB144:AC144"/>
    <mergeCell ref="AD144:AE144"/>
    <mergeCell ref="B145:C145"/>
    <mergeCell ref="D145:E145"/>
    <mergeCell ref="F145:G145"/>
    <mergeCell ref="H145:I145"/>
    <mergeCell ref="J145:K145"/>
    <mergeCell ref="L145:M145"/>
    <mergeCell ref="N145:O145"/>
    <mergeCell ref="P145:Q145"/>
    <mergeCell ref="N146:O146"/>
    <mergeCell ref="P146:Q146"/>
    <mergeCell ref="T145:U145"/>
    <mergeCell ref="V145:W145"/>
    <mergeCell ref="X145:Y145"/>
    <mergeCell ref="Z145:AA145"/>
    <mergeCell ref="B146:C146"/>
    <mergeCell ref="D146:E146"/>
    <mergeCell ref="F146:G146"/>
    <mergeCell ref="H146:I146"/>
    <mergeCell ref="J146:K146"/>
    <mergeCell ref="L146:M146"/>
    <mergeCell ref="T146:U146"/>
    <mergeCell ref="V146:W146"/>
    <mergeCell ref="X146:Y146"/>
    <mergeCell ref="Z146:AA146"/>
    <mergeCell ref="AB145:AC145"/>
    <mergeCell ref="AD145:AE145"/>
    <mergeCell ref="AB146:AC146"/>
    <mergeCell ref="AD146:AE146"/>
    <mergeCell ref="B147:C147"/>
    <mergeCell ref="D147:E147"/>
    <mergeCell ref="F147:G147"/>
    <mergeCell ref="H147:I147"/>
    <mergeCell ref="J147:K147"/>
    <mergeCell ref="L147:M147"/>
    <mergeCell ref="N147:O147"/>
    <mergeCell ref="P147:Q147"/>
    <mergeCell ref="N148:O148"/>
    <mergeCell ref="P148:Q148"/>
    <mergeCell ref="T147:U147"/>
    <mergeCell ref="V147:W147"/>
    <mergeCell ref="X147:Y147"/>
    <mergeCell ref="Z147:AA147"/>
    <mergeCell ref="R148:S148"/>
    <mergeCell ref="B148:C148"/>
    <mergeCell ref="D148:E148"/>
    <mergeCell ref="F148:G148"/>
    <mergeCell ref="H148:I148"/>
    <mergeCell ref="J148:K148"/>
    <mergeCell ref="L148:M148"/>
    <mergeCell ref="T148:U148"/>
    <mergeCell ref="V148:W148"/>
    <mergeCell ref="X148:Y148"/>
    <mergeCell ref="Z148:AA148"/>
    <mergeCell ref="AB147:AC147"/>
    <mergeCell ref="AD147:AE147"/>
    <mergeCell ref="AB148:AC148"/>
    <mergeCell ref="AD148:AE148"/>
    <mergeCell ref="V149:W149"/>
    <mergeCell ref="X149:Y149"/>
    <mergeCell ref="Z149:AA149"/>
    <mergeCell ref="R149:S149"/>
    <mergeCell ref="B150:C150"/>
    <mergeCell ref="D150:E150"/>
    <mergeCell ref="F150:G150"/>
    <mergeCell ref="H150:I150"/>
    <mergeCell ref="J150:K150"/>
    <mergeCell ref="L150:M150"/>
    <mergeCell ref="R150:S150"/>
    <mergeCell ref="T150:U150"/>
    <mergeCell ref="V150:W150"/>
    <mergeCell ref="X150:Y150"/>
    <mergeCell ref="AB149:AC149"/>
    <mergeCell ref="AD149:AE149"/>
    <mergeCell ref="Z150:AA150"/>
    <mergeCell ref="AB150:AC150"/>
    <mergeCell ref="AD150:AE150"/>
    <mergeCell ref="N151:O151"/>
    <mergeCell ref="AB151:AC151"/>
    <mergeCell ref="AD151:AE151"/>
    <mergeCell ref="P151:Q151"/>
    <mergeCell ref="R151:S151"/>
    <mergeCell ref="T151:U151"/>
    <mergeCell ref="V151:W151"/>
    <mergeCell ref="B152:C152"/>
    <mergeCell ref="D152:E152"/>
    <mergeCell ref="F152:G152"/>
    <mergeCell ref="H152:I152"/>
    <mergeCell ref="X151:Y151"/>
    <mergeCell ref="Z151:AA151"/>
    <mergeCell ref="R152:S152"/>
    <mergeCell ref="T152:U152"/>
    <mergeCell ref="V152:W152"/>
    <mergeCell ref="X152:Y152"/>
    <mergeCell ref="J152:K152"/>
    <mergeCell ref="L152:M152"/>
    <mergeCell ref="N152:O152"/>
    <mergeCell ref="P152:Q152"/>
    <mergeCell ref="Z152:AA152"/>
    <mergeCell ref="AB152:AC152"/>
    <mergeCell ref="AD152:AE152"/>
    <mergeCell ref="B153:C153"/>
    <mergeCell ref="D153:E153"/>
    <mergeCell ref="F153:G153"/>
    <mergeCell ref="H153:I153"/>
    <mergeCell ref="J153:K153"/>
    <mergeCell ref="L153:M153"/>
    <mergeCell ref="N153:O153"/>
    <mergeCell ref="AB153:AC153"/>
    <mergeCell ref="AD153:AE153"/>
    <mergeCell ref="P153:Q153"/>
    <mergeCell ref="R153:S153"/>
    <mergeCell ref="T153:U153"/>
    <mergeCell ref="V153:W153"/>
    <mergeCell ref="B154:C154"/>
    <mergeCell ref="D154:E154"/>
    <mergeCell ref="F154:G154"/>
    <mergeCell ref="H154:I154"/>
    <mergeCell ref="X153:Y153"/>
    <mergeCell ref="Z153:AA153"/>
    <mergeCell ref="R154:S154"/>
    <mergeCell ref="T154:U154"/>
    <mergeCell ref="V154:W154"/>
    <mergeCell ref="X154:Y154"/>
    <mergeCell ref="J154:K154"/>
    <mergeCell ref="L154:M154"/>
    <mergeCell ref="N154:O154"/>
    <mergeCell ref="P154:Q154"/>
    <mergeCell ref="Z154:AA154"/>
    <mergeCell ref="AB154:AC154"/>
    <mergeCell ref="AD154:AE154"/>
    <mergeCell ref="B155:C155"/>
    <mergeCell ref="D155:E155"/>
    <mergeCell ref="F155:G155"/>
    <mergeCell ref="H155:I155"/>
    <mergeCell ref="J155:K155"/>
    <mergeCell ref="L155:M155"/>
    <mergeCell ref="N155:O155"/>
    <mergeCell ref="AB155:AC155"/>
    <mergeCell ref="AD155:AE155"/>
    <mergeCell ref="P155:Q155"/>
    <mergeCell ref="R155:S155"/>
    <mergeCell ref="T155:U155"/>
    <mergeCell ref="V155:W155"/>
    <mergeCell ref="B156:C156"/>
    <mergeCell ref="D156:E156"/>
    <mergeCell ref="F156:G156"/>
    <mergeCell ref="H156:I156"/>
    <mergeCell ref="X155:Y155"/>
    <mergeCell ref="Z155:AA155"/>
    <mergeCell ref="R156:S156"/>
    <mergeCell ref="T156:U156"/>
    <mergeCell ref="V156:W156"/>
    <mergeCell ref="X156:Y156"/>
    <mergeCell ref="J156:K156"/>
    <mergeCell ref="L156:M156"/>
    <mergeCell ref="N156:O156"/>
    <mergeCell ref="P156:Q156"/>
    <mergeCell ref="Z156:AA156"/>
    <mergeCell ref="AB156:AC156"/>
    <mergeCell ref="AD156:AE156"/>
    <mergeCell ref="B157:C157"/>
    <mergeCell ref="D157:E157"/>
    <mergeCell ref="F157:G157"/>
    <mergeCell ref="H157:I157"/>
    <mergeCell ref="J157:K157"/>
    <mergeCell ref="L157:M157"/>
    <mergeCell ref="N157:O157"/>
    <mergeCell ref="AB157:AC157"/>
    <mergeCell ref="AD157:AE157"/>
    <mergeCell ref="P157:Q157"/>
    <mergeCell ref="R157:S157"/>
    <mergeCell ref="T157:U157"/>
    <mergeCell ref="V157:W157"/>
    <mergeCell ref="B158:C158"/>
    <mergeCell ref="D158:E158"/>
    <mergeCell ref="F158:G158"/>
    <mergeCell ref="H158:I158"/>
    <mergeCell ref="X157:Y157"/>
    <mergeCell ref="Z157:AA157"/>
    <mergeCell ref="R158:S158"/>
    <mergeCell ref="T158:U158"/>
    <mergeCell ref="V158:W158"/>
    <mergeCell ref="X158:Y158"/>
    <mergeCell ref="J158:K158"/>
    <mergeCell ref="L158:M158"/>
    <mergeCell ref="N158:O158"/>
    <mergeCell ref="P158:Q158"/>
    <mergeCell ref="Z158:AA158"/>
    <mergeCell ref="AB158:AC158"/>
    <mergeCell ref="AD158:AE158"/>
    <mergeCell ref="B159:C159"/>
    <mergeCell ref="D159:E159"/>
    <mergeCell ref="F159:G159"/>
    <mergeCell ref="H159:I159"/>
    <mergeCell ref="J159:K159"/>
    <mergeCell ref="L159:M159"/>
    <mergeCell ref="N159:O159"/>
    <mergeCell ref="X159:Y159"/>
    <mergeCell ref="Z159:AA159"/>
    <mergeCell ref="AB159:AC159"/>
    <mergeCell ref="AD159:AE159"/>
    <mergeCell ref="P159:Q159"/>
    <mergeCell ref="R159:S159"/>
    <mergeCell ref="T159:U159"/>
    <mergeCell ref="V159:W159"/>
    <mergeCell ref="Z160:AE160"/>
    <mergeCell ref="B161:G161"/>
    <mergeCell ref="H161:M161"/>
    <mergeCell ref="N161:S161"/>
    <mergeCell ref="T161:Y161"/>
    <mergeCell ref="Z161:AE161"/>
    <mergeCell ref="B160:G160"/>
    <mergeCell ref="H160:M160"/>
    <mergeCell ref="N160:S160"/>
    <mergeCell ref="T160:Y160"/>
    <mergeCell ref="Z162:AE162"/>
    <mergeCell ref="B163:G163"/>
    <mergeCell ref="H163:M163"/>
    <mergeCell ref="N163:S163"/>
    <mergeCell ref="T163:Y163"/>
    <mergeCell ref="Z163:AE163"/>
    <mergeCell ref="B162:G162"/>
    <mergeCell ref="H162:M162"/>
    <mergeCell ref="N162:S162"/>
    <mergeCell ref="T162:Y162"/>
    <mergeCell ref="N95:O95"/>
    <mergeCell ref="P95:Q95"/>
    <mergeCell ref="A93:A110"/>
    <mergeCell ref="B93:G93"/>
    <mergeCell ref="H93:M93"/>
    <mergeCell ref="N93:S93"/>
    <mergeCell ref="R95:S95"/>
    <mergeCell ref="R96:S96"/>
    <mergeCell ref="R97:S97"/>
    <mergeCell ref="R98:S98"/>
    <mergeCell ref="B95:C95"/>
    <mergeCell ref="D95:E95"/>
    <mergeCell ref="F95:G95"/>
    <mergeCell ref="H95:I95"/>
    <mergeCell ref="J95:K95"/>
    <mergeCell ref="L95:M95"/>
    <mergeCell ref="T95:U95"/>
    <mergeCell ref="V95:W95"/>
    <mergeCell ref="X95:Y95"/>
    <mergeCell ref="Z95:AA95"/>
    <mergeCell ref="T93:Y93"/>
    <mergeCell ref="Z93:AE93"/>
    <mergeCell ref="AB95:AC95"/>
    <mergeCell ref="AD95:AE95"/>
    <mergeCell ref="B96:C96"/>
    <mergeCell ref="D96:E96"/>
    <mergeCell ref="F96:G96"/>
    <mergeCell ref="H96:I96"/>
    <mergeCell ref="J96:K96"/>
    <mergeCell ref="L96:M96"/>
    <mergeCell ref="N96:O96"/>
    <mergeCell ref="P96:Q96"/>
    <mergeCell ref="N97:O97"/>
    <mergeCell ref="P97:Q97"/>
    <mergeCell ref="T96:U96"/>
    <mergeCell ref="V96:W96"/>
    <mergeCell ref="X96:Y96"/>
    <mergeCell ref="Z96:AA96"/>
    <mergeCell ref="B97:C97"/>
    <mergeCell ref="D97:E97"/>
    <mergeCell ref="F97:G97"/>
    <mergeCell ref="H97:I97"/>
    <mergeCell ref="J97:K97"/>
    <mergeCell ref="L97:M97"/>
    <mergeCell ref="T97:U97"/>
    <mergeCell ref="V97:W97"/>
    <mergeCell ref="X97:Y97"/>
    <mergeCell ref="Z97:AA97"/>
    <mergeCell ref="AB96:AC96"/>
    <mergeCell ref="AD96:AE96"/>
    <mergeCell ref="AB97:AC97"/>
    <mergeCell ref="AD97:AE97"/>
    <mergeCell ref="B98:C98"/>
    <mergeCell ref="D98:E98"/>
    <mergeCell ref="F98:G98"/>
    <mergeCell ref="H98:I98"/>
    <mergeCell ref="J98:K98"/>
    <mergeCell ref="L98:M98"/>
    <mergeCell ref="N98:O98"/>
    <mergeCell ref="P98:Q98"/>
    <mergeCell ref="N99:O99"/>
    <mergeCell ref="P99:Q99"/>
    <mergeCell ref="T98:U98"/>
    <mergeCell ref="V98:W98"/>
    <mergeCell ref="X98:Y98"/>
    <mergeCell ref="Z98:AA98"/>
    <mergeCell ref="R99:S99"/>
    <mergeCell ref="B99:C99"/>
    <mergeCell ref="D99:E99"/>
    <mergeCell ref="F99:G99"/>
    <mergeCell ref="H99:I99"/>
    <mergeCell ref="J99:K99"/>
    <mergeCell ref="L99:M99"/>
    <mergeCell ref="T99:U99"/>
    <mergeCell ref="V99:W99"/>
    <mergeCell ref="X99:Y99"/>
    <mergeCell ref="Z99:AA99"/>
    <mergeCell ref="AB98:AC98"/>
    <mergeCell ref="AD98:AE98"/>
    <mergeCell ref="AB99:AC99"/>
    <mergeCell ref="AD99:AE99"/>
    <mergeCell ref="B100:C100"/>
    <mergeCell ref="D100:E100"/>
    <mergeCell ref="F100:G100"/>
    <mergeCell ref="H100:I100"/>
    <mergeCell ref="J100:K100"/>
    <mergeCell ref="L100:M100"/>
    <mergeCell ref="N100:O100"/>
    <mergeCell ref="P100:Q100"/>
    <mergeCell ref="N101:O101"/>
    <mergeCell ref="P101:Q101"/>
    <mergeCell ref="T100:U100"/>
    <mergeCell ref="V100:W100"/>
    <mergeCell ref="X100:Y100"/>
    <mergeCell ref="Z100:AA100"/>
    <mergeCell ref="R100:S100"/>
    <mergeCell ref="B101:C101"/>
    <mergeCell ref="D101:E101"/>
    <mergeCell ref="F101:G101"/>
    <mergeCell ref="H101:I101"/>
    <mergeCell ref="J101:K101"/>
    <mergeCell ref="L101:M101"/>
    <mergeCell ref="R101:S101"/>
    <mergeCell ref="T101:U101"/>
    <mergeCell ref="V101:W101"/>
    <mergeCell ref="X101:Y101"/>
    <mergeCell ref="AB100:AC100"/>
    <mergeCell ref="AD100:AE100"/>
    <mergeCell ref="Z101:AA101"/>
    <mergeCell ref="AB101:AC101"/>
    <mergeCell ref="AD101:AE101"/>
    <mergeCell ref="B102:C102"/>
    <mergeCell ref="D102:E102"/>
    <mergeCell ref="F102:G102"/>
    <mergeCell ref="H102:I102"/>
    <mergeCell ref="J102:K102"/>
    <mergeCell ref="L102:M102"/>
    <mergeCell ref="N102:O102"/>
    <mergeCell ref="AB102:AC102"/>
    <mergeCell ref="AD102:AE102"/>
    <mergeCell ref="P102:Q102"/>
    <mergeCell ref="R102:S102"/>
    <mergeCell ref="T102:U102"/>
    <mergeCell ref="V102:W102"/>
    <mergeCell ref="B103:C103"/>
    <mergeCell ref="D103:E103"/>
    <mergeCell ref="F103:G103"/>
    <mergeCell ref="H103:I103"/>
    <mergeCell ref="X102:Y102"/>
    <mergeCell ref="Z102:AA102"/>
    <mergeCell ref="R103:S103"/>
    <mergeCell ref="T103:U103"/>
    <mergeCell ref="V103:W103"/>
    <mergeCell ref="X103:Y103"/>
    <mergeCell ref="J103:K103"/>
    <mergeCell ref="L103:M103"/>
    <mergeCell ref="N103:O103"/>
    <mergeCell ref="P103:Q103"/>
    <mergeCell ref="Z103:AA103"/>
    <mergeCell ref="AB103:AC103"/>
    <mergeCell ref="AD103:AE103"/>
    <mergeCell ref="B104:C104"/>
    <mergeCell ref="D104:E104"/>
    <mergeCell ref="F104:G104"/>
    <mergeCell ref="H104:I104"/>
    <mergeCell ref="J104:K104"/>
    <mergeCell ref="L104:M104"/>
    <mergeCell ref="N104:O104"/>
    <mergeCell ref="AB104:AC104"/>
    <mergeCell ref="AD104:AE104"/>
    <mergeCell ref="P104:Q104"/>
    <mergeCell ref="R104:S104"/>
    <mergeCell ref="T104:U104"/>
    <mergeCell ref="V104:W104"/>
    <mergeCell ref="B105:C105"/>
    <mergeCell ref="D105:E105"/>
    <mergeCell ref="F105:G105"/>
    <mergeCell ref="H105:I105"/>
    <mergeCell ref="X104:Y104"/>
    <mergeCell ref="Z104:AA104"/>
    <mergeCell ref="R105:S105"/>
    <mergeCell ref="T105:U105"/>
    <mergeCell ref="V105:W105"/>
    <mergeCell ref="X105:Y105"/>
    <mergeCell ref="J105:K105"/>
    <mergeCell ref="L105:M105"/>
    <mergeCell ref="N105:O105"/>
    <mergeCell ref="P105:Q105"/>
    <mergeCell ref="Z105:AA105"/>
    <mergeCell ref="AB105:AC105"/>
    <mergeCell ref="AD105:AE105"/>
    <mergeCell ref="B106:C106"/>
    <mergeCell ref="D106:E106"/>
    <mergeCell ref="F106:G106"/>
    <mergeCell ref="H106:I106"/>
    <mergeCell ref="J106:K106"/>
    <mergeCell ref="L106:M106"/>
    <mergeCell ref="N106:O106"/>
    <mergeCell ref="AB106:AC106"/>
    <mergeCell ref="AD106:AE106"/>
    <mergeCell ref="P106:Q106"/>
    <mergeCell ref="R106:S106"/>
    <mergeCell ref="T106:U106"/>
    <mergeCell ref="V106:W106"/>
    <mergeCell ref="B107:C107"/>
    <mergeCell ref="D107:E107"/>
    <mergeCell ref="F107:G107"/>
    <mergeCell ref="H107:I107"/>
    <mergeCell ref="X106:Y106"/>
    <mergeCell ref="Z106:AA106"/>
    <mergeCell ref="R107:S107"/>
    <mergeCell ref="T107:U107"/>
    <mergeCell ref="V107:W107"/>
    <mergeCell ref="X107:Y107"/>
    <mergeCell ref="J107:K107"/>
    <mergeCell ref="L107:M107"/>
    <mergeCell ref="N107:O107"/>
    <mergeCell ref="P107:Q107"/>
    <mergeCell ref="Z107:AA107"/>
    <mergeCell ref="AB107:AC107"/>
    <mergeCell ref="AD107:AE107"/>
    <mergeCell ref="B108:C108"/>
    <mergeCell ref="D108:E108"/>
    <mergeCell ref="F108:G108"/>
    <mergeCell ref="H108:I108"/>
    <mergeCell ref="J108:K108"/>
    <mergeCell ref="L108:M108"/>
    <mergeCell ref="N108:O108"/>
    <mergeCell ref="AB108:AC108"/>
    <mergeCell ref="AD108:AE108"/>
    <mergeCell ref="P108:Q108"/>
    <mergeCell ref="R108:S108"/>
    <mergeCell ref="T108:U108"/>
    <mergeCell ref="V108:W108"/>
    <mergeCell ref="B109:C109"/>
    <mergeCell ref="D109:E109"/>
    <mergeCell ref="F109:G109"/>
    <mergeCell ref="H109:I109"/>
    <mergeCell ref="X108:Y108"/>
    <mergeCell ref="Z108:AA108"/>
    <mergeCell ref="R109:S109"/>
    <mergeCell ref="T109:U109"/>
    <mergeCell ref="V109:W109"/>
    <mergeCell ref="X109:Y109"/>
    <mergeCell ref="J109:K109"/>
    <mergeCell ref="L109:M109"/>
    <mergeCell ref="N109:O109"/>
    <mergeCell ref="P109:Q109"/>
    <mergeCell ref="Z109:AA109"/>
    <mergeCell ref="AB109:AC109"/>
    <mergeCell ref="AD109:AE109"/>
    <mergeCell ref="B110:C110"/>
    <mergeCell ref="D110:E110"/>
    <mergeCell ref="F110:G110"/>
    <mergeCell ref="H110:I110"/>
    <mergeCell ref="J110:K110"/>
    <mergeCell ref="L110:M110"/>
    <mergeCell ref="N110:O110"/>
    <mergeCell ref="AB110:AC110"/>
    <mergeCell ref="AD110:AE110"/>
    <mergeCell ref="P110:Q110"/>
    <mergeCell ref="R110:S110"/>
    <mergeCell ref="T110:U110"/>
    <mergeCell ref="V110:W110"/>
    <mergeCell ref="B111:G111"/>
    <mergeCell ref="H111:M111"/>
    <mergeCell ref="N111:S111"/>
    <mergeCell ref="T111:Y111"/>
    <mergeCell ref="X110:Y110"/>
    <mergeCell ref="Z110:AA110"/>
    <mergeCell ref="B114:G114"/>
    <mergeCell ref="H114:M114"/>
    <mergeCell ref="N114:S114"/>
    <mergeCell ref="T114:Y114"/>
    <mergeCell ref="Z111:AE111"/>
    <mergeCell ref="B112:G112"/>
    <mergeCell ref="H112:M112"/>
    <mergeCell ref="N112:S112"/>
    <mergeCell ref="T112:Y112"/>
    <mergeCell ref="Z112:AE112"/>
    <mergeCell ref="B117:G117"/>
    <mergeCell ref="H117:M117"/>
    <mergeCell ref="N117:S117"/>
    <mergeCell ref="T117:Y117"/>
    <mergeCell ref="Z114:AE114"/>
    <mergeCell ref="B116:G116"/>
    <mergeCell ref="H116:M116"/>
    <mergeCell ref="N116:S116"/>
    <mergeCell ref="T116:Y116"/>
    <mergeCell ref="Z116:AE116"/>
    <mergeCell ref="Z117:AE117"/>
    <mergeCell ref="B115:D115"/>
    <mergeCell ref="F115:G115"/>
    <mergeCell ref="H115:J115"/>
    <mergeCell ref="L115:M115"/>
    <mergeCell ref="N115:P115"/>
    <mergeCell ref="R115:S115"/>
    <mergeCell ref="T115:V115"/>
    <mergeCell ref="X115:Y115"/>
    <mergeCell ref="Z115:AB115"/>
    <mergeCell ref="AD115:AE115"/>
    <mergeCell ref="B113:G113"/>
    <mergeCell ref="A43:A60"/>
    <mergeCell ref="B43:G43"/>
    <mergeCell ref="H43:M43"/>
    <mergeCell ref="N43:S43"/>
    <mergeCell ref="T43:Y43"/>
    <mergeCell ref="Z43:AE43"/>
    <mergeCell ref="B45:C45"/>
    <mergeCell ref="D45:E45"/>
    <mergeCell ref="F45:G45"/>
    <mergeCell ref="AB45:AC45"/>
    <mergeCell ref="AD45:AE45"/>
    <mergeCell ref="P45:Q45"/>
    <mergeCell ref="R45:S45"/>
    <mergeCell ref="T45:U45"/>
    <mergeCell ref="V45:W45"/>
    <mergeCell ref="B46:C46"/>
    <mergeCell ref="D46:E46"/>
    <mergeCell ref="F46:G46"/>
    <mergeCell ref="H46:I46"/>
    <mergeCell ref="X45:Y45"/>
    <mergeCell ref="Z45:AA45"/>
    <mergeCell ref="H45:I45"/>
    <mergeCell ref="J45:K45"/>
    <mergeCell ref="L45:M45"/>
    <mergeCell ref="N45:O45"/>
    <mergeCell ref="R46:S46"/>
    <mergeCell ref="T46:U46"/>
    <mergeCell ref="V46:W46"/>
    <mergeCell ref="X46:Y46"/>
    <mergeCell ref="J46:K46"/>
    <mergeCell ref="L46:M46"/>
    <mergeCell ref="N46:O46"/>
    <mergeCell ref="P46:Q46"/>
    <mergeCell ref="Z46:AA46"/>
    <mergeCell ref="AB46:AC46"/>
    <mergeCell ref="AD46:AE46"/>
    <mergeCell ref="B47:C47"/>
    <mergeCell ref="D47:E47"/>
    <mergeCell ref="F47:G47"/>
    <mergeCell ref="H47:I47"/>
    <mergeCell ref="J47:K47"/>
    <mergeCell ref="L47:M47"/>
    <mergeCell ref="N47:O47"/>
    <mergeCell ref="AB47:AC47"/>
    <mergeCell ref="AD47:AE47"/>
    <mergeCell ref="P47:Q47"/>
    <mergeCell ref="R47:S47"/>
    <mergeCell ref="T47:U47"/>
    <mergeCell ref="V47:W47"/>
    <mergeCell ref="B48:C48"/>
    <mergeCell ref="D48:E48"/>
    <mergeCell ref="F48:G48"/>
    <mergeCell ref="H48:I48"/>
    <mergeCell ref="X47:Y47"/>
    <mergeCell ref="Z47:AA47"/>
    <mergeCell ref="R48:S48"/>
    <mergeCell ref="T48:U48"/>
    <mergeCell ref="V48:W48"/>
    <mergeCell ref="X48:Y48"/>
    <mergeCell ref="J48:K48"/>
    <mergeCell ref="L48:M48"/>
    <mergeCell ref="N48:O48"/>
    <mergeCell ref="P48:Q48"/>
    <mergeCell ref="Z48:AA48"/>
    <mergeCell ref="AB48:AC48"/>
    <mergeCell ref="AD48:AE48"/>
    <mergeCell ref="B49:C49"/>
    <mergeCell ref="D49:E49"/>
    <mergeCell ref="F49:G49"/>
    <mergeCell ref="H49:I49"/>
    <mergeCell ref="J49:K49"/>
    <mergeCell ref="L49:M49"/>
    <mergeCell ref="N49:O49"/>
    <mergeCell ref="AB49:AC49"/>
    <mergeCell ref="AD49:AE49"/>
    <mergeCell ref="P49:Q49"/>
    <mergeCell ref="R49:S49"/>
    <mergeCell ref="T49:U49"/>
    <mergeCell ref="V49:W49"/>
    <mergeCell ref="B50:C50"/>
    <mergeCell ref="D50:E50"/>
    <mergeCell ref="F50:G50"/>
    <mergeCell ref="H50:I50"/>
    <mergeCell ref="X49:Y49"/>
    <mergeCell ref="Z49:AA49"/>
    <mergeCell ref="R50:S50"/>
    <mergeCell ref="T50:U50"/>
    <mergeCell ref="V50:W50"/>
    <mergeCell ref="X50:Y50"/>
    <mergeCell ref="J50:K50"/>
    <mergeCell ref="L50:M50"/>
    <mergeCell ref="N50:O50"/>
    <mergeCell ref="P50:Q50"/>
    <mergeCell ref="Z50:AA50"/>
    <mergeCell ref="AB50:AC50"/>
    <mergeCell ref="AD50:AE50"/>
    <mergeCell ref="B51:C51"/>
    <mergeCell ref="D51:E51"/>
    <mergeCell ref="F51:G51"/>
    <mergeCell ref="H51:I51"/>
    <mergeCell ref="J51:K51"/>
    <mergeCell ref="L51:M51"/>
    <mergeCell ref="N51:O51"/>
    <mergeCell ref="AB51:AC51"/>
    <mergeCell ref="AD51:AE51"/>
    <mergeCell ref="P51:Q51"/>
    <mergeCell ref="R51:S51"/>
    <mergeCell ref="T51:U51"/>
    <mergeCell ref="V51:W51"/>
    <mergeCell ref="B52:C52"/>
    <mergeCell ref="D52:E52"/>
    <mergeCell ref="F52:G52"/>
    <mergeCell ref="H52:I52"/>
    <mergeCell ref="X51:Y51"/>
    <mergeCell ref="Z51:AA51"/>
    <mergeCell ref="R52:S52"/>
    <mergeCell ref="T52:U52"/>
    <mergeCell ref="V52:W52"/>
    <mergeCell ref="X52:Y52"/>
    <mergeCell ref="J52:K52"/>
    <mergeCell ref="L52:M52"/>
    <mergeCell ref="N52:O52"/>
    <mergeCell ref="P52:Q52"/>
    <mergeCell ref="Z52:AA52"/>
    <mergeCell ref="AB52:AC52"/>
    <mergeCell ref="AD52:AE52"/>
    <mergeCell ref="B53:C53"/>
    <mergeCell ref="D53:E53"/>
    <mergeCell ref="F53:G53"/>
    <mergeCell ref="H53:I53"/>
    <mergeCell ref="J53:K53"/>
    <mergeCell ref="L53:M53"/>
    <mergeCell ref="N53:O53"/>
    <mergeCell ref="AB53:AC53"/>
    <mergeCell ref="AD53:AE53"/>
    <mergeCell ref="P53:Q53"/>
    <mergeCell ref="R53:S53"/>
    <mergeCell ref="T53:U53"/>
    <mergeCell ref="V53:W53"/>
    <mergeCell ref="B54:C54"/>
    <mergeCell ref="D54:E54"/>
    <mergeCell ref="F54:G54"/>
    <mergeCell ref="H54:I54"/>
    <mergeCell ref="X53:Y53"/>
    <mergeCell ref="Z53:AA53"/>
    <mergeCell ref="R54:S54"/>
    <mergeCell ref="T54:U54"/>
    <mergeCell ref="V54:W54"/>
    <mergeCell ref="X54:Y54"/>
    <mergeCell ref="J54:K54"/>
    <mergeCell ref="L54:M54"/>
    <mergeCell ref="N54:O54"/>
    <mergeCell ref="P54:Q54"/>
    <mergeCell ref="Z54:AA54"/>
    <mergeCell ref="AB54:AC54"/>
    <mergeCell ref="AD54:AE54"/>
    <mergeCell ref="AD58:AE58"/>
    <mergeCell ref="B55:C55"/>
    <mergeCell ref="D55:E55"/>
    <mergeCell ref="F55:G55"/>
    <mergeCell ref="H55:I55"/>
    <mergeCell ref="J55:K55"/>
    <mergeCell ref="L55:M55"/>
    <mergeCell ref="N55:O55"/>
    <mergeCell ref="AB55:AC55"/>
    <mergeCell ref="AD55:AE55"/>
    <mergeCell ref="P55:Q55"/>
    <mergeCell ref="R55:S55"/>
    <mergeCell ref="T55:U55"/>
    <mergeCell ref="V55:W55"/>
    <mergeCell ref="B56:C56"/>
    <mergeCell ref="D56:E56"/>
    <mergeCell ref="F56:G56"/>
    <mergeCell ref="H56:I56"/>
    <mergeCell ref="X55:Y55"/>
    <mergeCell ref="Z55:AA55"/>
    <mergeCell ref="R56:S56"/>
    <mergeCell ref="T56:U56"/>
    <mergeCell ref="V56:W56"/>
    <mergeCell ref="X56:Y56"/>
    <mergeCell ref="J56:K56"/>
    <mergeCell ref="L56:M56"/>
    <mergeCell ref="N56:O56"/>
    <mergeCell ref="P56:Q56"/>
    <mergeCell ref="Z56:AA56"/>
    <mergeCell ref="AB56:AC56"/>
    <mergeCell ref="AD56:AE56"/>
    <mergeCell ref="D60:E60"/>
    <mergeCell ref="F60:G60"/>
    <mergeCell ref="H60:I60"/>
    <mergeCell ref="B57:C57"/>
    <mergeCell ref="D57:E57"/>
    <mergeCell ref="F57:G57"/>
    <mergeCell ref="H57:I57"/>
    <mergeCell ref="J57:K57"/>
    <mergeCell ref="L57:M57"/>
    <mergeCell ref="N57:O57"/>
    <mergeCell ref="AB57:AC57"/>
    <mergeCell ref="AD57:AE57"/>
    <mergeCell ref="P57:Q57"/>
    <mergeCell ref="R57:S57"/>
    <mergeCell ref="T57:U57"/>
    <mergeCell ref="V57:W57"/>
    <mergeCell ref="B58:C58"/>
    <mergeCell ref="D58:E58"/>
    <mergeCell ref="F58:G58"/>
    <mergeCell ref="H58:I58"/>
    <mergeCell ref="X57:Y57"/>
    <mergeCell ref="Z57:AA57"/>
    <mergeCell ref="R58:S58"/>
    <mergeCell ref="T58:U58"/>
    <mergeCell ref="V58:W58"/>
    <mergeCell ref="X58:Y58"/>
    <mergeCell ref="J58:K58"/>
    <mergeCell ref="L58:M58"/>
    <mergeCell ref="N58:O58"/>
    <mergeCell ref="P58:Q58"/>
    <mergeCell ref="Z58:AA58"/>
    <mergeCell ref="AB58:AC58"/>
    <mergeCell ref="N62:S62"/>
    <mergeCell ref="T62:Y62"/>
    <mergeCell ref="Z60:AA60"/>
    <mergeCell ref="AB60:AC60"/>
    <mergeCell ref="AD60:AE60"/>
    <mergeCell ref="B61:G61"/>
    <mergeCell ref="H61:M61"/>
    <mergeCell ref="B63:D63"/>
    <mergeCell ref="F63:G63"/>
    <mergeCell ref="H63:J63"/>
    <mergeCell ref="L63:M63"/>
    <mergeCell ref="N63:P63"/>
    <mergeCell ref="B59:C59"/>
    <mergeCell ref="D59:E59"/>
    <mergeCell ref="F59:G59"/>
    <mergeCell ref="H59:I59"/>
    <mergeCell ref="J59:K59"/>
    <mergeCell ref="L59:M59"/>
    <mergeCell ref="N59:O59"/>
    <mergeCell ref="X59:Y59"/>
    <mergeCell ref="Z59:AA59"/>
    <mergeCell ref="AB59:AC59"/>
    <mergeCell ref="AD59:AE59"/>
    <mergeCell ref="P59:Q59"/>
    <mergeCell ref="R59:S59"/>
    <mergeCell ref="T59:U59"/>
    <mergeCell ref="V59:W59"/>
    <mergeCell ref="J60:K60"/>
    <mergeCell ref="L60:M60"/>
    <mergeCell ref="N60:O60"/>
    <mergeCell ref="P60:Q60"/>
    <mergeCell ref="B60:C60"/>
    <mergeCell ref="T86:Y86"/>
    <mergeCell ref="Z86:AE86"/>
    <mergeCell ref="B39:D39"/>
    <mergeCell ref="F39:G39"/>
    <mergeCell ref="H39:J39"/>
    <mergeCell ref="L39:M39"/>
    <mergeCell ref="N39:P39"/>
    <mergeCell ref="R39:S39"/>
    <mergeCell ref="T39:V39"/>
    <mergeCell ref="X39:Y39"/>
    <mergeCell ref="Z39:AB39"/>
    <mergeCell ref="AD39:AE39"/>
    <mergeCell ref="Z65:AE65"/>
    <mergeCell ref="B65:G65"/>
    <mergeCell ref="H65:M65"/>
    <mergeCell ref="N65:S65"/>
    <mergeCell ref="T65:Y65"/>
    <mergeCell ref="Z62:AE62"/>
    <mergeCell ref="B64:G64"/>
    <mergeCell ref="H64:M64"/>
    <mergeCell ref="N64:S64"/>
    <mergeCell ref="T64:Y64"/>
    <mergeCell ref="N61:S61"/>
    <mergeCell ref="T61:Y61"/>
    <mergeCell ref="Z61:AE61"/>
    <mergeCell ref="R60:S60"/>
    <mergeCell ref="T60:U60"/>
    <mergeCell ref="V60:W60"/>
    <mergeCell ref="X60:Y60"/>
    <mergeCell ref="Z64:AE64"/>
    <mergeCell ref="B62:G62"/>
    <mergeCell ref="H62:M62"/>
    <mergeCell ref="H113:M113"/>
    <mergeCell ref="N113:S113"/>
    <mergeCell ref="T113:Y113"/>
    <mergeCell ref="Z113:AE113"/>
    <mergeCell ref="B185:G185"/>
    <mergeCell ref="H185:M185"/>
    <mergeCell ref="N185:S185"/>
    <mergeCell ref="T185:Y185"/>
    <mergeCell ref="Z185:AE185"/>
    <mergeCell ref="B209:G209"/>
    <mergeCell ref="H209:M209"/>
    <mergeCell ref="N209:S209"/>
    <mergeCell ref="T209:Y209"/>
    <mergeCell ref="Z209:AE209"/>
    <mergeCell ref="R63:S63"/>
    <mergeCell ref="T63:V63"/>
    <mergeCell ref="X63:Y63"/>
    <mergeCell ref="Z63:AB63"/>
    <mergeCell ref="AD63:AE63"/>
    <mergeCell ref="B89:D89"/>
    <mergeCell ref="F89:G89"/>
    <mergeCell ref="H89:J89"/>
    <mergeCell ref="L89:M89"/>
    <mergeCell ref="N89:P89"/>
    <mergeCell ref="R89:S89"/>
    <mergeCell ref="T89:V89"/>
    <mergeCell ref="X89:Y89"/>
    <mergeCell ref="Z89:AB89"/>
    <mergeCell ref="AD89:AE89"/>
    <mergeCell ref="B86:G86"/>
    <mergeCell ref="H86:M86"/>
    <mergeCell ref="N86:S86"/>
  </mergeCells>
  <phoneticPr fontId="8"/>
  <dataValidations count="6">
    <dataValidation type="list" allowBlank="1" showInputMessage="1" showErrorMessage="1" sqref="B86:AE87 B112:AE113 B184:AE185 B209:AE210">
      <formula1>断熱名称</formula1>
    </dataValidation>
    <dataValidation type="list" allowBlank="1" showInputMessage="1" showErrorMessage="1" error="調書シートで追加（又は修正）した後、再度選択してくだい。" sqref="B137:AE137 B160:AE160">
      <formula1>外周壁名称</formula1>
    </dataValidation>
    <dataValidation type="list" allowBlank="1" showInputMessage="1" showErrorMessage="1" error="調書シートで追加（又は修正）した後、再度選択してくだい。" sqref="B183:AE183 B208:AE208">
      <formula1>外部名称</formula1>
    </dataValidation>
    <dataValidation type="list" allowBlank="1" showInputMessage="1" showErrorMessage="1" error="調書シートで追加（又は修正）した後、再度選択してくだい。" sqref="B37:AE37 B61:AE61">
      <formula1>屋根構造名称</formula1>
    </dataValidation>
    <dataValidation type="list" allowBlank="1" showInputMessage="1" showErrorMessage="1" error="調書シートで追加（又は修正）した後、再度選択してくだい。" sqref="B85:AE85 B111:AE111">
      <formula1>屋根名称</formula1>
    </dataValidation>
    <dataValidation imeMode="off" allowBlank="1" showInputMessage="1" showErrorMessage="1" sqref="B21:E36 H21:K36 N21:Q36 T21:W36 Z21:AC36 B40:AE40 B45:E60 H45:K60 N45:Q60 T45:W60 Z45:AC60 B64:AE64 B69:E84 H69:K84 N69:Q84 T69:W84 Z69:AC84 B90:AE90 B95:E110 H95:K110 N95:Q110 T95:W110 Z95:AC110 B116:AE116 B121:E136 H121:K136 N121:Q136 T121:W136 Z121:AC136 B139:AE139 B144:E159 H144:K159 N144:Q159 T144:W159 Z144:AC159 B167:E182 H167:K182 N167:Q182 T167:W182 Z167:AC182 B187:AE187 B192:E207 H192:K207 N192:Q207 T192:W207 Z192:AC207 B212:AE212"/>
  </dataValidations>
  <pageMargins left="0.75" right="0.2" top="0.56000000000000005" bottom="0.41" header="0.22" footer="0.19"/>
  <pageSetup paperSize="9" scale="80" orientation="portrait" r:id="rId1"/>
  <headerFooter alignWithMargins="0">
    <oddFooter>&amp;R&amp;"ＭＳ ゴシック,標準"&amp;D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A2:AB145"/>
  <sheetViews>
    <sheetView zoomScaleNormal="100" workbookViewId="0">
      <selection activeCell="B80" sqref="B80:C80"/>
    </sheetView>
  </sheetViews>
  <sheetFormatPr defaultColWidth="9.6640625" defaultRowHeight="13.5" customHeight="1"/>
  <cols>
    <col min="1" max="16384" width="9.6640625" style="554"/>
  </cols>
  <sheetData>
    <row r="2" spans="1:28" ht="13.5" customHeight="1">
      <c r="A2" s="552" t="s">
        <v>2273</v>
      </c>
      <c r="B2" s="553"/>
      <c r="C2" s="553"/>
      <c r="D2" s="553"/>
      <c r="E2" s="553"/>
      <c r="AB2" s="554" t="b">
        <v>1</v>
      </c>
    </row>
    <row r="3" spans="1:28" ht="13.5" customHeight="1" thickBot="1">
      <c r="A3" s="555"/>
      <c r="AB3" s="554" t="b">
        <v>1</v>
      </c>
    </row>
    <row r="4" spans="1:28" ht="13.5" customHeight="1" thickBot="1">
      <c r="A4" s="3337" t="s">
        <v>1043</v>
      </c>
      <c r="B4" s="3338"/>
      <c r="C4" s="3339">
        <f>SUMIF(A26:AA26,"*",A31:AA31)+SUMIF(A54:AA54,"*",A59:AA59)-SUMIF(A26:AA26,"無し",A31:AA31)-SUMIF(A54:AA54,"無し",A59:AA59)</f>
        <v>0</v>
      </c>
      <c r="D4" s="3340"/>
      <c r="E4" s="20"/>
      <c r="AB4" s="554" t="b">
        <v>1</v>
      </c>
    </row>
    <row r="5" spans="1:28" ht="13.5" customHeight="1">
      <c r="A5" s="556"/>
      <c r="B5" s="556"/>
      <c r="C5" s="20"/>
      <c r="D5" s="20"/>
      <c r="E5" s="20"/>
      <c r="AB5" s="554" t="b">
        <f>AB31</f>
        <v>0</v>
      </c>
    </row>
    <row r="6" spans="1:28" ht="13.5" customHeight="1">
      <c r="A6" s="3343" t="s">
        <v>1044</v>
      </c>
      <c r="B6" s="3344"/>
      <c r="C6" s="3344"/>
      <c r="D6" s="3344"/>
      <c r="E6" s="3344"/>
      <c r="F6" s="3345"/>
      <c r="H6" s="3343" t="s">
        <v>1044</v>
      </c>
      <c r="I6" s="3344"/>
      <c r="J6" s="3344"/>
      <c r="K6" s="3344"/>
      <c r="L6" s="3344"/>
      <c r="M6" s="3345"/>
      <c r="O6" s="3343" t="s">
        <v>1044</v>
      </c>
      <c r="P6" s="3344"/>
      <c r="Q6" s="3344"/>
      <c r="R6" s="3344"/>
      <c r="S6" s="3344"/>
      <c r="T6" s="3345"/>
      <c r="V6" s="3343" t="s">
        <v>1044</v>
      </c>
      <c r="W6" s="3344"/>
      <c r="X6" s="3344"/>
      <c r="Y6" s="3344"/>
      <c r="Z6" s="3344"/>
      <c r="AA6" s="3345"/>
      <c r="AB6" s="554" t="b">
        <f>AB31</f>
        <v>0</v>
      </c>
    </row>
    <row r="7" spans="1:28" ht="13.5" customHeight="1">
      <c r="A7" s="557" t="s">
        <v>1045</v>
      </c>
      <c r="B7" s="557" t="s">
        <v>1046</v>
      </c>
      <c r="C7" s="557" t="s">
        <v>1059</v>
      </c>
      <c r="D7" s="557" t="s">
        <v>1047</v>
      </c>
      <c r="E7" s="557" t="s">
        <v>1046</v>
      </c>
      <c r="F7" s="557" t="s">
        <v>1059</v>
      </c>
      <c r="H7" s="557" t="s">
        <v>1045</v>
      </c>
      <c r="I7" s="557" t="s">
        <v>1046</v>
      </c>
      <c r="J7" s="557" t="s">
        <v>1059</v>
      </c>
      <c r="K7" s="557" t="s">
        <v>1047</v>
      </c>
      <c r="L7" s="557" t="s">
        <v>1046</v>
      </c>
      <c r="M7" s="557" t="s">
        <v>1059</v>
      </c>
      <c r="O7" s="557" t="s">
        <v>1045</v>
      </c>
      <c r="P7" s="557" t="s">
        <v>1046</v>
      </c>
      <c r="Q7" s="557" t="s">
        <v>1059</v>
      </c>
      <c r="R7" s="557" t="s">
        <v>1047</v>
      </c>
      <c r="S7" s="557" t="s">
        <v>1046</v>
      </c>
      <c r="T7" s="557" t="s">
        <v>1059</v>
      </c>
      <c r="V7" s="557" t="s">
        <v>1045</v>
      </c>
      <c r="W7" s="557" t="s">
        <v>1046</v>
      </c>
      <c r="X7" s="557" t="s">
        <v>1059</v>
      </c>
      <c r="Y7" s="557" t="s">
        <v>1047</v>
      </c>
      <c r="Z7" s="557" t="s">
        <v>1046</v>
      </c>
      <c r="AA7" s="557" t="s">
        <v>1059</v>
      </c>
      <c r="AB7" s="554" t="b">
        <f>AB31</f>
        <v>0</v>
      </c>
    </row>
    <row r="8" spans="1:28" ht="13.5" customHeight="1">
      <c r="A8" s="558"/>
      <c r="B8" s="558"/>
      <c r="C8" s="559">
        <f t="shared" ref="C8:C25" si="0">ROUNDDOWN(A8*B8,2)</f>
        <v>0</v>
      </c>
      <c r="D8" s="558"/>
      <c r="E8" s="558"/>
      <c r="F8" s="559">
        <f t="shared" ref="F8:F25" si="1">ROUNDDOWN(D8*E8,2)</f>
        <v>0</v>
      </c>
      <c r="H8" s="558"/>
      <c r="I8" s="558"/>
      <c r="J8" s="559">
        <f t="shared" ref="J8:J25" si="2">ROUNDDOWN(H8*I8,2)</f>
        <v>0</v>
      </c>
      <c r="K8" s="558"/>
      <c r="L8" s="558"/>
      <c r="M8" s="559">
        <f t="shared" ref="M8:M25" si="3">ROUNDDOWN(K8*L8,2)</f>
        <v>0</v>
      </c>
      <c r="O8" s="558"/>
      <c r="P8" s="558"/>
      <c r="Q8" s="559">
        <f t="shared" ref="Q8:Q25" si="4">ROUNDDOWN(O8*P8,2)</f>
        <v>0</v>
      </c>
      <c r="R8" s="558"/>
      <c r="S8" s="558"/>
      <c r="T8" s="559">
        <f t="shared" ref="T8:T25" si="5">ROUNDDOWN(R8*S8,2)</f>
        <v>0</v>
      </c>
      <c r="V8" s="558"/>
      <c r="W8" s="558"/>
      <c r="X8" s="559">
        <f t="shared" ref="X8:X25" si="6">ROUNDDOWN(V8*W8,2)</f>
        <v>0</v>
      </c>
      <c r="Y8" s="558"/>
      <c r="Z8" s="558"/>
      <c r="AA8" s="559">
        <f t="shared" ref="AA8:AA25" si="7">ROUNDDOWN(Y8*Z8,2)</f>
        <v>0</v>
      </c>
      <c r="AB8" s="560" t="b">
        <f t="shared" ref="AB8:AB25" si="8">COUNT(A8:AA8)-8&lt;&gt;0</f>
        <v>0</v>
      </c>
    </row>
    <row r="9" spans="1:28" ht="13.5" customHeight="1">
      <c r="A9" s="561"/>
      <c r="B9" s="561"/>
      <c r="C9" s="562">
        <f t="shared" si="0"/>
        <v>0</v>
      </c>
      <c r="D9" s="561"/>
      <c r="E9" s="561"/>
      <c r="F9" s="562">
        <f t="shared" si="1"/>
        <v>0</v>
      </c>
      <c r="H9" s="561"/>
      <c r="I9" s="561"/>
      <c r="J9" s="562">
        <f t="shared" si="2"/>
        <v>0</v>
      </c>
      <c r="K9" s="561"/>
      <c r="L9" s="561"/>
      <c r="M9" s="562">
        <f t="shared" si="3"/>
        <v>0</v>
      </c>
      <c r="O9" s="561"/>
      <c r="P9" s="561"/>
      <c r="Q9" s="562">
        <f t="shared" si="4"/>
        <v>0</v>
      </c>
      <c r="R9" s="561"/>
      <c r="S9" s="561"/>
      <c r="T9" s="562">
        <f t="shared" si="5"/>
        <v>0</v>
      </c>
      <c r="V9" s="561"/>
      <c r="W9" s="561"/>
      <c r="X9" s="562">
        <f t="shared" si="6"/>
        <v>0</v>
      </c>
      <c r="Y9" s="561"/>
      <c r="Z9" s="561"/>
      <c r="AA9" s="562">
        <f t="shared" si="7"/>
        <v>0</v>
      </c>
      <c r="AB9" s="560" t="b">
        <f t="shared" si="8"/>
        <v>0</v>
      </c>
    </row>
    <row r="10" spans="1:28" ht="13.5" customHeight="1">
      <c r="A10" s="561"/>
      <c r="B10" s="561"/>
      <c r="C10" s="562">
        <f t="shared" si="0"/>
        <v>0</v>
      </c>
      <c r="D10" s="561"/>
      <c r="E10" s="561"/>
      <c r="F10" s="562">
        <f t="shared" si="1"/>
        <v>0</v>
      </c>
      <c r="H10" s="561"/>
      <c r="I10" s="561"/>
      <c r="J10" s="562">
        <f t="shared" si="2"/>
        <v>0</v>
      </c>
      <c r="K10" s="561"/>
      <c r="L10" s="561"/>
      <c r="M10" s="562">
        <f t="shared" si="3"/>
        <v>0</v>
      </c>
      <c r="O10" s="561"/>
      <c r="P10" s="561"/>
      <c r="Q10" s="562">
        <f t="shared" si="4"/>
        <v>0</v>
      </c>
      <c r="R10" s="561"/>
      <c r="S10" s="561"/>
      <c r="T10" s="562">
        <f t="shared" si="5"/>
        <v>0</v>
      </c>
      <c r="V10" s="561"/>
      <c r="W10" s="561"/>
      <c r="X10" s="562">
        <f t="shared" si="6"/>
        <v>0</v>
      </c>
      <c r="Y10" s="561"/>
      <c r="Z10" s="561"/>
      <c r="AA10" s="562">
        <f t="shared" si="7"/>
        <v>0</v>
      </c>
      <c r="AB10" s="560" t="b">
        <f t="shared" si="8"/>
        <v>0</v>
      </c>
    </row>
    <row r="11" spans="1:28" ht="13.5" customHeight="1">
      <c r="A11" s="561"/>
      <c r="B11" s="561"/>
      <c r="C11" s="562">
        <f t="shared" si="0"/>
        <v>0</v>
      </c>
      <c r="D11" s="561"/>
      <c r="E11" s="561"/>
      <c r="F11" s="562">
        <f t="shared" si="1"/>
        <v>0</v>
      </c>
      <c r="H11" s="561"/>
      <c r="I11" s="561"/>
      <c r="J11" s="562">
        <f t="shared" si="2"/>
        <v>0</v>
      </c>
      <c r="K11" s="561"/>
      <c r="L11" s="561"/>
      <c r="M11" s="562">
        <f t="shared" si="3"/>
        <v>0</v>
      </c>
      <c r="O11" s="561"/>
      <c r="P11" s="561"/>
      <c r="Q11" s="562">
        <f t="shared" si="4"/>
        <v>0</v>
      </c>
      <c r="R11" s="561"/>
      <c r="S11" s="561"/>
      <c r="T11" s="562">
        <f t="shared" si="5"/>
        <v>0</v>
      </c>
      <c r="V11" s="561"/>
      <c r="W11" s="561"/>
      <c r="X11" s="562">
        <f t="shared" si="6"/>
        <v>0</v>
      </c>
      <c r="Y11" s="561"/>
      <c r="Z11" s="561"/>
      <c r="AA11" s="562">
        <f t="shared" si="7"/>
        <v>0</v>
      </c>
      <c r="AB11" s="560" t="b">
        <f t="shared" si="8"/>
        <v>0</v>
      </c>
    </row>
    <row r="12" spans="1:28" ht="13.5" customHeight="1">
      <c r="A12" s="561"/>
      <c r="B12" s="561"/>
      <c r="C12" s="562">
        <f t="shared" si="0"/>
        <v>0</v>
      </c>
      <c r="D12" s="561"/>
      <c r="E12" s="561"/>
      <c r="F12" s="562">
        <f t="shared" si="1"/>
        <v>0</v>
      </c>
      <c r="H12" s="561"/>
      <c r="I12" s="561"/>
      <c r="J12" s="562">
        <f t="shared" si="2"/>
        <v>0</v>
      </c>
      <c r="K12" s="561"/>
      <c r="L12" s="561"/>
      <c r="M12" s="562">
        <f t="shared" si="3"/>
        <v>0</v>
      </c>
      <c r="O12" s="561"/>
      <c r="P12" s="561"/>
      <c r="Q12" s="562">
        <f t="shared" si="4"/>
        <v>0</v>
      </c>
      <c r="R12" s="561"/>
      <c r="S12" s="561"/>
      <c r="T12" s="562">
        <f t="shared" si="5"/>
        <v>0</v>
      </c>
      <c r="V12" s="561"/>
      <c r="W12" s="561"/>
      <c r="X12" s="562">
        <f t="shared" si="6"/>
        <v>0</v>
      </c>
      <c r="Y12" s="561"/>
      <c r="Z12" s="561"/>
      <c r="AA12" s="562">
        <f t="shared" si="7"/>
        <v>0</v>
      </c>
      <c r="AB12" s="560" t="b">
        <f t="shared" si="8"/>
        <v>0</v>
      </c>
    </row>
    <row r="13" spans="1:28" ht="13.5" customHeight="1">
      <c r="A13" s="561"/>
      <c r="B13" s="561"/>
      <c r="C13" s="562">
        <f t="shared" si="0"/>
        <v>0</v>
      </c>
      <c r="D13" s="561"/>
      <c r="E13" s="561"/>
      <c r="F13" s="562">
        <f t="shared" si="1"/>
        <v>0</v>
      </c>
      <c r="H13" s="561"/>
      <c r="I13" s="561"/>
      <c r="J13" s="562">
        <f t="shared" si="2"/>
        <v>0</v>
      </c>
      <c r="K13" s="561"/>
      <c r="L13" s="561"/>
      <c r="M13" s="562">
        <f t="shared" si="3"/>
        <v>0</v>
      </c>
      <c r="O13" s="561"/>
      <c r="P13" s="561"/>
      <c r="Q13" s="562">
        <f t="shared" si="4"/>
        <v>0</v>
      </c>
      <c r="R13" s="561"/>
      <c r="S13" s="561"/>
      <c r="T13" s="562">
        <f t="shared" si="5"/>
        <v>0</v>
      </c>
      <c r="V13" s="561"/>
      <c r="W13" s="561"/>
      <c r="X13" s="562">
        <f t="shared" si="6"/>
        <v>0</v>
      </c>
      <c r="Y13" s="561"/>
      <c r="Z13" s="561"/>
      <c r="AA13" s="562">
        <f t="shared" si="7"/>
        <v>0</v>
      </c>
      <c r="AB13" s="560" t="b">
        <f t="shared" si="8"/>
        <v>0</v>
      </c>
    </row>
    <row r="14" spans="1:28" ht="13.5" customHeight="1">
      <c r="A14" s="561"/>
      <c r="B14" s="561"/>
      <c r="C14" s="562">
        <f t="shared" si="0"/>
        <v>0</v>
      </c>
      <c r="D14" s="561"/>
      <c r="E14" s="561"/>
      <c r="F14" s="562">
        <f t="shared" si="1"/>
        <v>0</v>
      </c>
      <c r="H14" s="561"/>
      <c r="I14" s="561"/>
      <c r="J14" s="562">
        <f t="shared" si="2"/>
        <v>0</v>
      </c>
      <c r="K14" s="561"/>
      <c r="L14" s="561"/>
      <c r="M14" s="562">
        <f t="shared" si="3"/>
        <v>0</v>
      </c>
      <c r="O14" s="561"/>
      <c r="P14" s="561"/>
      <c r="Q14" s="562">
        <f t="shared" si="4"/>
        <v>0</v>
      </c>
      <c r="R14" s="561"/>
      <c r="S14" s="561"/>
      <c r="T14" s="562">
        <f t="shared" si="5"/>
        <v>0</v>
      </c>
      <c r="V14" s="561"/>
      <c r="W14" s="561"/>
      <c r="X14" s="562">
        <f t="shared" si="6"/>
        <v>0</v>
      </c>
      <c r="Y14" s="561"/>
      <c r="Z14" s="561"/>
      <c r="AA14" s="562">
        <f t="shared" si="7"/>
        <v>0</v>
      </c>
      <c r="AB14" s="560" t="b">
        <f t="shared" si="8"/>
        <v>0</v>
      </c>
    </row>
    <row r="15" spans="1:28" ht="13.5" customHeight="1">
      <c r="A15" s="561"/>
      <c r="B15" s="561"/>
      <c r="C15" s="562">
        <f t="shared" si="0"/>
        <v>0</v>
      </c>
      <c r="D15" s="561"/>
      <c r="E15" s="561"/>
      <c r="F15" s="562">
        <f t="shared" si="1"/>
        <v>0</v>
      </c>
      <c r="H15" s="561"/>
      <c r="I15" s="561"/>
      <c r="J15" s="562">
        <f t="shared" si="2"/>
        <v>0</v>
      </c>
      <c r="K15" s="561"/>
      <c r="L15" s="561"/>
      <c r="M15" s="562">
        <f t="shared" si="3"/>
        <v>0</v>
      </c>
      <c r="O15" s="561"/>
      <c r="P15" s="561"/>
      <c r="Q15" s="562">
        <f t="shared" si="4"/>
        <v>0</v>
      </c>
      <c r="R15" s="561"/>
      <c r="S15" s="561"/>
      <c r="T15" s="562">
        <f t="shared" si="5"/>
        <v>0</v>
      </c>
      <c r="V15" s="561"/>
      <c r="W15" s="561"/>
      <c r="X15" s="562">
        <f t="shared" si="6"/>
        <v>0</v>
      </c>
      <c r="Y15" s="561"/>
      <c r="Z15" s="561"/>
      <c r="AA15" s="562">
        <f t="shared" si="7"/>
        <v>0</v>
      </c>
      <c r="AB15" s="560" t="b">
        <f t="shared" si="8"/>
        <v>0</v>
      </c>
    </row>
    <row r="16" spans="1:28" ht="13.5" customHeight="1">
      <c r="A16" s="561"/>
      <c r="B16" s="561"/>
      <c r="C16" s="562">
        <f t="shared" si="0"/>
        <v>0</v>
      </c>
      <c r="D16" s="561"/>
      <c r="E16" s="561"/>
      <c r="F16" s="562">
        <f t="shared" si="1"/>
        <v>0</v>
      </c>
      <c r="H16" s="561"/>
      <c r="I16" s="561"/>
      <c r="J16" s="562">
        <f t="shared" si="2"/>
        <v>0</v>
      </c>
      <c r="K16" s="561"/>
      <c r="L16" s="561"/>
      <c r="M16" s="562">
        <f t="shared" si="3"/>
        <v>0</v>
      </c>
      <c r="O16" s="561"/>
      <c r="P16" s="561"/>
      <c r="Q16" s="562">
        <f t="shared" si="4"/>
        <v>0</v>
      </c>
      <c r="R16" s="561"/>
      <c r="S16" s="561"/>
      <c r="T16" s="562">
        <f t="shared" si="5"/>
        <v>0</v>
      </c>
      <c r="V16" s="561"/>
      <c r="W16" s="561"/>
      <c r="X16" s="562">
        <f t="shared" si="6"/>
        <v>0</v>
      </c>
      <c r="Y16" s="561"/>
      <c r="Z16" s="561"/>
      <c r="AA16" s="562">
        <f t="shared" si="7"/>
        <v>0</v>
      </c>
      <c r="AB16" s="560" t="b">
        <f t="shared" si="8"/>
        <v>0</v>
      </c>
    </row>
    <row r="17" spans="1:28" ht="13.5" customHeight="1">
      <c r="A17" s="561"/>
      <c r="B17" s="561"/>
      <c r="C17" s="562">
        <f t="shared" si="0"/>
        <v>0</v>
      </c>
      <c r="D17" s="561"/>
      <c r="E17" s="561"/>
      <c r="F17" s="562">
        <f t="shared" si="1"/>
        <v>0</v>
      </c>
      <c r="H17" s="561"/>
      <c r="I17" s="561"/>
      <c r="J17" s="562">
        <f t="shared" si="2"/>
        <v>0</v>
      </c>
      <c r="K17" s="561"/>
      <c r="L17" s="561"/>
      <c r="M17" s="562">
        <f t="shared" si="3"/>
        <v>0</v>
      </c>
      <c r="O17" s="561"/>
      <c r="P17" s="561"/>
      <c r="Q17" s="562">
        <f t="shared" si="4"/>
        <v>0</v>
      </c>
      <c r="R17" s="561"/>
      <c r="S17" s="561"/>
      <c r="T17" s="562">
        <f t="shared" si="5"/>
        <v>0</v>
      </c>
      <c r="V17" s="561"/>
      <c r="W17" s="561"/>
      <c r="X17" s="562">
        <f t="shared" si="6"/>
        <v>0</v>
      </c>
      <c r="Y17" s="561"/>
      <c r="Z17" s="561"/>
      <c r="AA17" s="562">
        <f t="shared" si="7"/>
        <v>0</v>
      </c>
      <c r="AB17" s="560" t="b">
        <f t="shared" si="8"/>
        <v>0</v>
      </c>
    </row>
    <row r="18" spans="1:28" ht="13.5" customHeight="1">
      <c r="A18" s="561"/>
      <c r="B18" s="561"/>
      <c r="C18" s="562">
        <f t="shared" si="0"/>
        <v>0</v>
      </c>
      <c r="D18" s="561"/>
      <c r="E18" s="561"/>
      <c r="F18" s="562">
        <f t="shared" si="1"/>
        <v>0</v>
      </c>
      <c r="H18" s="561"/>
      <c r="I18" s="561"/>
      <c r="J18" s="562">
        <f t="shared" si="2"/>
        <v>0</v>
      </c>
      <c r="K18" s="561"/>
      <c r="L18" s="561"/>
      <c r="M18" s="562">
        <f t="shared" si="3"/>
        <v>0</v>
      </c>
      <c r="O18" s="561"/>
      <c r="P18" s="561"/>
      <c r="Q18" s="562">
        <f t="shared" si="4"/>
        <v>0</v>
      </c>
      <c r="R18" s="561"/>
      <c r="S18" s="561"/>
      <c r="T18" s="562">
        <f t="shared" si="5"/>
        <v>0</v>
      </c>
      <c r="V18" s="561"/>
      <c r="W18" s="561"/>
      <c r="X18" s="562">
        <f t="shared" si="6"/>
        <v>0</v>
      </c>
      <c r="Y18" s="561"/>
      <c r="Z18" s="561"/>
      <c r="AA18" s="562">
        <f t="shared" si="7"/>
        <v>0</v>
      </c>
      <c r="AB18" s="560" t="b">
        <f t="shared" si="8"/>
        <v>0</v>
      </c>
    </row>
    <row r="19" spans="1:28" ht="13.5" customHeight="1">
      <c r="A19" s="561"/>
      <c r="B19" s="561"/>
      <c r="C19" s="562">
        <f t="shared" si="0"/>
        <v>0</v>
      </c>
      <c r="D19" s="561"/>
      <c r="E19" s="561"/>
      <c r="F19" s="562">
        <f t="shared" si="1"/>
        <v>0</v>
      </c>
      <c r="H19" s="561"/>
      <c r="I19" s="561"/>
      <c r="J19" s="562">
        <f t="shared" si="2"/>
        <v>0</v>
      </c>
      <c r="K19" s="561"/>
      <c r="L19" s="561"/>
      <c r="M19" s="562">
        <f t="shared" si="3"/>
        <v>0</v>
      </c>
      <c r="O19" s="561"/>
      <c r="P19" s="561"/>
      <c r="Q19" s="562">
        <f t="shared" si="4"/>
        <v>0</v>
      </c>
      <c r="R19" s="561"/>
      <c r="S19" s="561"/>
      <c r="T19" s="562">
        <f t="shared" si="5"/>
        <v>0</v>
      </c>
      <c r="V19" s="561"/>
      <c r="W19" s="561"/>
      <c r="X19" s="562">
        <f t="shared" si="6"/>
        <v>0</v>
      </c>
      <c r="Y19" s="561"/>
      <c r="Z19" s="561"/>
      <c r="AA19" s="562">
        <f t="shared" si="7"/>
        <v>0</v>
      </c>
      <c r="AB19" s="560" t="b">
        <f t="shared" si="8"/>
        <v>0</v>
      </c>
    </row>
    <row r="20" spans="1:28" ht="13.5" customHeight="1">
      <c r="A20" s="561"/>
      <c r="B20" s="561"/>
      <c r="C20" s="562">
        <f t="shared" si="0"/>
        <v>0</v>
      </c>
      <c r="D20" s="561"/>
      <c r="E20" s="561"/>
      <c r="F20" s="562">
        <f t="shared" si="1"/>
        <v>0</v>
      </c>
      <c r="H20" s="561"/>
      <c r="I20" s="561"/>
      <c r="J20" s="562">
        <f t="shared" si="2"/>
        <v>0</v>
      </c>
      <c r="K20" s="561"/>
      <c r="L20" s="561"/>
      <c r="M20" s="562">
        <f t="shared" si="3"/>
        <v>0</v>
      </c>
      <c r="O20" s="563"/>
      <c r="P20" s="561"/>
      <c r="Q20" s="562">
        <f t="shared" si="4"/>
        <v>0</v>
      </c>
      <c r="R20" s="561"/>
      <c r="S20" s="561"/>
      <c r="T20" s="562">
        <f t="shared" si="5"/>
        <v>0</v>
      </c>
      <c r="V20" s="561"/>
      <c r="W20" s="561"/>
      <c r="X20" s="562">
        <f t="shared" si="6"/>
        <v>0</v>
      </c>
      <c r="Y20" s="561"/>
      <c r="Z20" s="561"/>
      <c r="AA20" s="562">
        <f t="shared" si="7"/>
        <v>0</v>
      </c>
      <c r="AB20" s="560" t="b">
        <f t="shared" si="8"/>
        <v>0</v>
      </c>
    </row>
    <row r="21" spans="1:28" ht="13.5" customHeight="1">
      <c r="A21" s="561"/>
      <c r="B21" s="561"/>
      <c r="C21" s="562">
        <f t="shared" si="0"/>
        <v>0</v>
      </c>
      <c r="D21" s="561"/>
      <c r="E21" s="561"/>
      <c r="F21" s="562">
        <f t="shared" si="1"/>
        <v>0</v>
      </c>
      <c r="H21" s="561"/>
      <c r="I21" s="561"/>
      <c r="J21" s="562">
        <f t="shared" si="2"/>
        <v>0</v>
      </c>
      <c r="K21" s="561"/>
      <c r="L21" s="561"/>
      <c r="M21" s="562">
        <f t="shared" si="3"/>
        <v>0</v>
      </c>
      <c r="O21" s="563"/>
      <c r="P21" s="561"/>
      <c r="Q21" s="562">
        <f t="shared" si="4"/>
        <v>0</v>
      </c>
      <c r="R21" s="561"/>
      <c r="S21" s="561"/>
      <c r="T21" s="562">
        <f t="shared" si="5"/>
        <v>0</v>
      </c>
      <c r="V21" s="561"/>
      <c r="W21" s="561"/>
      <c r="X21" s="562">
        <f t="shared" si="6"/>
        <v>0</v>
      </c>
      <c r="Y21" s="561"/>
      <c r="Z21" s="561"/>
      <c r="AA21" s="562">
        <f t="shared" si="7"/>
        <v>0</v>
      </c>
      <c r="AB21" s="560" t="b">
        <f t="shared" si="8"/>
        <v>0</v>
      </c>
    </row>
    <row r="22" spans="1:28" ht="13.5" customHeight="1">
      <c r="A22" s="561"/>
      <c r="B22" s="561"/>
      <c r="C22" s="562">
        <f t="shared" si="0"/>
        <v>0</v>
      </c>
      <c r="D22" s="561"/>
      <c r="E22" s="561"/>
      <c r="F22" s="562">
        <f t="shared" si="1"/>
        <v>0</v>
      </c>
      <c r="H22" s="561"/>
      <c r="I22" s="561"/>
      <c r="J22" s="562">
        <f t="shared" si="2"/>
        <v>0</v>
      </c>
      <c r="K22" s="561"/>
      <c r="L22" s="561"/>
      <c r="M22" s="562">
        <f t="shared" si="3"/>
        <v>0</v>
      </c>
      <c r="O22" s="563"/>
      <c r="P22" s="561"/>
      <c r="Q22" s="562">
        <f t="shared" si="4"/>
        <v>0</v>
      </c>
      <c r="R22" s="561"/>
      <c r="S22" s="563"/>
      <c r="T22" s="562">
        <f t="shared" si="5"/>
        <v>0</v>
      </c>
      <c r="V22" s="561"/>
      <c r="W22" s="561"/>
      <c r="X22" s="562">
        <f t="shared" si="6"/>
        <v>0</v>
      </c>
      <c r="Y22" s="561"/>
      <c r="Z22" s="561"/>
      <c r="AA22" s="562">
        <f t="shared" si="7"/>
        <v>0</v>
      </c>
      <c r="AB22" s="560" t="b">
        <f t="shared" si="8"/>
        <v>0</v>
      </c>
    </row>
    <row r="23" spans="1:28" ht="13.5" customHeight="1">
      <c r="A23" s="561"/>
      <c r="B23" s="561"/>
      <c r="C23" s="562">
        <f t="shared" si="0"/>
        <v>0</v>
      </c>
      <c r="D23" s="561"/>
      <c r="E23" s="561"/>
      <c r="F23" s="562">
        <f t="shared" si="1"/>
        <v>0</v>
      </c>
      <c r="H23" s="561"/>
      <c r="I23" s="561"/>
      <c r="J23" s="562">
        <f t="shared" si="2"/>
        <v>0</v>
      </c>
      <c r="K23" s="561"/>
      <c r="L23" s="561"/>
      <c r="M23" s="562">
        <f t="shared" si="3"/>
        <v>0</v>
      </c>
      <c r="O23" s="563"/>
      <c r="P23" s="561"/>
      <c r="Q23" s="562">
        <f t="shared" si="4"/>
        <v>0</v>
      </c>
      <c r="R23" s="561"/>
      <c r="S23" s="563"/>
      <c r="T23" s="562">
        <f t="shared" si="5"/>
        <v>0</v>
      </c>
      <c r="V23" s="561"/>
      <c r="W23" s="561"/>
      <c r="X23" s="562">
        <f t="shared" si="6"/>
        <v>0</v>
      </c>
      <c r="Y23" s="561"/>
      <c r="Z23" s="561"/>
      <c r="AA23" s="562">
        <f t="shared" si="7"/>
        <v>0</v>
      </c>
      <c r="AB23" s="560" t="b">
        <f t="shared" si="8"/>
        <v>0</v>
      </c>
    </row>
    <row r="24" spans="1:28" ht="13.5" customHeight="1">
      <c r="A24" s="561"/>
      <c r="B24" s="561"/>
      <c r="C24" s="562">
        <f t="shared" si="0"/>
        <v>0</v>
      </c>
      <c r="D24" s="561"/>
      <c r="E24" s="561"/>
      <c r="F24" s="562">
        <f t="shared" si="1"/>
        <v>0</v>
      </c>
      <c r="H24" s="561"/>
      <c r="I24" s="561"/>
      <c r="J24" s="562">
        <f t="shared" si="2"/>
        <v>0</v>
      </c>
      <c r="K24" s="561"/>
      <c r="L24" s="561"/>
      <c r="M24" s="562">
        <f t="shared" si="3"/>
        <v>0</v>
      </c>
      <c r="O24" s="563"/>
      <c r="P24" s="561"/>
      <c r="Q24" s="562">
        <f t="shared" si="4"/>
        <v>0</v>
      </c>
      <c r="R24" s="561"/>
      <c r="S24" s="563"/>
      <c r="T24" s="562">
        <f t="shared" si="5"/>
        <v>0</v>
      </c>
      <c r="V24" s="561"/>
      <c r="W24" s="561"/>
      <c r="X24" s="562">
        <f t="shared" si="6"/>
        <v>0</v>
      </c>
      <c r="Y24" s="561"/>
      <c r="Z24" s="561"/>
      <c r="AA24" s="562">
        <f t="shared" si="7"/>
        <v>0</v>
      </c>
      <c r="AB24" s="560" t="b">
        <f t="shared" si="8"/>
        <v>0</v>
      </c>
    </row>
    <row r="25" spans="1:28" ht="13.5" customHeight="1">
      <c r="A25" s="563"/>
      <c r="B25" s="563"/>
      <c r="C25" s="564">
        <f t="shared" si="0"/>
        <v>0</v>
      </c>
      <c r="D25" s="563"/>
      <c r="E25" s="563"/>
      <c r="F25" s="564">
        <f t="shared" si="1"/>
        <v>0</v>
      </c>
      <c r="H25" s="563"/>
      <c r="I25" s="563"/>
      <c r="J25" s="564">
        <f t="shared" si="2"/>
        <v>0</v>
      </c>
      <c r="K25" s="563"/>
      <c r="L25" s="563"/>
      <c r="M25" s="564">
        <f t="shared" si="3"/>
        <v>0</v>
      </c>
      <c r="O25" s="563"/>
      <c r="P25" s="563"/>
      <c r="Q25" s="564">
        <f t="shared" si="4"/>
        <v>0</v>
      </c>
      <c r="R25" s="563"/>
      <c r="S25" s="563"/>
      <c r="T25" s="564">
        <f t="shared" si="5"/>
        <v>0</v>
      </c>
      <c r="V25" s="563"/>
      <c r="W25" s="563"/>
      <c r="X25" s="564">
        <f t="shared" si="6"/>
        <v>0</v>
      </c>
      <c r="Y25" s="563"/>
      <c r="Z25" s="563"/>
      <c r="AA25" s="564">
        <f t="shared" si="7"/>
        <v>0</v>
      </c>
      <c r="AB25" s="560" t="b">
        <f t="shared" si="8"/>
        <v>0</v>
      </c>
    </row>
    <row r="26" spans="1:28" ht="13.5" customHeight="1">
      <c r="A26" s="546" t="s">
        <v>1048</v>
      </c>
      <c r="B26" s="543"/>
      <c r="C26" s="545"/>
      <c r="D26" s="3330"/>
      <c r="E26" s="3330"/>
      <c r="F26" s="3330"/>
      <c r="H26" s="546" t="s">
        <v>1048</v>
      </c>
      <c r="I26" s="543"/>
      <c r="J26" s="545"/>
      <c r="K26" s="3330"/>
      <c r="L26" s="3330"/>
      <c r="M26" s="3330"/>
      <c r="O26" s="546" t="s">
        <v>1048</v>
      </c>
      <c r="P26" s="543"/>
      <c r="Q26" s="545"/>
      <c r="R26" s="3330"/>
      <c r="S26" s="3330"/>
      <c r="T26" s="3330"/>
      <c r="V26" s="546" t="s">
        <v>1048</v>
      </c>
      <c r="W26" s="543"/>
      <c r="X26" s="545"/>
      <c r="Y26" s="3330"/>
      <c r="Z26" s="3330"/>
      <c r="AA26" s="3330"/>
      <c r="AB26" s="554" t="b">
        <f>AB31</f>
        <v>0</v>
      </c>
    </row>
    <row r="27" spans="1:28" ht="13.5" customHeight="1">
      <c r="A27" s="546" t="s">
        <v>1049</v>
      </c>
      <c r="B27" s="543"/>
      <c r="C27" s="545"/>
      <c r="D27" s="3331">
        <f>SUM(C8:C25,F8:F25)</f>
        <v>0</v>
      </c>
      <c r="E27" s="3331"/>
      <c r="F27" s="3331"/>
      <c r="H27" s="546" t="s">
        <v>1049</v>
      </c>
      <c r="I27" s="543"/>
      <c r="J27" s="545"/>
      <c r="K27" s="3331">
        <f>SUM(J8:J25,M8:M25)</f>
        <v>0</v>
      </c>
      <c r="L27" s="3331"/>
      <c r="M27" s="3331"/>
      <c r="O27" s="546" t="s">
        <v>1049</v>
      </c>
      <c r="P27" s="543"/>
      <c r="Q27" s="545"/>
      <c r="R27" s="3331">
        <f>SUM(Q8:Q25,T8:T25)</f>
        <v>0</v>
      </c>
      <c r="S27" s="3331"/>
      <c r="T27" s="3331"/>
      <c r="V27" s="546" t="s">
        <v>1049</v>
      </c>
      <c r="W27" s="543"/>
      <c r="X27" s="545"/>
      <c r="Y27" s="3331">
        <f>SUM(X8:X25,AA8:AA25)</f>
        <v>0</v>
      </c>
      <c r="Z27" s="3331"/>
      <c r="AA27" s="3331"/>
      <c r="AB27" s="554" t="b">
        <f>AB31</f>
        <v>0</v>
      </c>
    </row>
    <row r="28" spans="1:28" ht="13.5" customHeight="1">
      <c r="A28" s="546" t="s">
        <v>616</v>
      </c>
      <c r="B28" s="543"/>
      <c r="C28" s="545"/>
      <c r="D28" s="3332"/>
      <c r="E28" s="3332"/>
      <c r="F28" s="3332"/>
      <c r="H28" s="546" t="s">
        <v>616</v>
      </c>
      <c r="I28" s="543"/>
      <c r="J28" s="545"/>
      <c r="K28" s="3332"/>
      <c r="L28" s="3332"/>
      <c r="M28" s="3332"/>
      <c r="O28" s="546" t="s">
        <v>616</v>
      </c>
      <c r="P28" s="543"/>
      <c r="Q28" s="545"/>
      <c r="R28" s="3332"/>
      <c r="S28" s="3332"/>
      <c r="T28" s="3332"/>
      <c r="V28" s="546" t="s">
        <v>616</v>
      </c>
      <c r="W28" s="543"/>
      <c r="X28" s="545"/>
      <c r="Y28" s="3332"/>
      <c r="Z28" s="3332"/>
      <c r="AA28" s="3332"/>
      <c r="AB28" s="554" t="b">
        <f>AB31</f>
        <v>0</v>
      </c>
    </row>
    <row r="29" spans="1:28" ht="13.5" customHeight="1">
      <c r="A29" s="546" t="s">
        <v>617</v>
      </c>
      <c r="B29" s="543"/>
      <c r="C29" s="545"/>
      <c r="D29" s="3331">
        <f>D27-D28</f>
        <v>0</v>
      </c>
      <c r="E29" s="3331"/>
      <c r="F29" s="3331"/>
      <c r="H29" s="546" t="s">
        <v>617</v>
      </c>
      <c r="I29" s="543"/>
      <c r="J29" s="545"/>
      <c r="K29" s="3331">
        <f>K27-K28</f>
        <v>0</v>
      </c>
      <c r="L29" s="3331"/>
      <c r="M29" s="3331"/>
      <c r="O29" s="546" t="s">
        <v>617</v>
      </c>
      <c r="P29" s="543"/>
      <c r="Q29" s="545"/>
      <c r="R29" s="3331">
        <f>R27-R28</f>
        <v>0</v>
      </c>
      <c r="S29" s="3331"/>
      <c r="T29" s="3331"/>
      <c r="V29" s="546" t="s">
        <v>617</v>
      </c>
      <c r="W29" s="543"/>
      <c r="X29" s="545"/>
      <c r="Y29" s="3331">
        <f>Y27-Y28</f>
        <v>0</v>
      </c>
      <c r="Z29" s="3331"/>
      <c r="AA29" s="3331"/>
      <c r="AB29" s="554" t="b">
        <f>AB31</f>
        <v>0</v>
      </c>
    </row>
    <row r="30" spans="1:28" ht="13.5" customHeight="1">
      <c r="A30" s="546" t="s">
        <v>618</v>
      </c>
      <c r="B30" s="543"/>
      <c r="C30" s="545"/>
      <c r="D30" s="3342"/>
      <c r="E30" s="3342"/>
      <c r="F30" s="3342"/>
      <c r="H30" s="546" t="s">
        <v>618</v>
      </c>
      <c r="I30" s="543"/>
      <c r="J30" s="545"/>
      <c r="K30" s="3342"/>
      <c r="L30" s="3342"/>
      <c r="M30" s="3342"/>
      <c r="O30" s="546" t="s">
        <v>618</v>
      </c>
      <c r="P30" s="543"/>
      <c r="Q30" s="545"/>
      <c r="R30" s="3342"/>
      <c r="S30" s="3342"/>
      <c r="T30" s="3342"/>
      <c r="V30" s="546" t="s">
        <v>618</v>
      </c>
      <c r="W30" s="543"/>
      <c r="X30" s="545"/>
      <c r="Y30" s="3342"/>
      <c r="Z30" s="3342"/>
      <c r="AA30" s="3342"/>
      <c r="AB30" s="554" t="b">
        <f>AB31</f>
        <v>0</v>
      </c>
    </row>
    <row r="31" spans="1:28" ht="13.5" customHeight="1">
      <c r="A31" s="546" t="s">
        <v>619</v>
      </c>
      <c r="B31" s="543"/>
      <c r="C31" s="545"/>
      <c r="D31" s="3341">
        <f>D29*D30</f>
        <v>0</v>
      </c>
      <c r="E31" s="3341"/>
      <c r="F31" s="3341"/>
      <c r="H31" s="546" t="s">
        <v>619</v>
      </c>
      <c r="I31" s="543"/>
      <c r="J31" s="545"/>
      <c r="K31" s="3341">
        <f>K29*K30</f>
        <v>0</v>
      </c>
      <c r="L31" s="3341"/>
      <c r="M31" s="3341"/>
      <c r="O31" s="546" t="s">
        <v>619</v>
      </c>
      <c r="P31" s="543"/>
      <c r="Q31" s="545"/>
      <c r="R31" s="3341">
        <f>R29*R30</f>
        <v>0</v>
      </c>
      <c r="S31" s="3341"/>
      <c r="T31" s="3341"/>
      <c r="V31" s="546" t="s">
        <v>619</v>
      </c>
      <c r="W31" s="543"/>
      <c r="X31" s="545"/>
      <c r="Y31" s="3341">
        <f>Y29*Y30</f>
        <v>0</v>
      </c>
      <c r="Z31" s="3341"/>
      <c r="AA31" s="3341"/>
      <c r="AB31" s="554" t="b">
        <f>SUM(A31:AA31)&lt;&gt;0</f>
        <v>0</v>
      </c>
    </row>
    <row r="32" spans="1:28" s="565" customFormat="1" ht="13.5" customHeight="1">
      <c r="B32" s="547"/>
      <c r="C32" s="547"/>
      <c r="D32" s="20"/>
      <c r="E32" s="20"/>
      <c r="F32" s="20"/>
      <c r="I32" s="547"/>
      <c r="J32" s="547"/>
      <c r="K32" s="20"/>
      <c r="L32" s="20"/>
      <c r="M32" s="20"/>
      <c r="P32" s="547"/>
      <c r="Q32" s="547"/>
      <c r="R32" s="20"/>
      <c r="S32" s="20"/>
      <c r="T32" s="20"/>
      <c r="W32" s="547"/>
      <c r="X32" s="547"/>
      <c r="Y32" s="20"/>
      <c r="Z32" s="20"/>
      <c r="AA32" s="20"/>
      <c r="AB32" s="565" t="b">
        <v>1</v>
      </c>
    </row>
    <row r="33" spans="1:28" s="565" customFormat="1" ht="13.5" customHeight="1">
      <c r="B33" s="547"/>
      <c r="C33" s="547"/>
      <c r="D33" s="20"/>
      <c r="E33" s="20"/>
      <c r="F33" s="20"/>
      <c r="I33" s="547"/>
      <c r="J33" s="547"/>
      <c r="K33" s="20"/>
      <c r="L33" s="20"/>
      <c r="M33" s="20"/>
      <c r="P33" s="547"/>
      <c r="Q33" s="547"/>
      <c r="R33" s="20"/>
      <c r="S33" s="20"/>
      <c r="T33" s="20"/>
      <c r="W33" s="547"/>
      <c r="X33" s="547"/>
      <c r="Y33" s="20"/>
      <c r="Z33" s="20"/>
      <c r="AA33" s="20"/>
      <c r="AB33" s="554" t="b">
        <f>AB59</f>
        <v>0</v>
      </c>
    </row>
    <row r="34" spans="1:28" s="565" customFormat="1" ht="13.5" customHeight="1">
      <c r="A34" s="3343" t="s">
        <v>1044</v>
      </c>
      <c r="B34" s="3344"/>
      <c r="C34" s="3344"/>
      <c r="D34" s="3344"/>
      <c r="E34" s="3344"/>
      <c r="F34" s="3345"/>
      <c r="H34" s="3343" t="s">
        <v>1044</v>
      </c>
      <c r="I34" s="3344"/>
      <c r="J34" s="3344"/>
      <c r="K34" s="3344"/>
      <c r="L34" s="3344"/>
      <c r="M34" s="3345"/>
      <c r="O34" s="3343" t="s">
        <v>1044</v>
      </c>
      <c r="P34" s="3344"/>
      <c r="Q34" s="3344"/>
      <c r="R34" s="3344"/>
      <c r="S34" s="3344"/>
      <c r="T34" s="3345"/>
      <c r="V34" s="3343" t="s">
        <v>1044</v>
      </c>
      <c r="W34" s="3344"/>
      <c r="X34" s="3344"/>
      <c r="Y34" s="3344"/>
      <c r="Z34" s="3344"/>
      <c r="AA34" s="3345"/>
      <c r="AB34" s="554" t="b">
        <f>AB59</f>
        <v>0</v>
      </c>
    </row>
    <row r="35" spans="1:28" ht="13.5" customHeight="1">
      <c r="A35" s="557" t="s">
        <v>1045</v>
      </c>
      <c r="B35" s="557" t="s">
        <v>1046</v>
      </c>
      <c r="C35" s="557" t="s">
        <v>1059</v>
      </c>
      <c r="D35" s="557" t="s">
        <v>1047</v>
      </c>
      <c r="E35" s="557" t="s">
        <v>1046</v>
      </c>
      <c r="F35" s="557" t="s">
        <v>1059</v>
      </c>
      <c r="H35" s="557" t="s">
        <v>1045</v>
      </c>
      <c r="I35" s="557" t="s">
        <v>1046</v>
      </c>
      <c r="J35" s="557" t="s">
        <v>1059</v>
      </c>
      <c r="K35" s="557" t="s">
        <v>1047</v>
      </c>
      <c r="L35" s="557" t="s">
        <v>1046</v>
      </c>
      <c r="M35" s="557" t="s">
        <v>1059</v>
      </c>
      <c r="O35" s="557" t="s">
        <v>1045</v>
      </c>
      <c r="P35" s="557" t="s">
        <v>1046</v>
      </c>
      <c r="Q35" s="557" t="s">
        <v>1059</v>
      </c>
      <c r="R35" s="557" t="s">
        <v>1047</v>
      </c>
      <c r="S35" s="557" t="s">
        <v>1046</v>
      </c>
      <c r="T35" s="557" t="s">
        <v>1059</v>
      </c>
      <c r="V35" s="557" t="s">
        <v>1045</v>
      </c>
      <c r="W35" s="557" t="s">
        <v>1046</v>
      </c>
      <c r="X35" s="557" t="s">
        <v>1059</v>
      </c>
      <c r="Y35" s="557" t="s">
        <v>1047</v>
      </c>
      <c r="Z35" s="557" t="s">
        <v>1046</v>
      </c>
      <c r="AA35" s="557" t="s">
        <v>1059</v>
      </c>
      <c r="AB35" s="554" t="b">
        <f>AB59</f>
        <v>0</v>
      </c>
    </row>
    <row r="36" spans="1:28" ht="13.5" customHeight="1">
      <c r="A36" s="558"/>
      <c r="B36" s="558"/>
      <c r="C36" s="559">
        <f t="shared" ref="C36:C53" si="9">ROUNDDOWN(A36*B36,2)</f>
        <v>0</v>
      </c>
      <c r="D36" s="558"/>
      <c r="E36" s="558"/>
      <c r="F36" s="559">
        <f t="shared" ref="F36:F53" si="10">ROUNDDOWN(D36*E36,2)</f>
        <v>0</v>
      </c>
      <c r="H36" s="558"/>
      <c r="I36" s="558"/>
      <c r="J36" s="559">
        <f t="shared" ref="J36:J53" si="11">ROUNDDOWN(H36*I36,2)</f>
        <v>0</v>
      </c>
      <c r="K36" s="558"/>
      <c r="L36" s="558"/>
      <c r="M36" s="559">
        <f t="shared" ref="M36:M53" si="12">ROUNDDOWN(K36*L36,2)</f>
        <v>0</v>
      </c>
      <c r="O36" s="558"/>
      <c r="P36" s="558"/>
      <c r="Q36" s="559">
        <f t="shared" ref="Q36:Q53" si="13">ROUNDDOWN(O36*P36,2)</f>
        <v>0</v>
      </c>
      <c r="R36" s="558"/>
      <c r="S36" s="558"/>
      <c r="T36" s="559">
        <f t="shared" ref="T36:T53" si="14">ROUNDDOWN(R36*S36,2)</f>
        <v>0</v>
      </c>
      <c r="V36" s="558"/>
      <c r="W36" s="558"/>
      <c r="X36" s="559">
        <f t="shared" ref="X36:X53" si="15">ROUNDDOWN(V36*W36,2)</f>
        <v>0</v>
      </c>
      <c r="Y36" s="558"/>
      <c r="Z36" s="558"/>
      <c r="AA36" s="559">
        <f t="shared" ref="AA36:AA53" si="16">ROUNDDOWN(Y36*Z36,2)</f>
        <v>0</v>
      </c>
      <c r="AB36" s="560" t="b">
        <f t="shared" ref="AB36:AB53" si="17">COUNT(A36:AA36)-8&lt;&gt;0</f>
        <v>0</v>
      </c>
    </row>
    <row r="37" spans="1:28" ht="13.5" customHeight="1">
      <c r="A37" s="561"/>
      <c r="B37" s="561"/>
      <c r="C37" s="562">
        <f t="shared" si="9"/>
        <v>0</v>
      </c>
      <c r="D37" s="561"/>
      <c r="E37" s="561"/>
      <c r="F37" s="562">
        <f t="shared" si="10"/>
        <v>0</v>
      </c>
      <c r="H37" s="561"/>
      <c r="I37" s="561"/>
      <c r="J37" s="562">
        <f t="shared" si="11"/>
        <v>0</v>
      </c>
      <c r="K37" s="561"/>
      <c r="L37" s="561"/>
      <c r="M37" s="562">
        <f t="shared" si="12"/>
        <v>0</v>
      </c>
      <c r="O37" s="561"/>
      <c r="P37" s="561"/>
      <c r="Q37" s="562">
        <f t="shared" si="13"/>
        <v>0</v>
      </c>
      <c r="R37" s="561"/>
      <c r="S37" s="561"/>
      <c r="T37" s="562">
        <f t="shared" si="14"/>
        <v>0</v>
      </c>
      <c r="V37" s="561"/>
      <c r="W37" s="561"/>
      <c r="X37" s="562">
        <f t="shared" si="15"/>
        <v>0</v>
      </c>
      <c r="Y37" s="561"/>
      <c r="Z37" s="561"/>
      <c r="AA37" s="562">
        <f t="shared" si="16"/>
        <v>0</v>
      </c>
      <c r="AB37" s="560" t="b">
        <f t="shared" si="17"/>
        <v>0</v>
      </c>
    </row>
    <row r="38" spans="1:28" ht="13.5" customHeight="1">
      <c r="A38" s="561"/>
      <c r="B38" s="561"/>
      <c r="C38" s="562">
        <f t="shared" si="9"/>
        <v>0</v>
      </c>
      <c r="D38" s="561"/>
      <c r="E38" s="561"/>
      <c r="F38" s="562">
        <f t="shared" si="10"/>
        <v>0</v>
      </c>
      <c r="H38" s="561"/>
      <c r="I38" s="561"/>
      <c r="J38" s="562">
        <f t="shared" si="11"/>
        <v>0</v>
      </c>
      <c r="K38" s="561"/>
      <c r="L38" s="561"/>
      <c r="M38" s="562">
        <f t="shared" si="12"/>
        <v>0</v>
      </c>
      <c r="O38" s="561"/>
      <c r="P38" s="561"/>
      <c r="Q38" s="562">
        <f t="shared" si="13"/>
        <v>0</v>
      </c>
      <c r="R38" s="561"/>
      <c r="S38" s="561"/>
      <c r="T38" s="562">
        <f t="shared" si="14"/>
        <v>0</v>
      </c>
      <c r="V38" s="561"/>
      <c r="W38" s="561"/>
      <c r="X38" s="562">
        <f t="shared" si="15"/>
        <v>0</v>
      </c>
      <c r="Y38" s="561"/>
      <c r="Z38" s="561"/>
      <c r="AA38" s="562">
        <f t="shared" si="16"/>
        <v>0</v>
      </c>
      <c r="AB38" s="560" t="b">
        <f t="shared" si="17"/>
        <v>0</v>
      </c>
    </row>
    <row r="39" spans="1:28" ht="13.5" customHeight="1">
      <c r="A39" s="561"/>
      <c r="B39" s="561"/>
      <c r="C39" s="562">
        <f t="shared" si="9"/>
        <v>0</v>
      </c>
      <c r="D39" s="561"/>
      <c r="E39" s="561"/>
      <c r="F39" s="562">
        <f t="shared" si="10"/>
        <v>0</v>
      </c>
      <c r="H39" s="561"/>
      <c r="I39" s="561"/>
      <c r="J39" s="562">
        <f t="shared" si="11"/>
        <v>0</v>
      </c>
      <c r="K39" s="561"/>
      <c r="L39" s="561"/>
      <c r="M39" s="562">
        <f t="shared" si="12"/>
        <v>0</v>
      </c>
      <c r="O39" s="561"/>
      <c r="P39" s="561"/>
      <c r="Q39" s="562">
        <f t="shared" si="13"/>
        <v>0</v>
      </c>
      <c r="R39" s="561"/>
      <c r="S39" s="561"/>
      <c r="T39" s="562">
        <f t="shared" si="14"/>
        <v>0</v>
      </c>
      <c r="V39" s="561"/>
      <c r="W39" s="561"/>
      <c r="X39" s="562">
        <f t="shared" si="15"/>
        <v>0</v>
      </c>
      <c r="Y39" s="561"/>
      <c r="Z39" s="561"/>
      <c r="AA39" s="562">
        <f t="shared" si="16"/>
        <v>0</v>
      </c>
      <c r="AB39" s="560" t="b">
        <f t="shared" si="17"/>
        <v>0</v>
      </c>
    </row>
    <row r="40" spans="1:28" ht="13.5" customHeight="1">
      <c r="A40" s="561"/>
      <c r="B40" s="561"/>
      <c r="C40" s="562">
        <f t="shared" si="9"/>
        <v>0</v>
      </c>
      <c r="D40" s="561"/>
      <c r="E40" s="561"/>
      <c r="F40" s="562">
        <f t="shared" si="10"/>
        <v>0</v>
      </c>
      <c r="H40" s="561"/>
      <c r="I40" s="561"/>
      <c r="J40" s="562">
        <f t="shared" si="11"/>
        <v>0</v>
      </c>
      <c r="K40" s="561"/>
      <c r="L40" s="561"/>
      <c r="M40" s="562">
        <f t="shared" si="12"/>
        <v>0</v>
      </c>
      <c r="O40" s="561"/>
      <c r="P40" s="561"/>
      <c r="Q40" s="562">
        <f t="shared" si="13"/>
        <v>0</v>
      </c>
      <c r="R40" s="561"/>
      <c r="S40" s="561"/>
      <c r="T40" s="562">
        <f t="shared" si="14"/>
        <v>0</v>
      </c>
      <c r="V40" s="561"/>
      <c r="W40" s="561"/>
      <c r="X40" s="562">
        <f t="shared" si="15"/>
        <v>0</v>
      </c>
      <c r="Y40" s="561"/>
      <c r="Z40" s="561"/>
      <c r="AA40" s="562">
        <f t="shared" si="16"/>
        <v>0</v>
      </c>
      <c r="AB40" s="560" t="b">
        <f t="shared" si="17"/>
        <v>0</v>
      </c>
    </row>
    <row r="41" spans="1:28" ht="13.5" customHeight="1">
      <c r="A41" s="561"/>
      <c r="B41" s="561"/>
      <c r="C41" s="562">
        <f t="shared" si="9"/>
        <v>0</v>
      </c>
      <c r="D41" s="561"/>
      <c r="E41" s="561"/>
      <c r="F41" s="562">
        <f t="shared" si="10"/>
        <v>0</v>
      </c>
      <c r="H41" s="561"/>
      <c r="I41" s="561"/>
      <c r="J41" s="562">
        <f t="shared" si="11"/>
        <v>0</v>
      </c>
      <c r="K41" s="561"/>
      <c r="L41" s="561"/>
      <c r="M41" s="562">
        <f t="shared" si="12"/>
        <v>0</v>
      </c>
      <c r="O41" s="561"/>
      <c r="P41" s="561"/>
      <c r="Q41" s="562">
        <f t="shared" si="13"/>
        <v>0</v>
      </c>
      <c r="R41" s="561"/>
      <c r="S41" s="561"/>
      <c r="T41" s="562">
        <f t="shared" si="14"/>
        <v>0</v>
      </c>
      <c r="V41" s="561"/>
      <c r="W41" s="561"/>
      <c r="X41" s="562">
        <f t="shared" si="15"/>
        <v>0</v>
      </c>
      <c r="Y41" s="561"/>
      <c r="Z41" s="561"/>
      <c r="AA41" s="562">
        <f t="shared" si="16"/>
        <v>0</v>
      </c>
      <c r="AB41" s="560" t="b">
        <f t="shared" si="17"/>
        <v>0</v>
      </c>
    </row>
    <row r="42" spans="1:28" ht="13.5" customHeight="1">
      <c r="A42" s="561"/>
      <c r="B42" s="561"/>
      <c r="C42" s="562">
        <f t="shared" si="9"/>
        <v>0</v>
      </c>
      <c r="D42" s="561"/>
      <c r="E42" s="561"/>
      <c r="F42" s="562">
        <f t="shared" si="10"/>
        <v>0</v>
      </c>
      <c r="H42" s="561"/>
      <c r="I42" s="561"/>
      <c r="J42" s="562">
        <f t="shared" si="11"/>
        <v>0</v>
      </c>
      <c r="K42" s="561"/>
      <c r="L42" s="561"/>
      <c r="M42" s="562">
        <f t="shared" si="12"/>
        <v>0</v>
      </c>
      <c r="O42" s="561"/>
      <c r="P42" s="561"/>
      <c r="Q42" s="562">
        <f t="shared" si="13"/>
        <v>0</v>
      </c>
      <c r="R42" s="561"/>
      <c r="S42" s="561"/>
      <c r="T42" s="562">
        <f t="shared" si="14"/>
        <v>0</v>
      </c>
      <c r="V42" s="561"/>
      <c r="W42" s="561"/>
      <c r="X42" s="562">
        <f t="shared" si="15"/>
        <v>0</v>
      </c>
      <c r="Y42" s="561"/>
      <c r="Z42" s="561"/>
      <c r="AA42" s="562">
        <f t="shared" si="16"/>
        <v>0</v>
      </c>
      <c r="AB42" s="560" t="b">
        <f t="shared" si="17"/>
        <v>0</v>
      </c>
    </row>
    <row r="43" spans="1:28" ht="13.5" customHeight="1">
      <c r="A43" s="561"/>
      <c r="B43" s="561"/>
      <c r="C43" s="562">
        <f t="shared" si="9"/>
        <v>0</v>
      </c>
      <c r="D43" s="561"/>
      <c r="E43" s="561"/>
      <c r="F43" s="562">
        <f t="shared" si="10"/>
        <v>0</v>
      </c>
      <c r="H43" s="561"/>
      <c r="I43" s="561"/>
      <c r="J43" s="562">
        <f t="shared" si="11"/>
        <v>0</v>
      </c>
      <c r="K43" s="561"/>
      <c r="L43" s="561"/>
      <c r="M43" s="562">
        <f t="shared" si="12"/>
        <v>0</v>
      </c>
      <c r="O43" s="561"/>
      <c r="P43" s="561"/>
      <c r="Q43" s="562">
        <f t="shared" si="13"/>
        <v>0</v>
      </c>
      <c r="R43" s="561"/>
      <c r="S43" s="561"/>
      <c r="T43" s="562">
        <f t="shared" si="14"/>
        <v>0</v>
      </c>
      <c r="V43" s="561"/>
      <c r="W43" s="561"/>
      <c r="X43" s="562">
        <f t="shared" si="15"/>
        <v>0</v>
      </c>
      <c r="Y43" s="561"/>
      <c r="Z43" s="561"/>
      <c r="AA43" s="562">
        <f t="shared" si="16"/>
        <v>0</v>
      </c>
      <c r="AB43" s="560" t="b">
        <f t="shared" si="17"/>
        <v>0</v>
      </c>
    </row>
    <row r="44" spans="1:28" ht="13.5" customHeight="1">
      <c r="A44" s="561"/>
      <c r="B44" s="561"/>
      <c r="C44" s="562">
        <f t="shared" si="9"/>
        <v>0</v>
      </c>
      <c r="D44" s="561"/>
      <c r="E44" s="561"/>
      <c r="F44" s="562">
        <f t="shared" si="10"/>
        <v>0</v>
      </c>
      <c r="H44" s="561"/>
      <c r="I44" s="561"/>
      <c r="J44" s="562">
        <f t="shared" si="11"/>
        <v>0</v>
      </c>
      <c r="K44" s="561"/>
      <c r="L44" s="561"/>
      <c r="M44" s="562">
        <f t="shared" si="12"/>
        <v>0</v>
      </c>
      <c r="O44" s="561"/>
      <c r="P44" s="561"/>
      <c r="Q44" s="562">
        <f t="shared" si="13"/>
        <v>0</v>
      </c>
      <c r="R44" s="561"/>
      <c r="S44" s="561"/>
      <c r="T44" s="562">
        <f t="shared" si="14"/>
        <v>0</v>
      </c>
      <c r="V44" s="561"/>
      <c r="W44" s="561"/>
      <c r="X44" s="562">
        <f t="shared" si="15"/>
        <v>0</v>
      </c>
      <c r="Y44" s="561"/>
      <c r="Z44" s="561"/>
      <c r="AA44" s="562">
        <f t="shared" si="16"/>
        <v>0</v>
      </c>
      <c r="AB44" s="560" t="b">
        <f t="shared" si="17"/>
        <v>0</v>
      </c>
    </row>
    <row r="45" spans="1:28" ht="13.5" customHeight="1">
      <c r="A45" s="561"/>
      <c r="B45" s="561"/>
      <c r="C45" s="562">
        <f t="shared" si="9"/>
        <v>0</v>
      </c>
      <c r="D45" s="561"/>
      <c r="E45" s="561"/>
      <c r="F45" s="562">
        <f t="shared" si="10"/>
        <v>0</v>
      </c>
      <c r="H45" s="561"/>
      <c r="I45" s="561"/>
      <c r="J45" s="562">
        <f t="shared" si="11"/>
        <v>0</v>
      </c>
      <c r="K45" s="561"/>
      <c r="L45" s="561"/>
      <c r="M45" s="562">
        <f t="shared" si="12"/>
        <v>0</v>
      </c>
      <c r="O45" s="561"/>
      <c r="P45" s="561"/>
      <c r="Q45" s="562">
        <f t="shared" si="13"/>
        <v>0</v>
      </c>
      <c r="R45" s="561"/>
      <c r="S45" s="563"/>
      <c r="T45" s="562">
        <f t="shared" si="14"/>
        <v>0</v>
      </c>
      <c r="V45" s="561"/>
      <c r="W45" s="561"/>
      <c r="X45" s="562">
        <f t="shared" si="15"/>
        <v>0</v>
      </c>
      <c r="Y45" s="561"/>
      <c r="Z45" s="561"/>
      <c r="AA45" s="562">
        <f t="shared" si="16"/>
        <v>0</v>
      </c>
      <c r="AB45" s="560" t="b">
        <f t="shared" si="17"/>
        <v>0</v>
      </c>
    </row>
    <row r="46" spans="1:28" ht="13.5" customHeight="1">
      <c r="A46" s="561"/>
      <c r="B46" s="561"/>
      <c r="C46" s="562">
        <f t="shared" si="9"/>
        <v>0</v>
      </c>
      <c r="D46" s="561"/>
      <c r="E46" s="561"/>
      <c r="F46" s="562">
        <f t="shared" si="10"/>
        <v>0</v>
      </c>
      <c r="H46" s="561"/>
      <c r="I46" s="561"/>
      <c r="J46" s="562">
        <f t="shared" si="11"/>
        <v>0</v>
      </c>
      <c r="K46" s="561"/>
      <c r="L46" s="561"/>
      <c r="M46" s="562">
        <f t="shared" si="12"/>
        <v>0</v>
      </c>
      <c r="O46" s="561"/>
      <c r="P46" s="561"/>
      <c r="Q46" s="562">
        <f t="shared" si="13"/>
        <v>0</v>
      </c>
      <c r="R46" s="561"/>
      <c r="S46" s="563"/>
      <c r="T46" s="562">
        <f t="shared" si="14"/>
        <v>0</v>
      </c>
      <c r="V46" s="561"/>
      <c r="W46" s="561"/>
      <c r="X46" s="562">
        <f t="shared" si="15"/>
        <v>0</v>
      </c>
      <c r="Y46" s="561"/>
      <c r="Z46" s="561"/>
      <c r="AA46" s="562">
        <f t="shared" si="16"/>
        <v>0</v>
      </c>
      <c r="AB46" s="560" t="b">
        <f t="shared" si="17"/>
        <v>0</v>
      </c>
    </row>
    <row r="47" spans="1:28" ht="13.5" customHeight="1">
      <c r="A47" s="561"/>
      <c r="B47" s="561"/>
      <c r="C47" s="562">
        <f t="shared" si="9"/>
        <v>0</v>
      </c>
      <c r="D47" s="561"/>
      <c r="E47" s="561"/>
      <c r="F47" s="562">
        <f t="shared" si="10"/>
        <v>0</v>
      </c>
      <c r="H47" s="561"/>
      <c r="I47" s="561"/>
      <c r="J47" s="562">
        <f t="shared" si="11"/>
        <v>0</v>
      </c>
      <c r="K47" s="561"/>
      <c r="L47" s="561"/>
      <c r="M47" s="562">
        <f t="shared" si="12"/>
        <v>0</v>
      </c>
      <c r="O47" s="561"/>
      <c r="P47" s="561"/>
      <c r="Q47" s="562">
        <f t="shared" si="13"/>
        <v>0</v>
      </c>
      <c r="R47" s="561"/>
      <c r="S47" s="563"/>
      <c r="T47" s="562">
        <f t="shared" si="14"/>
        <v>0</v>
      </c>
      <c r="V47" s="561"/>
      <c r="W47" s="561"/>
      <c r="X47" s="562">
        <f t="shared" si="15"/>
        <v>0</v>
      </c>
      <c r="Y47" s="561"/>
      <c r="Z47" s="561"/>
      <c r="AA47" s="562">
        <f t="shared" si="16"/>
        <v>0</v>
      </c>
      <c r="AB47" s="560" t="b">
        <f t="shared" si="17"/>
        <v>0</v>
      </c>
    </row>
    <row r="48" spans="1:28" ht="13.5" customHeight="1">
      <c r="A48" s="561"/>
      <c r="B48" s="561"/>
      <c r="C48" s="562">
        <f t="shared" si="9"/>
        <v>0</v>
      </c>
      <c r="D48" s="561"/>
      <c r="E48" s="561"/>
      <c r="F48" s="562">
        <f t="shared" si="10"/>
        <v>0</v>
      </c>
      <c r="H48" s="561"/>
      <c r="I48" s="561"/>
      <c r="J48" s="562">
        <f t="shared" si="11"/>
        <v>0</v>
      </c>
      <c r="K48" s="561"/>
      <c r="L48" s="561"/>
      <c r="M48" s="562">
        <f t="shared" si="12"/>
        <v>0</v>
      </c>
      <c r="O48" s="561"/>
      <c r="P48" s="561"/>
      <c r="Q48" s="562">
        <f t="shared" si="13"/>
        <v>0</v>
      </c>
      <c r="R48" s="561"/>
      <c r="S48" s="563"/>
      <c r="T48" s="562">
        <f t="shared" si="14"/>
        <v>0</v>
      </c>
      <c r="V48" s="561"/>
      <c r="W48" s="561"/>
      <c r="X48" s="562">
        <f t="shared" si="15"/>
        <v>0</v>
      </c>
      <c r="Y48" s="561"/>
      <c r="Z48" s="561"/>
      <c r="AA48" s="562">
        <f t="shared" si="16"/>
        <v>0</v>
      </c>
      <c r="AB48" s="560" t="b">
        <f t="shared" si="17"/>
        <v>0</v>
      </c>
    </row>
    <row r="49" spans="1:28" ht="13.5" customHeight="1">
      <c r="A49" s="561"/>
      <c r="B49" s="561"/>
      <c r="C49" s="562">
        <f t="shared" si="9"/>
        <v>0</v>
      </c>
      <c r="D49" s="561"/>
      <c r="E49" s="561"/>
      <c r="F49" s="562">
        <f t="shared" si="10"/>
        <v>0</v>
      </c>
      <c r="H49" s="561"/>
      <c r="I49" s="561"/>
      <c r="J49" s="562">
        <f t="shared" si="11"/>
        <v>0</v>
      </c>
      <c r="K49" s="561"/>
      <c r="L49" s="561"/>
      <c r="M49" s="562">
        <f t="shared" si="12"/>
        <v>0</v>
      </c>
      <c r="O49" s="561"/>
      <c r="P49" s="561"/>
      <c r="Q49" s="562">
        <f t="shared" si="13"/>
        <v>0</v>
      </c>
      <c r="R49" s="561"/>
      <c r="S49" s="563"/>
      <c r="T49" s="562">
        <f t="shared" si="14"/>
        <v>0</v>
      </c>
      <c r="V49" s="561"/>
      <c r="W49" s="561"/>
      <c r="X49" s="562">
        <f t="shared" si="15"/>
        <v>0</v>
      </c>
      <c r="Y49" s="561"/>
      <c r="Z49" s="561"/>
      <c r="AA49" s="562">
        <f t="shared" si="16"/>
        <v>0</v>
      </c>
      <c r="AB49" s="560" t="b">
        <f t="shared" si="17"/>
        <v>0</v>
      </c>
    </row>
    <row r="50" spans="1:28" ht="13.5" customHeight="1">
      <c r="A50" s="561"/>
      <c r="B50" s="561"/>
      <c r="C50" s="562">
        <f t="shared" si="9"/>
        <v>0</v>
      </c>
      <c r="D50" s="561"/>
      <c r="E50" s="561"/>
      <c r="F50" s="562">
        <f t="shared" si="10"/>
        <v>0</v>
      </c>
      <c r="H50" s="561"/>
      <c r="I50" s="561"/>
      <c r="J50" s="562">
        <f t="shared" si="11"/>
        <v>0</v>
      </c>
      <c r="K50" s="561"/>
      <c r="L50" s="561"/>
      <c r="M50" s="562">
        <f t="shared" si="12"/>
        <v>0</v>
      </c>
      <c r="O50" s="561"/>
      <c r="P50" s="561"/>
      <c r="Q50" s="562">
        <f t="shared" si="13"/>
        <v>0</v>
      </c>
      <c r="R50" s="561"/>
      <c r="S50" s="563"/>
      <c r="T50" s="562">
        <f t="shared" si="14"/>
        <v>0</v>
      </c>
      <c r="V50" s="561"/>
      <c r="W50" s="561"/>
      <c r="X50" s="562">
        <f t="shared" si="15"/>
        <v>0</v>
      </c>
      <c r="Y50" s="561"/>
      <c r="Z50" s="561"/>
      <c r="AA50" s="562">
        <f t="shared" si="16"/>
        <v>0</v>
      </c>
      <c r="AB50" s="560" t="b">
        <f t="shared" si="17"/>
        <v>0</v>
      </c>
    </row>
    <row r="51" spans="1:28" ht="13.5" customHeight="1">
      <c r="A51" s="561"/>
      <c r="B51" s="561"/>
      <c r="C51" s="562">
        <f t="shared" si="9"/>
        <v>0</v>
      </c>
      <c r="D51" s="561"/>
      <c r="E51" s="561"/>
      <c r="F51" s="562">
        <f t="shared" si="10"/>
        <v>0</v>
      </c>
      <c r="H51" s="561"/>
      <c r="I51" s="561"/>
      <c r="J51" s="562">
        <f t="shared" si="11"/>
        <v>0</v>
      </c>
      <c r="K51" s="561"/>
      <c r="L51" s="561"/>
      <c r="M51" s="562">
        <f t="shared" si="12"/>
        <v>0</v>
      </c>
      <c r="O51" s="561"/>
      <c r="P51" s="561"/>
      <c r="Q51" s="562">
        <f t="shared" si="13"/>
        <v>0</v>
      </c>
      <c r="R51" s="561"/>
      <c r="S51" s="563"/>
      <c r="T51" s="562">
        <f t="shared" si="14"/>
        <v>0</v>
      </c>
      <c r="V51" s="561"/>
      <c r="W51" s="561"/>
      <c r="X51" s="562">
        <f t="shared" si="15"/>
        <v>0</v>
      </c>
      <c r="Y51" s="561"/>
      <c r="Z51" s="561"/>
      <c r="AA51" s="562">
        <f t="shared" si="16"/>
        <v>0</v>
      </c>
      <c r="AB51" s="560" t="b">
        <f t="shared" si="17"/>
        <v>0</v>
      </c>
    </row>
    <row r="52" spans="1:28" ht="13.5" customHeight="1">
      <c r="A52" s="561"/>
      <c r="B52" s="561"/>
      <c r="C52" s="562">
        <f t="shared" si="9"/>
        <v>0</v>
      </c>
      <c r="D52" s="561"/>
      <c r="E52" s="561"/>
      <c r="F52" s="562">
        <f t="shared" si="10"/>
        <v>0</v>
      </c>
      <c r="H52" s="561"/>
      <c r="I52" s="561"/>
      <c r="J52" s="562">
        <f t="shared" si="11"/>
        <v>0</v>
      </c>
      <c r="K52" s="561"/>
      <c r="L52" s="561"/>
      <c r="M52" s="562">
        <f t="shared" si="12"/>
        <v>0</v>
      </c>
      <c r="O52" s="561"/>
      <c r="P52" s="561"/>
      <c r="Q52" s="562">
        <f t="shared" si="13"/>
        <v>0</v>
      </c>
      <c r="R52" s="561"/>
      <c r="S52" s="563"/>
      <c r="T52" s="562">
        <f t="shared" si="14"/>
        <v>0</v>
      </c>
      <c r="V52" s="561"/>
      <c r="W52" s="561"/>
      <c r="X52" s="562">
        <f t="shared" si="15"/>
        <v>0</v>
      </c>
      <c r="Y52" s="561"/>
      <c r="Z52" s="561"/>
      <c r="AA52" s="562">
        <f t="shared" si="16"/>
        <v>0</v>
      </c>
      <c r="AB52" s="560" t="b">
        <f t="shared" si="17"/>
        <v>0</v>
      </c>
    </row>
    <row r="53" spans="1:28" ht="13.5" customHeight="1">
      <c r="A53" s="563"/>
      <c r="B53" s="563"/>
      <c r="C53" s="564">
        <f t="shared" si="9"/>
        <v>0</v>
      </c>
      <c r="D53" s="563"/>
      <c r="E53" s="563"/>
      <c r="F53" s="564">
        <f t="shared" si="10"/>
        <v>0</v>
      </c>
      <c r="H53" s="563"/>
      <c r="I53" s="563"/>
      <c r="J53" s="564">
        <f t="shared" si="11"/>
        <v>0</v>
      </c>
      <c r="K53" s="563"/>
      <c r="L53" s="563"/>
      <c r="M53" s="564">
        <f t="shared" si="12"/>
        <v>0</v>
      </c>
      <c r="O53" s="563"/>
      <c r="P53" s="563"/>
      <c r="Q53" s="564">
        <f t="shared" si="13"/>
        <v>0</v>
      </c>
      <c r="R53" s="563"/>
      <c r="S53" s="563"/>
      <c r="T53" s="564">
        <f t="shared" si="14"/>
        <v>0</v>
      </c>
      <c r="V53" s="563"/>
      <c r="W53" s="563"/>
      <c r="X53" s="564">
        <f t="shared" si="15"/>
        <v>0</v>
      </c>
      <c r="Y53" s="563"/>
      <c r="Z53" s="563"/>
      <c r="AA53" s="564">
        <f t="shared" si="16"/>
        <v>0</v>
      </c>
      <c r="AB53" s="560" t="b">
        <f t="shared" si="17"/>
        <v>0</v>
      </c>
    </row>
    <row r="54" spans="1:28" ht="13.5" customHeight="1">
      <c r="A54" s="546" t="s">
        <v>1048</v>
      </c>
      <c r="B54" s="543"/>
      <c r="C54" s="545"/>
      <c r="D54" s="3330"/>
      <c r="E54" s="3330"/>
      <c r="F54" s="3330"/>
      <c r="H54" s="546" t="s">
        <v>1048</v>
      </c>
      <c r="I54" s="543"/>
      <c r="J54" s="545"/>
      <c r="K54" s="3330"/>
      <c r="L54" s="3330"/>
      <c r="M54" s="3330"/>
      <c r="O54" s="546" t="s">
        <v>1048</v>
      </c>
      <c r="P54" s="543"/>
      <c r="Q54" s="545"/>
      <c r="R54" s="3330"/>
      <c r="S54" s="3330"/>
      <c r="T54" s="3330"/>
      <c r="V54" s="546" t="s">
        <v>1048</v>
      </c>
      <c r="W54" s="543"/>
      <c r="X54" s="545"/>
      <c r="Y54" s="3330"/>
      <c r="Z54" s="3330"/>
      <c r="AA54" s="3330"/>
      <c r="AB54" s="554" t="b">
        <f>AB59</f>
        <v>0</v>
      </c>
    </row>
    <row r="55" spans="1:28" ht="13.5" customHeight="1">
      <c r="A55" s="546" t="s">
        <v>1049</v>
      </c>
      <c r="B55" s="543"/>
      <c r="C55" s="545"/>
      <c r="D55" s="3331">
        <f>SUM(C36:C53,F36:F53)</f>
        <v>0</v>
      </c>
      <c r="E55" s="3331"/>
      <c r="F55" s="3331"/>
      <c r="H55" s="546" t="s">
        <v>1049</v>
      </c>
      <c r="I55" s="543"/>
      <c r="J55" s="545"/>
      <c r="K55" s="3331">
        <f>SUM(J36:J53,M36:M53)</f>
        <v>0</v>
      </c>
      <c r="L55" s="3331"/>
      <c r="M55" s="3331"/>
      <c r="O55" s="546" t="s">
        <v>1049</v>
      </c>
      <c r="P55" s="543"/>
      <c r="Q55" s="545"/>
      <c r="R55" s="3331">
        <f>SUM(Q36:Q53,T36:T53)</f>
        <v>0</v>
      </c>
      <c r="S55" s="3331"/>
      <c r="T55" s="3331"/>
      <c r="V55" s="546" t="s">
        <v>1049</v>
      </c>
      <c r="W55" s="543"/>
      <c r="X55" s="545"/>
      <c r="Y55" s="3331">
        <f>SUM(X36:X53,AA36:AA53)</f>
        <v>0</v>
      </c>
      <c r="Z55" s="3331"/>
      <c r="AA55" s="3331"/>
      <c r="AB55" s="554" t="b">
        <f>AB59</f>
        <v>0</v>
      </c>
    </row>
    <row r="56" spans="1:28" ht="13.5" customHeight="1">
      <c r="A56" s="546" t="s">
        <v>616</v>
      </c>
      <c r="B56" s="543"/>
      <c r="C56" s="545"/>
      <c r="D56" s="3332"/>
      <c r="E56" s="3332"/>
      <c r="F56" s="3332"/>
      <c r="H56" s="546" t="s">
        <v>616</v>
      </c>
      <c r="I56" s="543"/>
      <c r="J56" s="545"/>
      <c r="K56" s="3332"/>
      <c r="L56" s="3332"/>
      <c r="M56" s="3332"/>
      <c r="O56" s="546" t="s">
        <v>616</v>
      </c>
      <c r="P56" s="543"/>
      <c r="Q56" s="545"/>
      <c r="R56" s="3332"/>
      <c r="S56" s="3332"/>
      <c r="T56" s="3332"/>
      <c r="V56" s="546" t="s">
        <v>616</v>
      </c>
      <c r="W56" s="543"/>
      <c r="X56" s="545"/>
      <c r="Y56" s="3332"/>
      <c r="Z56" s="3332"/>
      <c r="AA56" s="3332"/>
      <c r="AB56" s="554" t="b">
        <f>AB59</f>
        <v>0</v>
      </c>
    </row>
    <row r="57" spans="1:28" ht="13.5" customHeight="1">
      <c r="A57" s="546" t="s">
        <v>617</v>
      </c>
      <c r="B57" s="543"/>
      <c r="C57" s="545"/>
      <c r="D57" s="3331">
        <f>D55-D56</f>
        <v>0</v>
      </c>
      <c r="E57" s="3331"/>
      <c r="F57" s="3331"/>
      <c r="H57" s="546" t="s">
        <v>617</v>
      </c>
      <c r="I57" s="543"/>
      <c r="J57" s="545"/>
      <c r="K57" s="3331">
        <f>K55-K56</f>
        <v>0</v>
      </c>
      <c r="L57" s="3331"/>
      <c r="M57" s="3331"/>
      <c r="O57" s="546" t="s">
        <v>617</v>
      </c>
      <c r="P57" s="543"/>
      <c r="Q57" s="545"/>
      <c r="R57" s="3331">
        <f>R55-R56</f>
        <v>0</v>
      </c>
      <c r="S57" s="3331"/>
      <c r="T57" s="3331"/>
      <c r="V57" s="546" t="s">
        <v>617</v>
      </c>
      <c r="W57" s="543"/>
      <c r="X57" s="545"/>
      <c r="Y57" s="3331">
        <f>Y55-Y56</f>
        <v>0</v>
      </c>
      <c r="Z57" s="3331"/>
      <c r="AA57" s="3331"/>
      <c r="AB57" s="554" t="b">
        <f>AB59</f>
        <v>0</v>
      </c>
    </row>
    <row r="58" spans="1:28" ht="13.5" customHeight="1">
      <c r="A58" s="546" t="s">
        <v>618</v>
      </c>
      <c r="B58" s="543"/>
      <c r="C58" s="545"/>
      <c r="D58" s="3342"/>
      <c r="E58" s="3342"/>
      <c r="F58" s="3342"/>
      <c r="H58" s="546" t="s">
        <v>618</v>
      </c>
      <c r="I58" s="543"/>
      <c r="J58" s="545"/>
      <c r="K58" s="3342"/>
      <c r="L58" s="3342"/>
      <c r="M58" s="3342"/>
      <c r="O58" s="546" t="s">
        <v>618</v>
      </c>
      <c r="P58" s="543"/>
      <c r="Q58" s="545"/>
      <c r="R58" s="3342"/>
      <c r="S58" s="3342"/>
      <c r="T58" s="3342"/>
      <c r="V58" s="546" t="s">
        <v>618</v>
      </c>
      <c r="W58" s="543"/>
      <c r="X58" s="545"/>
      <c r="Y58" s="3342"/>
      <c r="Z58" s="3342"/>
      <c r="AA58" s="3342"/>
      <c r="AB58" s="554" t="b">
        <f>AB59</f>
        <v>0</v>
      </c>
    </row>
    <row r="59" spans="1:28" ht="13.5" customHeight="1">
      <c r="A59" s="546" t="s">
        <v>619</v>
      </c>
      <c r="B59" s="543"/>
      <c r="C59" s="545"/>
      <c r="D59" s="3341">
        <f>D57*D58</f>
        <v>0</v>
      </c>
      <c r="E59" s="3341"/>
      <c r="F59" s="3341"/>
      <c r="H59" s="546" t="s">
        <v>619</v>
      </c>
      <c r="I59" s="543"/>
      <c r="J59" s="545"/>
      <c r="K59" s="3341">
        <f>K57*K58</f>
        <v>0</v>
      </c>
      <c r="L59" s="3341"/>
      <c r="M59" s="3341"/>
      <c r="O59" s="546" t="s">
        <v>619</v>
      </c>
      <c r="P59" s="543"/>
      <c r="Q59" s="545"/>
      <c r="R59" s="3341">
        <f>R57*R58</f>
        <v>0</v>
      </c>
      <c r="S59" s="3341"/>
      <c r="T59" s="3341"/>
      <c r="V59" s="546" t="s">
        <v>619</v>
      </c>
      <c r="W59" s="543"/>
      <c r="X59" s="545"/>
      <c r="Y59" s="3341">
        <f>Y57*Y58</f>
        <v>0</v>
      </c>
      <c r="Z59" s="3341"/>
      <c r="AA59" s="3341"/>
      <c r="AB59" s="554" t="b">
        <f>SUM(A59:AA59)&lt;&gt;0</f>
        <v>0</v>
      </c>
    </row>
    <row r="60" spans="1:28" s="565" customFormat="1" ht="13.5" customHeight="1">
      <c r="B60" s="547"/>
      <c r="C60" s="547"/>
      <c r="D60" s="20"/>
      <c r="E60" s="20"/>
      <c r="F60" s="20"/>
      <c r="I60" s="547"/>
      <c r="J60" s="547"/>
      <c r="K60" s="20"/>
      <c r="L60" s="20"/>
      <c r="M60" s="20"/>
      <c r="P60" s="547"/>
      <c r="Q60" s="547"/>
      <c r="R60" s="20"/>
      <c r="S60" s="20"/>
      <c r="T60" s="20"/>
      <c r="W60" s="547"/>
      <c r="X60" s="547"/>
      <c r="Y60" s="20"/>
      <c r="Z60" s="20"/>
      <c r="AA60" s="20"/>
      <c r="AB60" s="565" t="b">
        <v>1</v>
      </c>
    </row>
    <row r="61" spans="1:28" s="565" customFormat="1" ht="13.5" customHeight="1" thickBot="1">
      <c r="B61" s="547"/>
      <c r="C61" s="547"/>
      <c r="D61" s="20"/>
      <c r="E61" s="20"/>
      <c r="F61" s="20"/>
      <c r="I61" s="547"/>
      <c r="J61" s="547"/>
      <c r="K61" s="20"/>
      <c r="L61" s="20"/>
      <c r="M61" s="20"/>
      <c r="P61" s="547"/>
      <c r="Q61" s="547"/>
      <c r="R61" s="20"/>
      <c r="S61" s="20"/>
      <c r="T61" s="20"/>
      <c r="W61" s="547"/>
      <c r="X61" s="547"/>
      <c r="Y61" s="20"/>
      <c r="Z61" s="20"/>
      <c r="AA61" s="20"/>
      <c r="AB61" s="565" t="b">
        <v>1</v>
      </c>
    </row>
    <row r="62" spans="1:28" ht="13.5" customHeight="1" thickBot="1">
      <c r="A62" s="3346" t="s">
        <v>2274</v>
      </c>
      <c r="B62" s="3338"/>
      <c r="C62" s="3339">
        <f>SUMIF(A65:AA65,"*",A82:AA82)+SUMIF(A86:AA86,"*",A103:AA103)+SUMIF(A107:AA107,"*",A124:AA124)+SUMIF(A128:AA128,"*",A145:AA145)-SUMIF(A65:AA65,"無し",A82:AA82)-SUMIF(A86:AA86,"無し",A103:AA103)-SUMIF(A107:AA107,"無し",A124:AA124)-SUMIF(A128:AA128,"無し",A145:AA145)</f>
        <v>0</v>
      </c>
      <c r="D62" s="3340"/>
      <c r="AB62" s="554" t="b">
        <v>1</v>
      </c>
    </row>
    <row r="63" spans="1:28" ht="13.5" customHeight="1">
      <c r="AB63" s="554" t="b">
        <v>1</v>
      </c>
    </row>
    <row r="64" spans="1:28" ht="13.5" customHeight="1">
      <c r="A64" s="566" t="s">
        <v>620</v>
      </c>
      <c r="B64" s="3324"/>
      <c r="C64" s="3324"/>
      <c r="D64" s="3324"/>
      <c r="E64" s="3324"/>
      <c r="F64" s="3324"/>
      <c r="G64" s="3324"/>
      <c r="H64" s="3324"/>
      <c r="I64" s="3324"/>
      <c r="J64" s="3324"/>
      <c r="K64" s="3324"/>
      <c r="L64" s="3324"/>
      <c r="M64" s="3324"/>
      <c r="N64" s="3324"/>
      <c r="O64" s="3324"/>
      <c r="P64" s="3324"/>
      <c r="Q64" s="3324"/>
      <c r="R64" s="3324"/>
      <c r="S64" s="3324"/>
      <c r="T64" s="3324"/>
      <c r="U64" s="3324"/>
      <c r="V64" s="3324"/>
      <c r="W64" s="3324"/>
      <c r="X64" s="3324"/>
      <c r="Y64" s="3324"/>
      <c r="Z64" s="3324"/>
      <c r="AA64" s="3324"/>
      <c r="AB64" s="554" t="b">
        <f>OR(COUNTA(B64:AA64)&lt;&gt;0,AB82)</f>
        <v>0</v>
      </c>
    </row>
    <row r="65" spans="1:28" ht="13.5" customHeight="1">
      <c r="A65" s="566" t="s">
        <v>621</v>
      </c>
      <c r="B65" s="3325"/>
      <c r="C65" s="3325"/>
      <c r="D65" s="3325"/>
      <c r="E65" s="3325"/>
      <c r="F65" s="3325"/>
      <c r="G65" s="3325"/>
      <c r="H65" s="3325"/>
      <c r="I65" s="3325"/>
      <c r="J65" s="3325"/>
      <c r="K65" s="3325"/>
      <c r="L65" s="3325"/>
      <c r="M65" s="3325"/>
      <c r="N65" s="3325"/>
      <c r="O65" s="3325"/>
      <c r="P65" s="3325"/>
      <c r="Q65" s="3325"/>
      <c r="R65" s="3325"/>
      <c r="S65" s="3325"/>
      <c r="T65" s="3325"/>
      <c r="U65" s="3325"/>
      <c r="V65" s="3325"/>
      <c r="W65" s="3325"/>
      <c r="X65" s="3325"/>
      <c r="Y65" s="3325"/>
      <c r="Z65" s="3325"/>
      <c r="AA65" s="3325"/>
      <c r="AB65" s="554" t="b">
        <f>OR(COUNTA(B65:AA65)&lt;&gt;0,AB82)</f>
        <v>0</v>
      </c>
    </row>
    <row r="66" spans="1:28" ht="13.5" customHeight="1">
      <c r="A66" s="1960" t="s">
        <v>1976</v>
      </c>
      <c r="B66" s="3326"/>
      <c r="C66" s="3326"/>
      <c r="D66" s="3326"/>
      <c r="E66" s="3326"/>
      <c r="F66" s="3326"/>
      <c r="G66" s="3326"/>
      <c r="H66" s="3326"/>
      <c r="I66" s="3326"/>
      <c r="J66" s="3326"/>
      <c r="K66" s="3326"/>
      <c r="L66" s="3326"/>
      <c r="M66" s="3326"/>
      <c r="N66" s="3326"/>
      <c r="O66" s="3326"/>
      <c r="P66" s="3326"/>
      <c r="Q66" s="3326"/>
      <c r="R66" s="3326"/>
      <c r="S66" s="3326"/>
      <c r="T66" s="3326"/>
      <c r="U66" s="3326"/>
      <c r="V66" s="3326"/>
      <c r="W66" s="3326"/>
      <c r="X66" s="3326"/>
      <c r="Y66" s="3326"/>
      <c r="Z66" s="3326"/>
      <c r="AA66" s="3326"/>
      <c r="AB66" s="554" t="b">
        <f t="shared" ref="AB66:AB81" si="18">COUNTA(B66:AA66)&lt;&gt;0</f>
        <v>0</v>
      </c>
    </row>
    <row r="67" spans="1:28" ht="13.5" customHeight="1">
      <c r="A67" s="1961" t="s">
        <v>1977</v>
      </c>
      <c r="B67" s="3322"/>
      <c r="C67" s="3322"/>
      <c r="D67" s="3322"/>
      <c r="E67" s="3322"/>
      <c r="F67" s="3322"/>
      <c r="G67" s="3322"/>
      <c r="H67" s="3322"/>
      <c r="I67" s="3322"/>
      <c r="J67" s="3322"/>
      <c r="K67" s="3322"/>
      <c r="L67" s="3322"/>
      <c r="M67" s="3322"/>
      <c r="N67" s="3322"/>
      <c r="O67" s="3322"/>
      <c r="P67" s="3322"/>
      <c r="Q67" s="3322"/>
      <c r="R67" s="3322"/>
      <c r="S67" s="3322"/>
      <c r="T67" s="3322"/>
      <c r="U67" s="3322"/>
      <c r="V67" s="3322"/>
      <c r="W67" s="3322"/>
      <c r="X67" s="3322"/>
      <c r="Y67" s="3322"/>
      <c r="Z67" s="3322"/>
      <c r="AA67" s="3322"/>
      <c r="AB67" s="554" t="b">
        <f t="shared" ref="AB67" si="19">COUNTA(B67:AA67)&lt;&gt;0</f>
        <v>0</v>
      </c>
    </row>
    <row r="68" spans="1:28" ht="13.5" customHeight="1">
      <c r="A68" s="567" t="s">
        <v>622</v>
      </c>
      <c r="B68" s="3327"/>
      <c r="C68" s="3327"/>
      <c r="D68" s="3327"/>
      <c r="E68" s="3327"/>
      <c r="F68" s="3327"/>
      <c r="G68" s="3327"/>
      <c r="H68" s="3327"/>
      <c r="I68" s="3327"/>
      <c r="J68" s="3327"/>
      <c r="K68" s="3327"/>
      <c r="L68" s="3327"/>
      <c r="M68" s="3327"/>
      <c r="N68" s="3327"/>
      <c r="O68" s="3327"/>
      <c r="P68" s="3327"/>
      <c r="Q68" s="3327"/>
      <c r="R68" s="3327"/>
      <c r="S68" s="3327"/>
      <c r="T68" s="3327"/>
      <c r="U68" s="3327"/>
      <c r="V68" s="3327"/>
      <c r="W68" s="3327"/>
      <c r="X68" s="3327"/>
      <c r="Y68" s="3327"/>
      <c r="Z68" s="3327"/>
      <c r="AA68" s="3327"/>
      <c r="AB68" s="554" t="b">
        <f t="shared" si="18"/>
        <v>0</v>
      </c>
    </row>
    <row r="69" spans="1:28" ht="13.5" customHeight="1">
      <c r="A69" s="567"/>
      <c r="B69" s="3323"/>
      <c r="C69" s="3323"/>
      <c r="D69" s="3323"/>
      <c r="E69" s="3323"/>
      <c r="F69" s="3323"/>
      <c r="G69" s="3323"/>
      <c r="H69" s="3323"/>
      <c r="I69" s="3323"/>
      <c r="J69" s="3323"/>
      <c r="K69" s="3323"/>
      <c r="L69" s="3323"/>
      <c r="M69" s="3323"/>
      <c r="N69" s="3323"/>
      <c r="O69" s="3323"/>
      <c r="P69" s="3323"/>
      <c r="Q69" s="3323"/>
      <c r="R69" s="3323"/>
      <c r="S69" s="3323"/>
      <c r="T69" s="3323"/>
      <c r="U69" s="3323"/>
      <c r="V69" s="3323"/>
      <c r="W69" s="3323"/>
      <c r="X69" s="3323"/>
      <c r="Y69" s="3323"/>
      <c r="Z69" s="3323"/>
      <c r="AA69" s="3323"/>
      <c r="AB69" s="554" t="b">
        <f t="shared" si="18"/>
        <v>0</v>
      </c>
    </row>
    <row r="70" spans="1:28" ht="13.5" customHeight="1">
      <c r="A70" s="567"/>
      <c r="B70" s="3323"/>
      <c r="C70" s="3323"/>
      <c r="D70" s="3323"/>
      <c r="E70" s="3323"/>
      <c r="F70" s="3323"/>
      <c r="G70" s="3323"/>
      <c r="H70" s="3323"/>
      <c r="I70" s="3323"/>
      <c r="J70" s="3323"/>
      <c r="K70" s="3323"/>
      <c r="L70" s="3323"/>
      <c r="M70" s="3323"/>
      <c r="N70" s="3323"/>
      <c r="O70" s="3323"/>
      <c r="P70" s="3323"/>
      <c r="Q70" s="3323"/>
      <c r="R70" s="3323"/>
      <c r="S70" s="3323"/>
      <c r="T70" s="3323"/>
      <c r="U70" s="3323"/>
      <c r="V70" s="3323"/>
      <c r="W70" s="3323"/>
      <c r="X70" s="3323"/>
      <c r="Y70" s="3323"/>
      <c r="Z70" s="3323"/>
      <c r="AA70" s="3323"/>
      <c r="AB70" s="554" t="b">
        <f t="shared" si="18"/>
        <v>0</v>
      </c>
    </row>
    <row r="71" spans="1:28" ht="13.5" customHeight="1">
      <c r="A71" s="567"/>
      <c r="B71" s="3323"/>
      <c r="C71" s="3323"/>
      <c r="D71" s="3323"/>
      <c r="E71" s="3323"/>
      <c r="F71" s="3323"/>
      <c r="G71" s="3323"/>
      <c r="H71" s="3323"/>
      <c r="I71" s="3323"/>
      <c r="J71" s="3323"/>
      <c r="K71" s="3323"/>
      <c r="L71" s="3323"/>
      <c r="M71" s="3323"/>
      <c r="N71" s="3323"/>
      <c r="O71" s="3323"/>
      <c r="P71" s="3323"/>
      <c r="Q71" s="3323"/>
      <c r="R71" s="3323"/>
      <c r="S71" s="3323"/>
      <c r="T71" s="3329"/>
      <c r="U71" s="3329"/>
      <c r="V71" s="3323"/>
      <c r="W71" s="3323"/>
      <c r="X71" s="3323"/>
      <c r="Y71" s="3323"/>
      <c r="Z71" s="3323"/>
      <c r="AA71" s="3323"/>
      <c r="AB71" s="554" t="b">
        <f t="shared" ref="AB71" si="20">COUNTA(B71:AA71)&lt;&gt;0</f>
        <v>0</v>
      </c>
    </row>
    <row r="72" spans="1:28" ht="13.5" customHeight="1">
      <c r="A72" s="567"/>
      <c r="B72" s="3323"/>
      <c r="C72" s="3323"/>
      <c r="D72" s="3323"/>
      <c r="E72" s="3323"/>
      <c r="F72" s="3323"/>
      <c r="G72" s="3323"/>
      <c r="H72" s="3323"/>
      <c r="I72" s="3323"/>
      <c r="J72" s="3323"/>
      <c r="K72" s="3323"/>
      <c r="L72" s="3323"/>
      <c r="M72" s="3323"/>
      <c r="N72" s="3323"/>
      <c r="O72" s="3323"/>
      <c r="P72" s="3323"/>
      <c r="Q72" s="3323"/>
      <c r="R72" s="3323"/>
      <c r="S72" s="3323"/>
      <c r="T72" s="3329"/>
      <c r="U72" s="3329"/>
      <c r="V72" s="3323"/>
      <c r="W72" s="3323"/>
      <c r="X72" s="3323"/>
      <c r="Y72" s="3323"/>
      <c r="Z72" s="3323"/>
      <c r="AA72" s="3323"/>
      <c r="AB72" s="554" t="b">
        <f t="shared" si="18"/>
        <v>0</v>
      </c>
    </row>
    <row r="73" spans="1:28" ht="13.5" customHeight="1">
      <c r="A73" s="567"/>
      <c r="B73" s="3323"/>
      <c r="C73" s="3323"/>
      <c r="D73" s="3323"/>
      <c r="E73" s="3323"/>
      <c r="F73" s="3323"/>
      <c r="G73" s="3323"/>
      <c r="H73" s="3323"/>
      <c r="I73" s="3323"/>
      <c r="J73" s="3323"/>
      <c r="K73" s="3323"/>
      <c r="L73" s="3323"/>
      <c r="M73" s="3323"/>
      <c r="N73" s="3323"/>
      <c r="O73" s="3323"/>
      <c r="P73" s="3323"/>
      <c r="Q73" s="3323"/>
      <c r="R73" s="3323"/>
      <c r="S73" s="3323"/>
      <c r="T73" s="3329"/>
      <c r="U73" s="3329"/>
      <c r="V73" s="3323"/>
      <c r="W73" s="3323"/>
      <c r="X73" s="3323"/>
      <c r="Y73" s="3323"/>
      <c r="Z73" s="3323"/>
      <c r="AA73" s="3323"/>
      <c r="AB73" s="554" t="b">
        <f t="shared" si="18"/>
        <v>0</v>
      </c>
    </row>
    <row r="74" spans="1:28" ht="13.5" customHeight="1">
      <c r="A74" s="567"/>
      <c r="B74" s="3323"/>
      <c r="C74" s="3323"/>
      <c r="D74" s="3323"/>
      <c r="E74" s="3323"/>
      <c r="F74" s="3323"/>
      <c r="G74" s="3323"/>
      <c r="H74" s="3323"/>
      <c r="I74" s="3323"/>
      <c r="J74" s="3323"/>
      <c r="K74" s="3323"/>
      <c r="L74" s="3323"/>
      <c r="M74" s="3323"/>
      <c r="N74" s="3323"/>
      <c r="O74" s="3323"/>
      <c r="P74" s="3323"/>
      <c r="Q74" s="3323"/>
      <c r="R74" s="3323"/>
      <c r="S74" s="3323"/>
      <c r="T74" s="3329"/>
      <c r="U74" s="3329"/>
      <c r="V74" s="3323"/>
      <c r="W74" s="3323"/>
      <c r="X74" s="3323"/>
      <c r="Y74" s="3323"/>
      <c r="Z74" s="3323"/>
      <c r="AA74" s="3323"/>
      <c r="AB74" s="554" t="b">
        <f t="shared" si="18"/>
        <v>0</v>
      </c>
    </row>
    <row r="75" spans="1:28" ht="13.5" customHeight="1">
      <c r="A75" s="567"/>
      <c r="B75" s="3329"/>
      <c r="C75" s="3329"/>
      <c r="D75" s="3329"/>
      <c r="E75" s="3329"/>
      <c r="F75" s="3329"/>
      <c r="G75" s="3329"/>
      <c r="H75" s="3329"/>
      <c r="I75" s="3329"/>
      <c r="J75" s="3329"/>
      <c r="K75" s="3329"/>
      <c r="L75" s="3329"/>
      <c r="M75" s="3329"/>
      <c r="N75" s="3329"/>
      <c r="O75" s="3329"/>
      <c r="P75" s="3329"/>
      <c r="Q75" s="3329"/>
      <c r="R75" s="3329"/>
      <c r="S75" s="3329"/>
      <c r="T75" s="3329"/>
      <c r="U75" s="3329"/>
      <c r="V75" s="3329"/>
      <c r="W75" s="3329"/>
      <c r="X75" s="3329"/>
      <c r="Y75" s="3329"/>
      <c r="Z75" s="3329"/>
      <c r="AA75" s="3329"/>
      <c r="AB75" s="554" t="b">
        <f t="shared" si="18"/>
        <v>0</v>
      </c>
    </row>
    <row r="76" spans="1:28" ht="13.5" customHeight="1">
      <c r="A76" s="568" t="s">
        <v>623</v>
      </c>
      <c r="B76" s="3336"/>
      <c r="C76" s="3336"/>
      <c r="D76" s="3336"/>
      <c r="E76" s="3336"/>
      <c r="F76" s="3336"/>
      <c r="G76" s="3336"/>
      <c r="H76" s="3336"/>
      <c r="I76" s="3336"/>
      <c r="J76" s="3336"/>
      <c r="K76" s="3336"/>
      <c r="L76" s="3336"/>
      <c r="M76" s="3336"/>
      <c r="N76" s="3336"/>
      <c r="O76" s="3336"/>
      <c r="P76" s="3336"/>
      <c r="Q76" s="3336"/>
      <c r="R76" s="3336"/>
      <c r="S76" s="3336"/>
      <c r="T76" s="3336"/>
      <c r="U76" s="3336"/>
      <c r="V76" s="3336"/>
      <c r="W76" s="3336"/>
      <c r="X76" s="3336"/>
      <c r="Y76" s="3336"/>
      <c r="Z76" s="3336"/>
      <c r="AA76" s="3336"/>
      <c r="AB76" s="554" t="b">
        <f t="shared" si="18"/>
        <v>0</v>
      </c>
    </row>
    <row r="77" spans="1:28" ht="13.5" customHeight="1">
      <c r="A77" s="569" t="s">
        <v>624</v>
      </c>
      <c r="B77" s="3329"/>
      <c r="C77" s="3329"/>
      <c r="D77" s="3329"/>
      <c r="E77" s="3329"/>
      <c r="F77" s="3329"/>
      <c r="G77" s="3329"/>
      <c r="H77" s="3329"/>
      <c r="I77" s="3329"/>
      <c r="J77" s="3329"/>
      <c r="K77" s="3329"/>
      <c r="L77" s="3329"/>
      <c r="M77" s="3329"/>
      <c r="N77" s="3329"/>
      <c r="O77" s="3329"/>
      <c r="P77" s="3329"/>
      <c r="Q77" s="3329"/>
      <c r="R77" s="3329"/>
      <c r="S77" s="3329"/>
      <c r="T77" s="3329"/>
      <c r="U77" s="3329"/>
      <c r="V77" s="3329"/>
      <c r="W77" s="3329"/>
      <c r="X77" s="3329"/>
      <c r="Y77" s="3329"/>
      <c r="Z77" s="3329"/>
      <c r="AA77" s="3329"/>
      <c r="AB77" s="554" t="b">
        <f t="shared" si="18"/>
        <v>0</v>
      </c>
    </row>
    <row r="78" spans="1:28" ht="13.5" customHeight="1">
      <c r="A78" s="568" t="s">
        <v>625</v>
      </c>
      <c r="B78" s="3335"/>
      <c r="C78" s="3335"/>
      <c r="D78" s="3335"/>
      <c r="E78" s="3335"/>
      <c r="F78" s="3335"/>
      <c r="G78" s="3335"/>
      <c r="H78" s="3335"/>
      <c r="I78" s="3335"/>
      <c r="J78" s="3335"/>
      <c r="K78" s="3335"/>
      <c r="L78" s="3335"/>
      <c r="M78" s="3335"/>
      <c r="N78" s="3335"/>
      <c r="O78" s="3335"/>
      <c r="P78" s="3335"/>
      <c r="Q78" s="3335"/>
      <c r="R78" s="3335"/>
      <c r="S78" s="3335"/>
      <c r="T78" s="3335"/>
      <c r="U78" s="3335"/>
      <c r="V78" s="3335"/>
      <c r="W78" s="3335"/>
      <c r="X78" s="3335"/>
      <c r="Y78" s="3335"/>
      <c r="Z78" s="3335"/>
      <c r="AA78" s="3335"/>
      <c r="AB78" s="554" t="b">
        <f t="shared" si="18"/>
        <v>0</v>
      </c>
    </row>
    <row r="79" spans="1:28" ht="13.5" customHeight="1">
      <c r="A79" s="569" t="s">
        <v>626</v>
      </c>
      <c r="B79" s="3334"/>
      <c r="C79" s="3334"/>
      <c r="D79" s="3334"/>
      <c r="E79" s="3334"/>
      <c r="F79" s="3334"/>
      <c r="G79" s="3334"/>
      <c r="H79" s="3334"/>
      <c r="I79" s="3334"/>
      <c r="J79" s="3334"/>
      <c r="K79" s="3334"/>
      <c r="L79" s="3334"/>
      <c r="M79" s="3334"/>
      <c r="N79" s="3334"/>
      <c r="O79" s="3334"/>
      <c r="P79" s="3334"/>
      <c r="Q79" s="3334"/>
      <c r="R79" s="3334"/>
      <c r="S79" s="3334"/>
      <c r="T79" s="3334"/>
      <c r="U79" s="3334"/>
      <c r="V79" s="3334"/>
      <c r="W79" s="3334"/>
      <c r="X79" s="3334"/>
      <c r="Y79" s="3334"/>
      <c r="Z79" s="3334"/>
      <c r="AA79" s="3334"/>
      <c r="AB79" s="554" t="b">
        <f t="shared" si="18"/>
        <v>0</v>
      </c>
    </row>
    <row r="80" spans="1:28" ht="13.5" customHeight="1">
      <c r="A80" s="568" t="s">
        <v>627</v>
      </c>
      <c r="B80" s="3333"/>
      <c r="C80" s="3333"/>
      <c r="D80" s="3333"/>
      <c r="E80" s="3333"/>
      <c r="F80" s="3333"/>
      <c r="G80" s="3333"/>
      <c r="H80" s="3333"/>
      <c r="I80" s="3333"/>
      <c r="J80" s="3333"/>
      <c r="K80" s="3333"/>
      <c r="L80" s="3333"/>
      <c r="M80" s="3333"/>
      <c r="N80" s="3333"/>
      <c r="O80" s="3333"/>
      <c r="P80" s="3333"/>
      <c r="Q80" s="3333"/>
      <c r="R80" s="3333"/>
      <c r="S80" s="3333"/>
      <c r="T80" s="3333"/>
      <c r="U80" s="3333"/>
      <c r="V80" s="3333"/>
      <c r="W80" s="3333"/>
      <c r="X80" s="3333"/>
      <c r="Y80" s="3333"/>
      <c r="Z80" s="3333"/>
      <c r="AA80" s="3333"/>
      <c r="AB80" s="554" t="b">
        <f t="shared" si="18"/>
        <v>0</v>
      </c>
    </row>
    <row r="81" spans="1:28" ht="13.5" customHeight="1">
      <c r="A81" s="569" t="s">
        <v>628</v>
      </c>
      <c r="B81" s="3328"/>
      <c r="C81" s="3328"/>
      <c r="D81" s="3328"/>
      <c r="E81" s="3328"/>
      <c r="F81" s="3328"/>
      <c r="G81" s="3328"/>
      <c r="H81" s="3328"/>
      <c r="I81" s="3328"/>
      <c r="J81" s="3328"/>
      <c r="K81" s="3328"/>
      <c r="L81" s="3328"/>
      <c r="M81" s="3328"/>
      <c r="N81" s="3328"/>
      <c r="O81" s="3328"/>
      <c r="P81" s="3328"/>
      <c r="Q81" s="3328"/>
      <c r="R81" s="3328"/>
      <c r="S81" s="3328"/>
      <c r="T81" s="3328"/>
      <c r="U81" s="3328"/>
      <c r="V81" s="3328"/>
      <c r="W81" s="3328"/>
      <c r="X81" s="3328"/>
      <c r="Y81" s="3328"/>
      <c r="Z81" s="3328"/>
      <c r="AA81" s="3328"/>
      <c r="AB81" s="554" t="b">
        <f t="shared" si="18"/>
        <v>0</v>
      </c>
    </row>
    <row r="82" spans="1:28" ht="13.5" customHeight="1">
      <c r="A82" s="566" t="s">
        <v>1069</v>
      </c>
      <c r="B82" s="3271">
        <f>ROUNDDOWN((SUM(B68:C75)*B76-B78)*B80+(SUM(B68:C75)*B77-B79)*B81,2)</f>
        <v>0</v>
      </c>
      <c r="C82" s="3273"/>
      <c r="D82" s="3271">
        <f>ROUNDDOWN((SUM(D68:E75)*D76-D78)*D80+(SUM(D68:E75)*D77-D79)*D81,2)</f>
        <v>0</v>
      </c>
      <c r="E82" s="3273"/>
      <c r="F82" s="3271">
        <f>ROUNDDOWN((SUM(F68:G75)*F76-F78)*F80+(SUM(F68:G75)*F77-F79)*F81,2)</f>
        <v>0</v>
      </c>
      <c r="G82" s="3273"/>
      <c r="H82" s="3271">
        <f>ROUNDDOWN((SUM(H68:I75)*H76-H78)*H80+(SUM(H68:I75)*H77-H79)*H81,2)</f>
        <v>0</v>
      </c>
      <c r="I82" s="3273"/>
      <c r="J82" s="3271">
        <f>ROUNDDOWN((SUM(J68:K75)*J76-J78)*J80+(SUM(J68:K75)*J77-J79)*J81,2)</f>
        <v>0</v>
      </c>
      <c r="K82" s="3273"/>
      <c r="L82" s="3271">
        <f>ROUNDDOWN((SUM(L68:M75)*L76-L78)*L80+(SUM(L68:M75)*L77-L79)*L81,2)</f>
        <v>0</v>
      </c>
      <c r="M82" s="3273"/>
      <c r="N82" s="3271">
        <f>ROUNDDOWN((SUM(N68:O75)*N76-N78)*N80+(SUM(N68:O75)*N77-N79)*N81,2)</f>
        <v>0</v>
      </c>
      <c r="O82" s="3273"/>
      <c r="P82" s="3271">
        <f>ROUNDDOWN((SUM(P68:Q75)*P76-P78)*P80+(SUM(P68:Q75)*P77-P79)*P81,2)</f>
        <v>0</v>
      </c>
      <c r="Q82" s="3273"/>
      <c r="R82" s="3271">
        <f>ROUNDDOWN((SUM(R68:S75)*R76-R78)*R80+(SUM(R68:S75)*R77-R79)*R81,2)</f>
        <v>0</v>
      </c>
      <c r="S82" s="3273"/>
      <c r="T82" s="3271">
        <f>ROUNDDOWN((SUM(T68:U75)*T76-T78)*T80+(SUM(T68:U75)*T77-T79)*T81,2)</f>
        <v>0</v>
      </c>
      <c r="U82" s="3273"/>
      <c r="V82" s="3271">
        <f>ROUNDDOWN((SUM(V68:W75)*V76-V78)*V80+(SUM(V68:W75)*V77-V79)*V81,2)</f>
        <v>0</v>
      </c>
      <c r="W82" s="3273"/>
      <c r="X82" s="3271">
        <f>ROUNDDOWN((SUM(X68:Y75)*X76-X78)*X80+(SUM(X68:Y75)*X77-X79)*X81,2)</f>
        <v>0</v>
      </c>
      <c r="Y82" s="3273"/>
      <c r="Z82" s="3271">
        <f>ROUNDDOWN((SUM(Z68:AA75)*Z76-Z78)*Z80+(SUM(Z68:AA75)*Z77-Z79)*Z81,2)</f>
        <v>0</v>
      </c>
      <c r="AA82" s="3273"/>
      <c r="AB82" s="570" t="b">
        <f>COUNTIF(B82:AA82,"&lt;&gt;0")-13&lt;&gt;0</f>
        <v>0</v>
      </c>
    </row>
    <row r="83" spans="1:28" ht="13.5" customHeight="1">
      <c r="AB83" s="554" t="b">
        <f>AB103</f>
        <v>0</v>
      </c>
    </row>
    <row r="84" spans="1:28" ht="13.5" customHeight="1">
      <c r="AB84" s="554" t="b">
        <f>AB103</f>
        <v>0</v>
      </c>
    </row>
    <row r="85" spans="1:28" ht="13.5" customHeight="1">
      <c r="A85" s="566" t="s">
        <v>620</v>
      </c>
      <c r="B85" s="3324"/>
      <c r="C85" s="3324"/>
      <c r="D85" s="3324"/>
      <c r="E85" s="3324"/>
      <c r="F85" s="3324"/>
      <c r="G85" s="3324"/>
      <c r="H85" s="3324"/>
      <c r="I85" s="3324"/>
      <c r="J85" s="3324"/>
      <c r="K85" s="3324"/>
      <c r="L85" s="3324"/>
      <c r="M85" s="3324"/>
      <c r="N85" s="3324"/>
      <c r="O85" s="3324"/>
      <c r="P85" s="3324"/>
      <c r="Q85" s="3324"/>
      <c r="R85" s="3324"/>
      <c r="S85" s="3324"/>
      <c r="T85" s="3324"/>
      <c r="U85" s="3324"/>
      <c r="V85" s="3324"/>
      <c r="W85" s="3324"/>
      <c r="X85" s="3324"/>
      <c r="Y85" s="3324"/>
      <c r="Z85" s="3324"/>
      <c r="AA85" s="3324"/>
      <c r="AB85" s="554" t="b">
        <f>OR(COUNTA(B85:AA85)&lt;&gt;0,AB103)</f>
        <v>0</v>
      </c>
    </row>
    <row r="86" spans="1:28" ht="13.5" customHeight="1">
      <c r="A86" s="566" t="s">
        <v>621</v>
      </c>
      <c r="B86" s="3325"/>
      <c r="C86" s="3325"/>
      <c r="D86" s="3325"/>
      <c r="E86" s="3325"/>
      <c r="F86" s="3325"/>
      <c r="G86" s="3325"/>
      <c r="H86" s="3325"/>
      <c r="I86" s="3325"/>
      <c r="J86" s="3325"/>
      <c r="K86" s="3325"/>
      <c r="L86" s="3325"/>
      <c r="M86" s="3325"/>
      <c r="N86" s="3325"/>
      <c r="O86" s="3325"/>
      <c r="P86" s="3325"/>
      <c r="Q86" s="3325"/>
      <c r="R86" s="3325"/>
      <c r="S86" s="3325"/>
      <c r="T86" s="3325"/>
      <c r="U86" s="3325"/>
      <c r="V86" s="3325"/>
      <c r="W86" s="3325"/>
      <c r="X86" s="3325"/>
      <c r="Y86" s="3325"/>
      <c r="Z86" s="3325"/>
      <c r="AA86" s="3325"/>
      <c r="AB86" s="554" t="b">
        <f>OR(COUNTA(B86:AA86)&lt;&gt;0,AB103)</f>
        <v>0</v>
      </c>
    </row>
    <row r="87" spans="1:28" ht="13.5" customHeight="1">
      <c r="A87" s="1960" t="s">
        <v>1976</v>
      </c>
      <c r="B87" s="3326"/>
      <c r="C87" s="3326"/>
      <c r="D87" s="3326"/>
      <c r="E87" s="3326"/>
      <c r="F87" s="3326"/>
      <c r="G87" s="3326"/>
      <c r="H87" s="3326"/>
      <c r="I87" s="3326"/>
      <c r="J87" s="3326"/>
      <c r="K87" s="3326"/>
      <c r="L87" s="3326"/>
      <c r="M87" s="3326"/>
      <c r="N87" s="3326"/>
      <c r="O87" s="3326"/>
      <c r="P87" s="3326"/>
      <c r="Q87" s="3326"/>
      <c r="R87" s="3326"/>
      <c r="S87" s="3326"/>
      <c r="T87" s="3326"/>
      <c r="U87" s="3326"/>
      <c r="V87" s="3326"/>
      <c r="W87" s="3326"/>
      <c r="X87" s="3326"/>
      <c r="Y87" s="3326"/>
      <c r="Z87" s="3326"/>
      <c r="AA87" s="3326"/>
      <c r="AB87" s="554" t="b">
        <f t="shared" ref="AB87:AB102" si="21">COUNTA(B87:AA87)&lt;&gt;0</f>
        <v>0</v>
      </c>
    </row>
    <row r="88" spans="1:28" ht="13.5" customHeight="1">
      <c r="A88" s="1961" t="s">
        <v>1977</v>
      </c>
      <c r="B88" s="3322"/>
      <c r="C88" s="3322"/>
      <c r="D88" s="3322"/>
      <c r="E88" s="3322"/>
      <c r="F88" s="3322"/>
      <c r="G88" s="3322"/>
      <c r="H88" s="3322"/>
      <c r="I88" s="3322"/>
      <c r="J88" s="3322"/>
      <c r="K88" s="3322"/>
      <c r="L88" s="3322"/>
      <c r="M88" s="3322"/>
      <c r="N88" s="3322"/>
      <c r="O88" s="3322"/>
      <c r="P88" s="3322"/>
      <c r="Q88" s="3322"/>
      <c r="R88" s="3322"/>
      <c r="S88" s="3322"/>
      <c r="T88" s="3322"/>
      <c r="U88" s="3322"/>
      <c r="V88" s="3322"/>
      <c r="W88" s="3322"/>
      <c r="X88" s="3322"/>
      <c r="Y88" s="3322"/>
      <c r="Z88" s="3322"/>
      <c r="AA88" s="3322"/>
      <c r="AB88" s="554" t="b">
        <f t="shared" si="21"/>
        <v>0</v>
      </c>
    </row>
    <row r="89" spans="1:28" ht="13.5" customHeight="1">
      <c r="A89" s="567" t="s">
        <v>622</v>
      </c>
      <c r="B89" s="3327"/>
      <c r="C89" s="3327"/>
      <c r="D89" s="3327"/>
      <c r="E89" s="3327"/>
      <c r="F89" s="3327"/>
      <c r="G89" s="3327"/>
      <c r="H89" s="3327"/>
      <c r="I89" s="3327"/>
      <c r="J89" s="3327"/>
      <c r="K89" s="3327"/>
      <c r="L89" s="3327"/>
      <c r="M89" s="3327"/>
      <c r="N89" s="3327"/>
      <c r="O89" s="3327"/>
      <c r="P89" s="3327"/>
      <c r="Q89" s="3327"/>
      <c r="R89" s="3327"/>
      <c r="S89" s="3327"/>
      <c r="T89" s="3327"/>
      <c r="U89" s="3327"/>
      <c r="V89" s="3327"/>
      <c r="W89" s="3327"/>
      <c r="X89" s="3327"/>
      <c r="Y89" s="3327"/>
      <c r="Z89" s="3327"/>
      <c r="AA89" s="3327"/>
      <c r="AB89" s="554" t="b">
        <f t="shared" si="21"/>
        <v>0</v>
      </c>
    </row>
    <row r="90" spans="1:28" ht="13.5" customHeight="1">
      <c r="A90" s="567"/>
      <c r="B90" s="3323"/>
      <c r="C90" s="3323"/>
      <c r="D90" s="3323"/>
      <c r="E90" s="3323"/>
      <c r="F90" s="3323"/>
      <c r="G90" s="3323"/>
      <c r="H90" s="3323"/>
      <c r="I90" s="3323"/>
      <c r="J90" s="3323"/>
      <c r="K90" s="3323"/>
      <c r="L90" s="3323"/>
      <c r="M90" s="3323"/>
      <c r="N90" s="3323"/>
      <c r="O90" s="3323"/>
      <c r="P90" s="3323"/>
      <c r="Q90" s="3323"/>
      <c r="R90" s="3323"/>
      <c r="S90" s="3323"/>
      <c r="T90" s="3323"/>
      <c r="U90" s="3323"/>
      <c r="V90" s="3323"/>
      <c r="W90" s="3323"/>
      <c r="X90" s="3323"/>
      <c r="Y90" s="3323"/>
      <c r="Z90" s="3323"/>
      <c r="AA90" s="3323"/>
      <c r="AB90" s="554" t="b">
        <f t="shared" si="21"/>
        <v>0</v>
      </c>
    </row>
    <row r="91" spans="1:28" ht="13.5" customHeight="1">
      <c r="A91" s="567"/>
      <c r="B91" s="3323"/>
      <c r="C91" s="3323"/>
      <c r="D91" s="3323"/>
      <c r="E91" s="3323"/>
      <c r="F91" s="3323"/>
      <c r="G91" s="3323"/>
      <c r="H91" s="3323"/>
      <c r="I91" s="3323"/>
      <c r="J91" s="3323"/>
      <c r="K91" s="3323"/>
      <c r="L91" s="3323"/>
      <c r="M91" s="3323"/>
      <c r="N91" s="3323"/>
      <c r="O91" s="3323"/>
      <c r="P91" s="3323"/>
      <c r="Q91" s="3323"/>
      <c r="R91" s="3323"/>
      <c r="S91" s="3323"/>
      <c r="T91" s="3323"/>
      <c r="U91" s="3323"/>
      <c r="V91" s="3323"/>
      <c r="W91" s="3323"/>
      <c r="X91" s="3323"/>
      <c r="Y91" s="3323"/>
      <c r="Z91" s="3323"/>
      <c r="AA91" s="3323"/>
      <c r="AB91" s="554" t="b">
        <f t="shared" ref="AB91" si="22">COUNTA(B91:AA91)&lt;&gt;0</f>
        <v>0</v>
      </c>
    </row>
    <row r="92" spans="1:28" ht="13.5" customHeight="1">
      <c r="A92" s="567"/>
      <c r="B92" s="3323"/>
      <c r="C92" s="3323"/>
      <c r="D92" s="3323"/>
      <c r="E92" s="3323"/>
      <c r="F92" s="3323"/>
      <c r="G92" s="3323"/>
      <c r="H92" s="3323"/>
      <c r="I92" s="3323"/>
      <c r="J92" s="3323"/>
      <c r="K92" s="3323"/>
      <c r="L92" s="3323"/>
      <c r="M92" s="3323"/>
      <c r="N92" s="3323"/>
      <c r="O92" s="3323"/>
      <c r="P92" s="3323"/>
      <c r="Q92" s="3323"/>
      <c r="R92" s="3323"/>
      <c r="S92" s="3323"/>
      <c r="T92" s="3323"/>
      <c r="U92" s="3323"/>
      <c r="V92" s="3323"/>
      <c r="W92" s="3323"/>
      <c r="X92" s="3323"/>
      <c r="Y92" s="3323"/>
      <c r="Z92" s="3323"/>
      <c r="AA92" s="3323"/>
      <c r="AB92" s="554" t="b">
        <f t="shared" si="21"/>
        <v>0</v>
      </c>
    </row>
    <row r="93" spans="1:28" ht="13.5" customHeight="1">
      <c r="A93" s="567"/>
      <c r="B93" s="3323"/>
      <c r="C93" s="3323"/>
      <c r="D93" s="3323"/>
      <c r="E93" s="3323"/>
      <c r="F93" s="3323"/>
      <c r="G93" s="3323"/>
      <c r="H93" s="3323"/>
      <c r="I93" s="3323"/>
      <c r="J93" s="3323"/>
      <c r="K93" s="3323"/>
      <c r="L93" s="3323"/>
      <c r="M93" s="3323"/>
      <c r="N93" s="3323"/>
      <c r="O93" s="3323"/>
      <c r="P93" s="3323"/>
      <c r="Q93" s="3323"/>
      <c r="R93" s="3323"/>
      <c r="S93" s="3323"/>
      <c r="T93" s="3323"/>
      <c r="U93" s="3323"/>
      <c r="V93" s="3323"/>
      <c r="W93" s="3323"/>
      <c r="X93" s="3323"/>
      <c r="Y93" s="3323"/>
      <c r="Z93" s="3323"/>
      <c r="AA93" s="3323"/>
      <c r="AB93" s="554" t="b">
        <f t="shared" si="21"/>
        <v>0</v>
      </c>
    </row>
    <row r="94" spans="1:28" ht="13.5" customHeight="1">
      <c r="A94" s="567"/>
      <c r="B94" s="3323"/>
      <c r="C94" s="3323"/>
      <c r="D94" s="3323"/>
      <c r="E94" s="3323"/>
      <c r="F94" s="3323"/>
      <c r="G94" s="3323"/>
      <c r="H94" s="3323"/>
      <c r="I94" s="3323"/>
      <c r="J94" s="3323"/>
      <c r="K94" s="3323"/>
      <c r="L94" s="3323"/>
      <c r="M94" s="3323"/>
      <c r="N94" s="3323"/>
      <c r="O94" s="3323"/>
      <c r="P94" s="3323"/>
      <c r="Q94" s="3323"/>
      <c r="R94" s="3323"/>
      <c r="S94" s="3323"/>
      <c r="T94" s="3323"/>
      <c r="U94" s="3323"/>
      <c r="V94" s="3323"/>
      <c r="W94" s="3323"/>
      <c r="X94" s="3323"/>
      <c r="Y94" s="3323"/>
      <c r="Z94" s="3323"/>
      <c r="AA94" s="3323"/>
      <c r="AB94" s="554" t="b">
        <f t="shared" si="21"/>
        <v>0</v>
      </c>
    </row>
    <row r="95" spans="1:28" ht="13.5" customHeight="1">
      <c r="A95" s="567"/>
      <c r="B95" s="3323"/>
      <c r="C95" s="3323"/>
      <c r="D95" s="3323"/>
      <c r="E95" s="3323"/>
      <c r="F95" s="3323"/>
      <c r="G95" s="3323"/>
      <c r="H95" s="3323"/>
      <c r="I95" s="3323"/>
      <c r="J95" s="3323"/>
      <c r="K95" s="3323"/>
      <c r="L95" s="3323"/>
      <c r="M95" s="3323"/>
      <c r="N95" s="3323"/>
      <c r="O95" s="3323"/>
      <c r="P95" s="3323"/>
      <c r="Q95" s="3323"/>
      <c r="R95" s="3323"/>
      <c r="S95" s="3323"/>
      <c r="T95" s="3323"/>
      <c r="U95" s="3323"/>
      <c r="V95" s="3323"/>
      <c r="W95" s="3323"/>
      <c r="X95" s="3323"/>
      <c r="Y95" s="3323"/>
      <c r="Z95" s="3323"/>
      <c r="AA95" s="3323"/>
      <c r="AB95" s="554" t="b">
        <f t="shared" si="21"/>
        <v>0</v>
      </c>
    </row>
    <row r="96" spans="1:28" ht="13.5" customHeight="1">
      <c r="A96" s="567"/>
      <c r="B96" s="3329"/>
      <c r="C96" s="3329"/>
      <c r="D96" s="3329"/>
      <c r="E96" s="3329"/>
      <c r="F96" s="3329"/>
      <c r="G96" s="3329"/>
      <c r="H96" s="3329"/>
      <c r="I96" s="3329"/>
      <c r="J96" s="3329"/>
      <c r="K96" s="3329"/>
      <c r="L96" s="3329"/>
      <c r="M96" s="3329"/>
      <c r="N96" s="3329"/>
      <c r="O96" s="3329"/>
      <c r="P96" s="3329"/>
      <c r="Q96" s="3329"/>
      <c r="R96" s="3329"/>
      <c r="S96" s="3329"/>
      <c r="T96" s="3329"/>
      <c r="U96" s="3329"/>
      <c r="V96" s="3329"/>
      <c r="W96" s="3329"/>
      <c r="X96" s="3329"/>
      <c r="Y96" s="3329"/>
      <c r="Z96" s="3329"/>
      <c r="AA96" s="3329"/>
      <c r="AB96" s="554" t="b">
        <f t="shared" si="21"/>
        <v>0</v>
      </c>
    </row>
    <row r="97" spans="1:28" ht="13.5" customHeight="1">
      <c r="A97" s="568" t="s">
        <v>623</v>
      </c>
      <c r="B97" s="3336"/>
      <c r="C97" s="3336"/>
      <c r="D97" s="3336"/>
      <c r="E97" s="3336"/>
      <c r="F97" s="3336"/>
      <c r="G97" s="3336"/>
      <c r="H97" s="3336"/>
      <c r="I97" s="3336"/>
      <c r="J97" s="3336"/>
      <c r="K97" s="3336"/>
      <c r="L97" s="3336"/>
      <c r="M97" s="3336"/>
      <c r="N97" s="3336"/>
      <c r="O97" s="3336"/>
      <c r="P97" s="3336"/>
      <c r="Q97" s="3336"/>
      <c r="R97" s="3336"/>
      <c r="S97" s="3336"/>
      <c r="T97" s="3336"/>
      <c r="U97" s="3336"/>
      <c r="V97" s="3336"/>
      <c r="W97" s="3336"/>
      <c r="X97" s="3336"/>
      <c r="Y97" s="3336"/>
      <c r="Z97" s="3336"/>
      <c r="AA97" s="3336"/>
      <c r="AB97" s="554" t="b">
        <f t="shared" si="21"/>
        <v>0</v>
      </c>
    </row>
    <row r="98" spans="1:28" ht="13.5" customHeight="1">
      <c r="A98" s="569" t="s">
        <v>624</v>
      </c>
      <c r="B98" s="3329"/>
      <c r="C98" s="3329"/>
      <c r="D98" s="3329"/>
      <c r="E98" s="3329"/>
      <c r="F98" s="3329"/>
      <c r="G98" s="3329"/>
      <c r="H98" s="3329"/>
      <c r="I98" s="3329"/>
      <c r="J98" s="3329"/>
      <c r="K98" s="3329"/>
      <c r="L98" s="3329"/>
      <c r="M98" s="3329"/>
      <c r="N98" s="3329"/>
      <c r="O98" s="3329"/>
      <c r="P98" s="3329"/>
      <c r="Q98" s="3329"/>
      <c r="R98" s="3329"/>
      <c r="S98" s="3329"/>
      <c r="T98" s="3329"/>
      <c r="U98" s="3329"/>
      <c r="V98" s="3329"/>
      <c r="W98" s="3329"/>
      <c r="X98" s="3329"/>
      <c r="Y98" s="3329"/>
      <c r="Z98" s="3329"/>
      <c r="AA98" s="3329"/>
      <c r="AB98" s="554" t="b">
        <f t="shared" si="21"/>
        <v>0</v>
      </c>
    </row>
    <row r="99" spans="1:28" ht="13.5" customHeight="1">
      <c r="A99" s="568" t="s">
        <v>625</v>
      </c>
      <c r="B99" s="3335"/>
      <c r="C99" s="3335"/>
      <c r="D99" s="3335"/>
      <c r="E99" s="3335"/>
      <c r="F99" s="3335"/>
      <c r="G99" s="3335"/>
      <c r="H99" s="3335"/>
      <c r="I99" s="3335"/>
      <c r="J99" s="3335"/>
      <c r="K99" s="3335"/>
      <c r="L99" s="3335"/>
      <c r="M99" s="3335"/>
      <c r="N99" s="3335"/>
      <c r="O99" s="3335"/>
      <c r="P99" s="3335"/>
      <c r="Q99" s="3335"/>
      <c r="R99" s="3335"/>
      <c r="S99" s="3335"/>
      <c r="T99" s="3335"/>
      <c r="U99" s="3335"/>
      <c r="V99" s="3335"/>
      <c r="W99" s="3335"/>
      <c r="X99" s="3335"/>
      <c r="Y99" s="3335"/>
      <c r="Z99" s="3335"/>
      <c r="AA99" s="3335"/>
      <c r="AB99" s="554" t="b">
        <f t="shared" si="21"/>
        <v>0</v>
      </c>
    </row>
    <row r="100" spans="1:28" ht="13.5" customHeight="1">
      <c r="A100" s="569" t="s">
        <v>626</v>
      </c>
      <c r="B100" s="3334"/>
      <c r="C100" s="3334"/>
      <c r="D100" s="3334"/>
      <c r="E100" s="3334"/>
      <c r="F100" s="3334"/>
      <c r="G100" s="3334"/>
      <c r="H100" s="3334"/>
      <c r="I100" s="3334"/>
      <c r="J100" s="3334"/>
      <c r="K100" s="3334"/>
      <c r="L100" s="3334"/>
      <c r="M100" s="3334"/>
      <c r="N100" s="3334"/>
      <c r="O100" s="3334"/>
      <c r="P100" s="3334"/>
      <c r="Q100" s="3334"/>
      <c r="R100" s="3334"/>
      <c r="S100" s="3334"/>
      <c r="T100" s="3334"/>
      <c r="U100" s="3334"/>
      <c r="V100" s="3334"/>
      <c r="W100" s="3334"/>
      <c r="X100" s="3334"/>
      <c r="Y100" s="3334"/>
      <c r="Z100" s="3334"/>
      <c r="AA100" s="3334"/>
      <c r="AB100" s="554" t="b">
        <f t="shared" si="21"/>
        <v>0</v>
      </c>
    </row>
    <row r="101" spans="1:28" ht="13.5" customHeight="1">
      <c r="A101" s="568" t="s">
        <v>627</v>
      </c>
      <c r="B101" s="3333"/>
      <c r="C101" s="3333"/>
      <c r="D101" s="3333"/>
      <c r="E101" s="3333"/>
      <c r="F101" s="3333"/>
      <c r="G101" s="3333"/>
      <c r="H101" s="3333"/>
      <c r="I101" s="3333"/>
      <c r="J101" s="3333"/>
      <c r="K101" s="3333"/>
      <c r="L101" s="3333"/>
      <c r="M101" s="3333"/>
      <c r="N101" s="3333"/>
      <c r="O101" s="3333"/>
      <c r="P101" s="3333"/>
      <c r="Q101" s="3333"/>
      <c r="R101" s="3333"/>
      <c r="S101" s="3333"/>
      <c r="T101" s="3333"/>
      <c r="U101" s="3333"/>
      <c r="V101" s="3333"/>
      <c r="W101" s="3333"/>
      <c r="X101" s="3333"/>
      <c r="Y101" s="3333"/>
      <c r="Z101" s="3333"/>
      <c r="AA101" s="3333"/>
      <c r="AB101" s="554" t="b">
        <f t="shared" si="21"/>
        <v>0</v>
      </c>
    </row>
    <row r="102" spans="1:28" ht="13.5" customHeight="1">
      <c r="A102" s="569" t="s">
        <v>628</v>
      </c>
      <c r="B102" s="3328"/>
      <c r="C102" s="3328"/>
      <c r="D102" s="3328"/>
      <c r="E102" s="3328"/>
      <c r="F102" s="3328"/>
      <c r="G102" s="3328"/>
      <c r="H102" s="3328"/>
      <c r="I102" s="3328"/>
      <c r="J102" s="3328"/>
      <c r="K102" s="3328"/>
      <c r="L102" s="3328"/>
      <c r="M102" s="3328"/>
      <c r="N102" s="3328"/>
      <c r="O102" s="3328"/>
      <c r="P102" s="3328"/>
      <c r="Q102" s="3328"/>
      <c r="R102" s="3328"/>
      <c r="S102" s="3328"/>
      <c r="T102" s="3328"/>
      <c r="U102" s="3328"/>
      <c r="V102" s="3328"/>
      <c r="W102" s="3328"/>
      <c r="X102" s="3328"/>
      <c r="Y102" s="3328"/>
      <c r="Z102" s="3328"/>
      <c r="AA102" s="3328"/>
      <c r="AB102" s="554" t="b">
        <f t="shared" si="21"/>
        <v>0</v>
      </c>
    </row>
    <row r="103" spans="1:28" ht="13.5" customHeight="1">
      <c r="A103" s="566" t="s">
        <v>1069</v>
      </c>
      <c r="B103" s="3271">
        <f>ROUNDDOWN((SUM(B89:C96)*B97-B99)*B101+(SUM(B89:C96)*B98-B100)*B102,2)</f>
        <v>0</v>
      </c>
      <c r="C103" s="3273"/>
      <c r="D103" s="3271">
        <f>ROUNDDOWN((SUM(D89:E96)*D97-D99)*D101+(SUM(D89:E96)*D98-D100)*D102,2)</f>
        <v>0</v>
      </c>
      <c r="E103" s="3273"/>
      <c r="F103" s="3271">
        <f>ROUNDDOWN((SUM(F89:G96)*F97-F99)*F101+(SUM(F89:G96)*F98-F100)*F102,2)</f>
        <v>0</v>
      </c>
      <c r="G103" s="3273"/>
      <c r="H103" s="3271">
        <f>ROUNDDOWN((SUM(H89:I96)*H97-H99)*H101+(SUM(H89:I96)*H98-H100)*H102,2)</f>
        <v>0</v>
      </c>
      <c r="I103" s="3273"/>
      <c r="J103" s="3271">
        <f>ROUNDDOWN((SUM(J89:K96)*J97-J99)*J101+(SUM(J89:K96)*J98-J100)*J102,2)</f>
        <v>0</v>
      </c>
      <c r="K103" s="3273"/>
      <c r="L103" s="3271">
        <f>ROUNDDOWN((SUM(L89:M96)*L97-L99)*L101+(SUM(L89:M96)*L98-L100)*L102,2)</f>
        <v>0</v>
      </c>
      <c r="M103" s="3273"/>
      <c r="N103" s="3271">
        <f>ROUNDDOWN((SUM(N89:O96)*N97-N99)*N101+(SUM(N89:O96)*N98-N100)*N102,2)</f>
        <v>0</v>
      </c>
      <c r="O103" s="3273"/>
      <c r="P103" s="3271">
        <f>ROUNDDOWN((SUM(P89:Q96)*P97-P99)*P101+(SUM(P89:Q96)*P98-P100)*P102,2)</f>
        <v>0</v>
      </c>
      <c r="Q103" s="3273"/>
      <c r="R103" s="3271">
        <f>ROUNDDOWN((SUM(R89:S96)*R97-R99)*R101+(SUM(R89:S96)*R98-R100)*R102,2)</f>
        <v>0</v>
      </c>
      <c r="S103" s="3273"/>
      <c r="T103" s="3271">
        <f>ROUNDDOWN((SUM(T89:U96)*T97-T99)*T101+(SUM(T89:U96)*T98-T100)*T102,2)</f>
        <v>0</v>
      </c>
      <c r="U103" s="3273"/>
      <c r="V103" s="3271">
        <f>ROUNDDOWN((SUM(V89:W96)*V97-V99)*V101+(SUM(V89:W96)*V98-V100)*V102,2)</f>
        <v>0</v>
      </c>
      <c r="W103" s="3273"/>
      <c r="X103" s="3271">
        <f>ROUNDDOWN((SUM(X89:Y96)*X97-X99)*X101+(SUM(X89:Y96)*X98-X100)*X102,2)</f>
        <v>0</v>
      </c>
      <c r="Y103" s="3273"/>
      <c r="Z103" s="3271">
        <f>ROUNDDOWN((SUM(Z89:AA96)*Z97-Z99)*Z101+(SUM(Z89:AA96)*Z98-Z100)*Z102,2)</f>
        <v>0</v>
      </c>
      <c r="AA103" s="3273"/>
      <c r="AB103" s="570" t="b">
        <f>COUNTIF(B103:AA103,"&lt;&gt;0")-13&lt;&gt;0</f>
        <v>0</v>
      </c>
    </row>
    <row r="104" spans="1:28" ht="13.5" customHeight="1">
      <c r="AB104" s="554" t="b">
        <f>AB124</f>
        <v>0</v>
      </c>
    </row>
    <row r="105" spans="1:28" ht="13.5" customHeight="1">
      <c r="AB105" s="554" t="b">
        <f>AB124</f>
        <v>0</v>
      </c>
    </row>
    <row r="106" spans="1:28" ht="13.5" customHeight="1">
      <c r="A106" s="566" t="s">
        <v>620</v>
      </c>
      <c r="B106" s="3324"/>
      <c r="C106" s="3324"/>
      <c r="D106" s="3324"/>
      <c r="E106" s="3324"/>
      <c r="F106" s="3324"/>
      <c r="G106" s="3324"/>
      <c r="H106" s="3324"/>
      <c r="I106" s="3324"/>
      <c r="J106" s="3324"/>
      <c r="K106" s="3324"/>
      <c r="L106" s="3324"/>
      <c r="M106" s="3324"/>
      <c r="N106" s="3324"/>
      <c r="O106" s="3324"/>
      <c r="P106" s="3324"/>
      <c r="Q106" s="3324"/>
      <c r="R106" s="3324"/>
      <c r="S106" s="3324"/>
      <c r="T106" s="3324"/>
      <c r="U106" s="3324"/>
      <c r="V106" s="3324"/>
      <c r="W106" s="3324"/>
      <c r="X106" s="3324"/>
      <c r="Y106" s="3324"/>
      <c r="Z106" s="3324"/>
      <c r="AA106" s="3324"/>
      <c r="AB106" s="554" t="b">
        <f>OR(COUNTA(B106:AA106)&lt;&gt;0,AB124)</f>
        <v>0</v>
      </c>
    </row>
    <row r="107" spans="1:28" ht="13.5" customHeight="1">
      <c r="A107" s="566" t="s">
        <v>621</v>
      </c>
      <c r="B107" s="3325"/>
      <c r="C107" s="3325"/>
      <c r="D107" s="3325"/>
      <c r="E107" s="3325"/>
      <c r="F107" s="3325"/>
      <c r="G107" s="3325"/>
      <c r="H107" s="3325"/>
      <c r="I107" s="3325"/>
      <c r="J107" s="3325"/>
      <c r="K107" s="3325"/>
      <c r="L107" s="3325"/>
      <c r="M107" s="3325"/>
      <c r="N107" s="3325"/>
      <c r="O107" s="3325"/>
      <c r="P107" s="3325"/>
      <c r="Q107" s="3325"/>
      <c r="R107" s="3325"/>
      <c r="S107" s="3325"/>
      <c r="T107" s="3325"/>
      <c r="U107" s="3325"/>
      <c r="V107" s="3325"/>
      <c r="W107" s="3325"/>
      <c r="X107" s="3325"/>
      <c r="Y107" s="3325"/>
      <c r="Z107" s="3325"/>
      <c r="AA107" s="3325"/>
      <c r="AB107" s="554" t="b">
        <f>OR(COUNTA(B107:AA107)&lt;&gt;0,AB124)</f>
        <v>0</v>
      </c>
    </row>
    <row r="108" spans="1:28" ht="13.5" customHeight="1">
      <c r="A108" s="1960" t="s">
        <v>1976</v>
      </c>
      <c r="B108" s="3326"/>
      <c r="C108" s="3326"/>
      <c r="D108" s="3326"/>
      <c r="E108" s="3326"/>
      <c r="F108" s="3326"/>
      <c r="G108" s="3326"/>
      <c r="H108" s="3326"/>
      <c r="I108" s="3326"/>
      <c r="J108" s="3326"/>
      <c r="K108" s="3326"/>
      <c r="L108" s="3326"/>
      <c r="M108" s="3326"/>
      <c r="N108" s="3326"/>
      <c r="O108" s="3326"/>
      <c r="P108" s="3326"/>
      <c r="Q108" s="3326"/>
      <c r="R108" s="3326"/>
      <c r="S108" s="3326"/>
      <c r="T108" s="3326"/>
      <c r="U108" s="3326"/>
      <c r="V108" s="3326"/>
      <c r="W108" s="3326"/>
      <c r="X108" s="3326"/>
      <c r="Y108" s="3326"/>
      <c r="Z108" s="3326"/>
      <c r="AA108" s="3326"/>
      <c r="AB108" s="554" t="b">
        <f t="shared" ref="AB108:AB123" si="23">COUNTA(B108:AA108)&lt;&gt;0</f>
        <v>0</v>
      </c>
    </row>
    <row r="109" spans="1:28" ht="13.5" customHeight="1">
      <c r="A109" s="1961" t="s">
        <v>1977</v>
      </c>
      <c r="B109" s="3322"/>
      <c r="C109" s="3322"/>
      <c r="D109" s="3322"/>
      <c r="E109" s="3322"/>
      <c r="F109" s="3322"/>
      <c r="G109" s="3322"/>
      <c r="H109" s="3322"/>
      <c r="I109" s="3322"/>
      <c r="J109" s="3322"/>
      <c r="K109" s="3322"/>
      <c r="L109" s="3322"/>
      <c r="M109" s="3322"/>
      <c r="N109" s="3322"/>
      <c r="O109" s="3322"/>
      <c r="P109" s="3322"/>
      <c r="Q109" s="3322"/>
      <c r="R109" s="3322"/>
      <c r="S109" s="3322"/>
      <c r="T109" s="3322"/>
      <c r="U109" s="3322"/>
      <c r="V109" s="3322"/>
      <c r="W109" s="3322"/>
      <c r="X109" s="3322"/>
      <c r="Y109" s="3322"/>
      <c r="Z109" s="3322"/>
      <c r="AA109" s="3322"/>
      <c r="AB109" s="554" t="b">
        <f t="shared" si="23"/>
        <v>0</v>
      </c>
    </row>
    <row r="110" spans="1:28" ht="13.5" customHeight="1">
      <c r="A110" s="567" t="s">
        <v>622</v>
      </c>
      <c r="B110" s="3327"/>
      <c r="C110" s="3327"/>
      <c r="D110" s="3327"/>
      <c r="E110" s="3327"/>
      <c r="F110" s="3327"/>
      <c r="G110" s="3327"/>
      <c r="H110" s="3327"/>
      <c r="I110" s="3327"/>
      <c r="J110" s="3327"/>
      <c r="K110" s="3327"/>
      <c r="L110" s="3327"/>
      <c r="M110" s="3327"/>
      <c r="N110" s="3327"/>
      <c r="O110" s="3327"/>
      <c r="P110" s="3327"/>
      <c r="Q110" s="3327"/>
      <c r="R110" s="3327"/>
      <c r="S110" s="3327"/>
      <c r="T110" s="3327"/>
      <c r="U110" s="3327"/>
      <c r="V110" s="3327"/>
      <c r="W110" s="3327"/>
      <c r="X110" s="3327"/>
      <c r="Y110" s="3327"/>
      <c r="Z110" s="3327"/>
      <c r="AA110" s="3327"/>
      <c r="AB110" s="554" t="b">
        <f t="shared" si="23"/>
        <v>0</v>
      </c>
    </row>
    <row r="111" spans="1:28" ht="13.5" customHeight="1">
      <c r="A111" s="567"/>
      <c r="B111" s="3323"/>
      <c r="C111" s="3323"/>
      <c r="D111" s="3323"/>
      <c r="E111" s="3323"/>
      <c r="F111" s="3323"/>
      <c r="G111" s="3323"/>
      <c r="H111" s="3323"/>
      <c r="I111" s="3323"/>
      <c r="J111" s="3323"/>
      <c r="K111" s="3323"/>
      <c r="L111" s="3323"/>
      <c r="M111" s="3323"/>
      <c r="N111" s="3323"/>
      <c r="O111" s="3323"/>
      <c r="P111" s="3323"/>
      <c r="Q111" s="3323"/>
      <c r="R111" s="3323"/>
      <c r="S111" s="3323"/>
      <c r="T111" s="3323"/>
      <c r="U111" s="3323"/>
      <c r="V111" s="3323"/>
      <c r="W111" s="3323"/>
      <c r="X111" s="3323"/>
      <c r="Y111" s="3323"/>
      <c r="Z111" s="3323"/>
      <c r="AA111" s="3323"/>
      <c r="AB111" s="554" t="b">
        <f t="shared" si="23"/>
        <v>0</v>
      </c>
    </row>
    <row r="112" spans="1:28" ht="13.5" customHeight="1">
      <c r="A112" s="567"/>
      <c r="B112" s="3323"/>
      <c r="C112" s="3323"/>
      <c r="D112" s="3323"/>
      <c r="E112" s="3323"/>
      <c r="F112" s="3323"/>
      <c r="G112" s="3323"/>
      <c r="H112" s="3323"/>
      <c r="I112" s="3323"/>
      <c r="J112" s="3323"/>
      <c r="K112" s="3323"/>
      <c r="L112" s="3323"/>
      <c r="M112" s="3323"/>
      <c r="N112" s="3323"/>
      <c r="O112" s="3323"/>
      <c r="P112" s="3323"/>
      <c r="Q112" s="3323"/>
      <c r="R112" s="3323"/>
      <c r="S112" s="3323"/>
      <c r="T112" s="3323"/>
      <c r="U112" s="3323"/>
      <c r="V112" s="3323"/>
      <c r="W112" s="3323"/>
      <c r="X112" s="3323"/>
      <c r="Y112" s="3323"/>
      <c r="Z112" s="3323"/>
      <c r="AA112" s="3323"/>
      <c r="AB112" s="554" t="b">
        <f t="shared" si="23"/>
        <v>0</v>
      </c>
    </row>
    <row r="113" spans="1:28" ht="13.5" customHeight="1">
      <c r="A113" s="567"/>
      <c r="B113" s="3323"/>
      <c r="C113" s="3323"/>
      <c r="D113" s="3323"/>
      <c r="E113" s="3323"/>
      <c r="F113" s="3323"/>
      <c r="G113" s="3323"/>
      <c r="H113" s="3323"/>
      <c r="I113" s="3323"/>
      <c r="J113" s="3323"/>
      <c r="K113" s="3323"/>
      <c r="L113" s="3323"/>
      <c r="M113" s="3323"/>
      <c r="N113" s="3323"/>
      <c r="O113" s="3323"/>
      <c r="P113" s="3323"/>
      <c r="Q113" s="3323"/>
      <c r="R113" s="3323"/>
      <c r="S113" s="3323"/>
      <c r="T113" s="3323"/>
      <c r="U113" s="3323"/>
      <c r="V113" s="3323"/>
      <c r="W113" s="3323"/>
      <c r="X113" s="3323"/>
      <c r="Y113" s="3323"/>
      <c r="Z113" s="3323"/>
      <c r="AA113" s="3323"/>
      <c r="AB113" s="554" t="b">
        <f t="shared" ref="AB113" si="24">COUNTA(B113:AA113)&lt;&gt;0</f>
        <v>0</v>
      </c>
    </row>
    <row r="114" spans="1:28" ht="13.5" customHeight="1">
      <c r="A114" s="567"/>
      <c r="B114" s="3323"/>
      <c r="C114" s="3323"/>
      <c r="D114" s="3323"/>
      <c r="E114" s="3323"/>
      <c r="F114" s="3323"/>
      <c r="G114" s="3323"/>
      <c r="H114" s="3323"/>
      <c r="I114" s="3323"/>
      <c r="J114" s="3323"/>
      <c r="K114" s="3323"/>
      <c r="L114" s="3323"/>
      <c r="M114" s="3323"/>
      <c r="N114" s="3323"/>
      <c r="O114" s="3323"/>
      <c r="P114" s="3323"/>
      <c r="Q114" s="3323"/>
      <c r="R114" s="3323"/>
      <c r="S114" s="3323"/>
      <c r="T114" s="3323"/>
      <c r="U114" s="3323"/>
      <c r="V114" s="3323"/>
      <c r="W114" s="3323"/>
      <c r="X114" s="3323"/>
      <c r="Y114" s="3323"/>
      <c r="Z114" s="3323"/>
      <c r="AA114" s="3323"/>
      <c r="AB114" s="554" t="b">
        <f t="shared" si="23"/>
        <v>0</v>
      </c>
    </row>
    <row r="115" spans="1:28" ht="13.5" customHeight="1">
      <c r="A115" s="567"/>
      <c r="B115" s="3323"/>
      <c r="C115" s="3323"/>
      <c r="D115" s="3323"/>
      <c r="E115" s="3323"/>
      <c r="F115" s="3323"/>
      <c r="G115" s="3323"/>
      <c r="H115" s="3323"/>
      <c r="I115" s="3323"/>
      <c r="J115" s="3323"/>
      <c r="K115" s="3323"/>
      <c r="L115" s="3323"/>
      <c r="M115" s="3323"/>
      <c r="N115" s="3323"/>
      <c r="O115" s="3323"/>
      <c r="P115" s="3323"/>
      <c r="Q115" s="3323"/>
      <c r="R115" s="3323"/>
      <c r="S115" s="3323"/>
      <c r="T115" s="3323"/>
      <c r="U115" s="3323"/>
      <c r="V115" s="3323"/>
      <c r="W115" s="3323"/>
      <c r="X115" s="3323"/>
      <c r="Y115" s="3323"/>
      <c r="Z115" s="3323"/>
      <c r="AA115" s="3323"/>
      <c r="AB115" s="554" t="b">
        <f t="shared" si="23"/>
        <v>0</v>
      </c>
    </row>
    <row r="116" spans="1:28" ht="13.5" customHeight="1">
      <c r="A116" s="567"/>
      <c r="B116" s="3323"/>
      <c r="C116" s="3323"/>
      <c r="D116" s="3323"/>
      <c r="E116" s="3323"/>
      <c r="F116" s="3323"/>
      <c r="G116" s="3323"/>
      <c r="H116" s="3323"/>
      <c r="I116" s="3323"/>
      <c r="J116" s="3323"/>
      <c r="K116" s="3323"/>
      <c r="L116" s="3323"/>
      <c r="M116" s="3323"/>
      <c r="N116" s="3323"/>
      <c r="O116" s="3323"/>
      <c r="P116" s="3323"/>
      <c r="Q116" s="3323"/>
      <c r="R116" s="3323"/>
      <c r="S116" s="3323"/>
      <c r="T116" s="3323"/>
      <c r="U116" s="3323"/>
      <c r="V116" s="3323"/>
      <c r="W116" s="3323"/>
      <c r="X116" s="3323"/>
      <c r="Y116" s="3323"/>
      <c r="Z116" s="3323"/>
      <c r="AA116" s="3323"/>
      <c r="AB116" s="554" t="b">
        <f t="shared" si="23"/>
        <v>0</v>
      </c>
    </row>
    <row r="117" spans="1:28" ht="13.5" customHeight="1">
      <c r="A117" s="567"/>
      <c r="B117" s="3329"/>
      <c r="C117" s="3329"/>
      <c r="D117" s="3329"/>
      <c r="E117" s="3329"/>
      <c r="F117" s="3329"/>
      <c r="G117" s="3329"/>
      <c r="H117" s="3329"/>
      <c r="I117" s="3329"/>
      <c r="J117" s="3329"/>
      <c r="K117" s="3329"/>
      <c r="L117" s="3329"/>
      <c r="M117" s="3329"/>
      <c r="N117" s="3329"/>
      <c r="O117" s="3329"/>
      <c r="P117" s="3329"/>
      <c r="Q117" s="3329"/>
      <c r="R117" s="3329"/>
      <c r="S117" s="3329"/>
      <c r="T117" s="3329"/>
      <c r="U117" s="3329"/>
      <c r="V117" s="3329"/>
      <c r="W117" s="3329"/>
      <c r="X117" s="3329"/>
      <c r="Y117" s="3329"/>
      <c r="Z117" s="3329"/>
      <c r="AA117" s="3329"/>
      <c r="AB117" s="554" t="b">
        <f t="shared" si="23"/>
        <v>0</v>
      </c>
    </row>
    <row r="118" spans="1:28" ht="13.5" customHeight="1">
      <c r="A118" s="568" t="s">
        <v>623</v>
      </c>
      <c r="B118" s="3336"/>
      <c r="C118" s="3336"/>
      <c r="D118" s="3336"/>
      <c r="E118" s="3336"/>
      <c r="F118" s="3336"/>
      <c r="G118" s="3336"/>
      <c r="H118" s="3336"/>
      <c r="I118" s="3336"/>
      <c r="J118" s="3336"/>
      <c r="K118" s="3336"/>
      <c r="L118" s="3336"/>
      <c r="M118" s="3336"/>
      <c r="N118" s="3336"/>
      <c r="O118" s="3336"/>
      <c r="P118" s="3336"/>
      <c r="Q118" s="3336"/>
      <c r="R118" s="3336"/>
      <c r="S118" s="3336"/>
      <c r="T118" s="3336"/>
      <c r="U118" s="3336"/>
      <c r="V118" s="3336"/>
      <c r="W118" s="3336"/>
      <c r="X118" s="3336"/>
      <c r="Y118" s="3336"/>
      <c r="Z118" s="3336"/>
      <c r="AA118" s="3336"/>
      <c r="AB118" s="554" t="b">
        <f t="shared" si="23"/>
        <v>0</v>
      </c>
    </row>
    <row r="119" spans="1:28" ht="13.5" customHeight="1">
      <c r="A119" s="569" t="s">
        <v>624</v>
      </c>
      <c r="B119" s="3329"/>
      <c r="C119" s="3329"/>
      <c r="D119" s="3329"/>
      <c r="E119" s="3329"/>
      <c r="F119" s="3329"/>
      <c r="G119" s="3329"/>
      <c r="H119" s="3329"/>
      <c r="I119" s="3329"/>
      <c r="J119" s="3329"/>
      <c r="K119" s="3329"/>
      <c r="L119" s="3329"/>
      <c r="M119" s="3329"/>
      <c r="N119" s="3329"/>
      <c r="O119" s="3329"/>
      <c r="P119" s="3329"/>
      <c r="Q119" s="3329"/>
      <c r="R119" s="3329"/>
      <c r="S119" s="3329"/>
      <c r="T119" s="3329"/>
      <c r="U119" s="3329"/>
      <c r="V119" s="3329"/>
      <c r="W119" s="3329"/>
      <c r="X119" s="3329"/>
      <c r="Y119" s="3329"/>
      <c r="Z119" s="3329"/>
      <c r="AA119" s="3329"/>
      <c r="AB119" s="554" t="b">
        <f t="shared" si="23"/>
        <v>0</v>
      </c>
    </row>
    <row r="120" spans="1:28" ht="13.5" customHeight="1">
      <c r="A120" s="568" t="s">
        <v>625</v>
      </c>
      <c r="B120" s="3335"/>
      <c r="C120" s="3335"/>
      <c r="D120" s="3335"/>
      <c r="E120" s="3335"/>
      <c r="F120" s="3335"/>
      <c r="G120" s="3335"/>
      <c r="H120" s="3335"/>
      <c r="I120" s="3335"/>
      <c r="J120" s="3335"/>
      <c r="K120" s="3335"/>
      <c r="L120" s="3335"/>
      <c r="M120" s="3335"/>
      <c r="N120" s="3335"/>
      <c r="O120" s="3335"/>
      <c r="P120" s="3335"/>
      <c r="Q120" s="3335"/>
      <c r="R120" s="3335"/>
      <c r="S120" s="3335"/>
      <c r="T120" s="3335"/>
      <c r="U120" s="3335"/>
      <c r="V120" s="3335"/>
      <c r="W120" s="3335"/>
      <c r="X120" s="3335"/>
      <c r="Y120" s="3335"/>
      <c r="Z120" s="3335"/>
      <c r="AA120" s="3335"/>
      <c r="AB120" s="554" t="b">
        <f t="shared" si="23"/>
        <v>0</v>
      </c>
    </row>
    <row r="121" spans="1:28" ht="13.5" customHeight="1">
      <c r="A121" s="569" t="s">
        <v>626</v>
      </c>
      <c r="B121" s="3334"/>
      <c r="C121" s="3334"/>
      <c r="D121" s="3334"/>
      <c r="E121" s="3334"/>
      <c r="F121" s="3334"/>
      <c r="G121" s="3334"/>
      <c r="H121" s="3334"/>
      <c r="I121" s="3334"/>
      <c r="J121" s="3334"/>
      <c r="K121" s="3334"/>
      <c r="L121" s="3334"/>
      <c r="M121" s="3334"/>
      <c r="N121" s="3334"/>
      <c r="O121" s="3334"/>
      <c r="P121" s="3334"/>
      <c r="Q121" s="3334"/>
      <c r="R121" s="3334"/>
      <c r="S121" s="3334"/>
      <c r="T121" s="3334"/>
      <c r="U121" s="3334"/>
      <c r="V121" s="3334"/>
      <c r="W121" s="3334"/>
      <c r="X121" s="3334"/>
      <c r="Y121" s="3334"/>
      <c r="Z121" s="3334"/>
      <c r="AA121" s="3334"/>
      <c r="AB121" s="554" t="b">
        <f t="shared" si="23"/>
        <v>0</v>
      </c>
    </row>
    <row r="122" spans="1:28" ht="13.5" customHeight="1">
      <c r="A122" s="568" t="s">
        <v>627</v>
      </c>
      <c r="B122" s="3333"/>
      <c r="C122" s="3333"/>
      <c r="D122" s="3333"/>
      <c r="E122" s="3333"/>
      <c r="F122" s="3333"/>
      <c r="G122" s="3333"/>
      <c r="H122" s="3333"/>
      <c r="I122" s="3333"/>
      <c r="J122" s="3333"/>
      <c r="K122" s="3333"/>
      <c r="L122" s="3333"/>
      <c r="M122" s="3333"/>
      <c r="N122" s="3333"/>
      <c r="O122" s="3333"/>
      <c r="P122" s="3333"/>
      <c r="Q122" s="3333"/>
      <c r="R122" s="3333"/>
      <c r="S122" s="3333"/>
      <c r="T122" s="3333"/>
      <c r="U122" s="3333"/>
      <c r="V122" s="3333"/>
      <c r="W122" s="3333"/>
      <c r="X122" s="3333"/>
      <c r="Y122" s="3333"/>
      <c r="Z122" s="3333"/>
      <c r="AA122" s="3333"/>
      <c r="AB122" s="554" t="b">
        <f t="shared" si="23"/>
        <v>0</v>
      </c>
    </row>
    <row r="123" spans="1:28" ht="13.5" customHeight="1">
      <c r="A123" s="569" t="s">
        <v>628</v>
      </c>
      <c r="B123" s="3328"/>
      <c r="C123" s="3328"/>
      <c r="D123" s="3328"/>
      <c r="E123" s="3328"/>
      <c r="F123" s="3328"/>
      <c r="G123" s="3328"/>
      <c r="H123" s="3328"/>
      <c r="I123" s="3328"/>
      <c r="J123" s="3328"/>
      <c r="K123" s="3328"/>
      <c r="L123" s="3328"/>
      <c r="M123" s="3328"/>
      <c r="N123" s="3328"/>
      <c r="O123" s="3328"/>
      <c r="P123" s="3328"/>
      <c r="Q123" s="3328"/>
      <c r="R123" s="3328"/>
      <c r="S123" s="3328"/>
      <c r="T123" s="3328"/>
      <c r="U123" s="3328"/>
      <c r="V123" s="3328"/>
      <c r="W123" s="3328"/>
      <c r="X123" s="3328"/>
      <c r="Y123" s="3328"/>
      <c r="Z123" s="3328"/>
      <c r="AA123" s="3328"/>
      <c r="AB123" s="554" t="b">
        <f t="shared" si="23"/>
        <v>0</v>
      </c>
    </row>
    <row r="124" spans="1:28" ht="13.5" customHeight="1">
      <c r="A124" s="566" t="s">
        <v>1069</v>
      </c>
      <c r="B124" s="3271">
        <f>ROUNDDOWN((SUM(B110:C117)*B118-B120)*B122+(SUM(B110:C117)*B119-B121)*B123,2)</f>
        <v>0</v>
      </c>
      <c r="C124" s="3273"/>
      <c r="D124" s="3271">
        <f>ROUNDDOWN((SUM(D110:E117)*D118-D120)*D122+(SUM(D110:E117)*D119-D121)*D123,2)</f>
        <v>0</v>
      </c>
      <c r="E124" s="3273"/>
      <c r="F124" s="3271">
        <f>ROUNDDOWN((SUM(F110:G117)*F118-F120)*F122+(SUM(F110:G117)*F119-F121)*F123,2)</f>
        <v>0</v>
      </c>
      <c r="G124" s="3273"/>
      <c r="H124" s="3271">
        <f>ROUNDDOWN((SUM(H110:I117)*H118-H120)*H122+(SUM(H110:I117)*H119-H121)*H123,2)</f>
        <v>0</v>
      </c>
      <c r="I124" s="3273"/>
      <c r="J124" s="3271">
        <f>ROUNDDOWN((SUM(J110:K117)*J118-J120)*J122+(SUM(J110:K117)*J119-J121)*J123,2)</f>
        <v>0</v>
      </c>
      <c r="K124" s="3273"/>
      <c r="L124" s="3271">
        <f>ROUNDDOWN((SUM(L110:M117)*L118-L120)*L122+(SUM(L110:M117)*L119-L121)*L123,2)</f>
        <v>0</v>
      </c>
      <c r="M124" s="3273"/>
      <c r="N124" s="3271">
        <f>ROUNDDOWN((SUM(N110:O117)*N118-N120)*N122+(SUM(N110:O117)*N119-N121)*N123,2)</f>
        <v>0</v>
      </c>
      <c r="O124" s="3273"/>
      <c r="P124" s="3271">
        <f>ROUNDDOWN((SUM(P110:Q117)*P118-P120)*P122+(SUM(P110:Q117)*P119-P121)*P123,2)</f>
        <v>0</v>
      </c>
      <c r="Q124" s="3273"/>
      <c r="R124" s="3271">
        <f>ROUNDDOWN((SUM(R110:S117)*R118-R120)*R122+(SUM(R110:S117)*R119-R121)*R123,2)</f>
        <v>0</v>
      </c>
      <c r="S124" s="3273"/>
      <c r="T124" s="3271">
        <f>ROUNDDOWN((SUM(T110:U117)*T118-T120)*T122+(SUM(T110:U117)*T119-T121)*T123,2)</f>
        <v>0</v>
      </c>
      <c r="U124" s="3273"/>
      <c r="V124" s="3271">
        <f>ROUNDDOWN((SUM(V110:W117)*V118-V120)*V122+(SUM(V110:W117)*V119-V121)*V123,2)</f>
        <v>0</v>
      </c>
      <c r="W124" s="3273"/>
      <c r="X124" s="3271">
        <f>ROUNDDOWN((SUM(X110:Y117)*X118-X120)*X122+(SUM(X110:Y117)*X119-X121)*X123,2)</f>
        <v>0</v>
      </c>
      <c r="Y124" s="3273"/>
      <c r="Z124" s="3271">
        <f>ROUNDDOWN((SUM(Z110:AA117)*Z118-Z120)*Z122+(SUM(Z110:AA117)*Z119-Z121)*Z123,2)</f>
        <v>0</v>
      </c>
      <c r="AA124" s="3273"/>
      <c r="AB124" s="570" t="b">
        <f>COUNTIF(B124:AA124,"&lt;&gt;0")-13&lt;&gt;0</f>
        <v>0</v>
      </c>
    </row>
    <row r="125" spans="1:28" ht="13.5" customHeight="1">
      <c r="AB125" s="554" t="b">
        <f>AB145</f>
        <v>0</v>
      </c>
    </row>
    <row r="126" spans="1:28" ht="13.5" customHeight="1">
      <c r="AB126" s="554" t="b">
        <f>AB145</f>
        <v>0</v>
      </c>
    </row>
    <row r="127" spans="1:28" ht="13.5" customHeight="1">
      <c r="A127" s="566" t="s">
        <v>620</v>
      </c>
      <c r="B127" s="3324"/>
      <c r="C127" s="3324"/>
      <c r="D127" s="3324"/>
      <c r="E127" s="3324"/>
      <c r="F127" s="3324"/>
      <c r="G127" s="3324"/>
      <c r="H127" s="3324"/>
      <c r="I127" s="3324"/>
      <c r="J127" s="3324"/>
      <c r="K127" s="3324"/>
      <c r="L127" s="3324"/>
      <c r="M127" s="3324"/>
      <c r="N127" s="3324"/>
      <c r="O127" s="3324"/>
      <c r="P127" s="3324"/>
      <c r="Q127" s="3324"/>
      <c r="R127" s="3324"/>
      <c r="S127" s="3324"/>
      <c r="T127" s="3324"/>
      <c r="U127" s="3324"/>
      <c r="V127" s="3324"/>
      <c r="W127" s="3324"/>
      <c r="X127" s="3324"/>
      <c r="Y127" s="3324"/>
      <c r="Z127" s="3324"/>
      <c r="AA127" s="3324"/>
      <c r="AB127" s="554" t="b">
        <f>OR(COUNTA(B127:AA127)&lt;&gt;0,AB145)</f>
        <v>0</v>
      </c>
    </row>
    <row r="128" spans="1:28" ht="13.5" customHeight="1">
      <c r="A128" s="566" t="s">
        <v>621</v>
      </c>
      <c r="B128" s="3325"/>
      <c r="C128" s="3325"/>
      <c r="D128" s="3325"/>
      <c r="E128" s="3325"/>
      <c r="F128" s="3325"/>
      <c r="G128" s="3325"/>
      <c r="H128" s="3325"/>
      <c r="I128" s="3325"/>
      <c r="J128" s="3325"/>
      <c r="K128" s="3325"/>
      <c r="L128" s="3325"/>
      <c r="M128" s="3325"/>
      <c r="N128" s="3325"/>
      <c r="O128" s="3325"/>
      <c r="P128" s="3325"/>
      <c r="Q128" s="3325"/>
      <c r="R128" s="3325"/>
      <c r="S128" s="3325"/>
      <c r="T128" s="3325"/>
      <c r="U128" s="3325"/>
      <c r="V128" s="3325"/>
      <c r="W128" s="3325"/>
      <c r="X128" s="3325"/>
      <c r="Y128" s="3325"/>
      <c r="Z128" s="3325"/>
      <c r="AA128" s="3325"/>
      <c r="AB128" s="554" t="b">
        <f>OR(COUNTA(B128:AA128)&lt;&gt;0,AB145)</f>
        <v>0</v>
      </c>
    </row>
    <row r="129" spans="1:28" ht="13.5" customHeight="1">
      <c r="A129" s="1960" t="s">
        <v>1976</v>
      </c>
      <c r="B129" s="3326"/>
      <c r="C129" s="3326"/>
      <c r="D129" s="3326"/>
      <c r="E129" s="3326"/>
      <c r="F129" s="3326"/>
      <c r="G129" s="3326"/>
      <c r="H129" s="3326"/>
      <c r="I129" s="3326"/>
      <c r="J129" s="3326"/>
      <c r="K129" s="3326"/>
      <c r="L129" s="3326"/>
      <c r="M129" s="3326"/>
      <c r="N129" s="3326"/>
      <c r="O129" s="3326"/>
      <c r="P129" s="3326"/>
      <c r="Q129" s="3326"/>
      <c r="R129" s="3326"/>
      <c r="S129" s="3326"/>
      <c r="T129" s="3326"/>
      <c r="U129" s="3326"/>
      <c r="V129" s="3326"/>
      <c r="W129" s="3326"/>
      <c r="X129" s="3326"/>
      <c r="Y129" s="3326"/>
      <c r="Z129" s="3326"/>
      <c r="AA129" s="3326"/>
      <c r="AB129" s="554" t="b">
        <f t="shared" ref="AB129:AB144" si="25">COUNTA(B129:AA129)&lt;&gt;0</f>
        <v>0</v>
      </c>
    </row>
    <row r="130" spans="1:28" ht="13.5" customHeight="1">
      <c r="A130" s="1961" t="s">
        <v>1977</v>
      </c>
      <c r="B130" s="3322"/>
      <c r="C130" s="3322"/>
      <c r="D130" s="3322"/>
      <c r="E130" s="3322"/>
      <c r="F130" s="3322"/>
      <c r="G130" s="3322"/>
      <c r="H130" s="3322"/>
      <c r="I130" s="3322"/>
      <c r="J130" s="3322"/>
      <c r="K130" s="3322"/>
      <c r="L130" s="3322"/>
      <c r="M130" s="3322"/>
      <c r="N130" s="3322"/>
      <c r="O130" s="3322"/>
      <c r="P130" s="3322"/>
      <c r="Q130" s="3322"/>
      <c r="R130" s="3322"/>
      <c r="S130" s="3322"/>
      <c r="T130" s="3322"/>
      <c r="U130" s="3322"/>
      <c r="V130" s="3322"/>
      <c r="W130" s="3322"/>
      <c r="X130" s="3322"/>
      <c r="Y130" s="3322"/>
      <c r="Z130" s="3322"/>
      <c r="AA130" s="3322"/>
      <c r="AB130" s="554" t="b">
        <f t="shared" si="25"/>
        <v>0</v>
      </c>
    </row>
    <row r="131" spans="1:28" ht="13.5" customHeight="1">
      <c r="A131" s="567" t="s">
        <v>622</v>
      </c>
      <c r="B131" s="3327"/>
      <c r="C131" s="3327"/>
      <c r="D131" s="3327"/>
      <c r="E131" s="3327"/>
      <c r="F131" s="3327"/>
      <c r="G131" s="3327"/>
      <c r="H131" s="3327"/>
      <c r="I131" s="3327"/>
      <c r="J131" s="3327"/>
      <c r="K131" s="3327"/>
      <c r="L131" s="3327"/>
      <c r="M131" s="3327"/>
      <c r="N131" s="3327"/>
      <c r="O131" s="3327"/>
      <c r="P131" s="3327"/>
      <c r="Q131" s="3327"/>
      <c r="R131" s="3327"/>
      <c r="S131" s="3327"/>
      <c r="T131" s="3327"/>
      <c r="U131" s="3327"/>
      <c r="V131" s="3327"/>
      <c r="W131" s="3327"/>
      <c r="X131" s="3327"/>
      <c r="Y131" s="3327"/>
      <c r="Z131" s="3327"/>
      <c r="AA131" s="3327"/>
      <c r="AB131" s="554" t="b">
        <f t="shared" si="25"/>
        <v>0</v>
      </c>
    </row>
    <row r="132" spans="1:28" ht="13.5" customHeight="1">
      <c r="A132" s="567"/>
      <c r="B132" s="3323"/>
      <c r="C132" s="3323"/>
      <c r="D132" s="3323"/>
      <c r="E132" s="3323"/>
      <c r="F132" s="3323"/>
      <c r="G132" s="3323"/>
      <c r="H132" s="3323"/>
      <c r="I132" s="3323"/>
      <c r="J132" s="3323"/>
      <c r="K132" s="3323"/>
      <c r="L132" s="3323"/>
      <c r="M132" s="3323"/>
      <c r="N132" s="3323"/>
      <c r="O132" s="3323"/>
      <c r="P132" s="3323"/>
      <c r="Q132" s="3323"/>
      <c r="R132" s="3323"/>
      <c r="S132" s="3323"/>
      <c r="T132" s="3323"/>
      <c r="U132" s="3323"/>
      <c r="V132" s="3323"/>
      <c r="W132" s="3323"/>
      <c r="X132" s="3323"/>
      <c r="Y132" s="3323"/>
      <c r="Z132" s="3323"/>
      <c r="AA132" s="3323"/>
      <c r="AB132" s="554" t="b">
        <f t="shared" si="25"/>
        <v>0</v>
      </c>
    </row>
    <row r="133" spans="1:28" ht="13.5" customHeight="1">
      <c r="A133" s="567"/>
      <c r="B133" s="3323"/>
      <c r="C133" s="3323"/>
      <c r="D133" s="3323"/>
      <c r="E133" s="3323"/>
      <c r="F133" s="3323"/>
      <c r="G133" s="3323"/>
      <c r="H133" s="3323"/>
      <c r="I133" s="3323"/>
      <c r="J133" s="3323"/>
      <c r="K133" s="3323"/>
      <c r="L133" s="3323"/>
      <c r="M133" s="3323"/>
      <c r="N133" s="3323"/>
      <c r="O133" s="3323"/>
      <c r="P133" s="3323"/>
      <c r="Q133" s="3323"/>
      <c r="R133" s="3323"/>
      <c r="S133" s="3323"/>
      <c r="T133" s="3323"/>
      <c r="U133" s="3323"/>
      <c r="V133" s="3323"/>
      <c r="W133" s="3323"/>
      <c r="X133" s="3323"/>
      <c r="Y133" s="3323"/>
      <c r="Z133" s="3323"/>
      <c r="AA133" s="3323"/>
      <c r="AB133" s="554" t="b">
        <f t="shared" si="25"/>
        <v>0</v>
      </c>
    </row>
    <row r="134" spans="1:28" ht="13.5" customHeight="1">
      <c r="A134" s="567"/>
      <c r="B134" s="3323"/>
      <c r="C134" s="3323"/>
      <c r="D134" s="3323"/>
      <c r="E134" s="3323"/>
      <c r="F134" s="3323"/>
      <c r="G134" s="3323"/>
      <c r="H134" s="3323"/>
      <c r="I134" s="3323"/>
      <c r="J134" s="3323"/>
      <c r="K134" s="3323"/>
      <c r="L134" s="3323"/>
      <c r="M134" s="3323"/>
      <c r="N134" s="3323"/>
      <c r="O134" s="3323"/>
      <c r="P134" s="3323"/>
      <c r="Q134" s="3323"/>
      <c r="R134" s="3323"/>
      <c r="S134" s="3323"/>
      <c r="T134" s="3323"/>
      <c r="U134" s="3323"/>
      <c r="V134" s="3323"/>
      <c r="W134" s="3323"/>
      <c r="X134" s="3323"/>
      <c r="Y134" s="3323"/>
      <c r="Z134" s="3323"/>
      <c r="AA134" s="3323"/>
      <c r="AB134" s="554" t="b">
        <f t="shared" ref="AB134" si="26">COUNTA(B134:AA134)&lt;&gt;0</f>
        <v>0</v>
      </c>
    </row>
    <row r="135" spans="1:28" ht="13.5" customHeight="1">
      <c r="A135" s="567"/>
      <c r="B135" s="3323"/>
      <c r="C135" s="3323"/>
      <c r="D135" s="3323"/>
      <c r="E135" s="3323"/>
      <c r="F135" s="3323"/>
      <c r="G135" s="3323"/>
      <c r="H135" s="3323"/>
      <c r="I135" s="3323"/>
      <c r="J135" s="3323"/>
      <c r="K135" s="3323"/>
      <c r="L135" s="3323"/>
      <c r="M135" s="3323"/>
      <c r="N135" s="3323"/>
      <c r="O135" s="3323"/>
      <c r="P135" s="3323"/>
      <c r="Q135" s="3323"/>
      <c r="R135" s="3323"/>
      <c r="S135" s="3323"/>
      <c r="T135" s="3323"/>
      <c r="U135" s="3323"/>
      <c r="V135" s="3323"/>
      <c r="W135" s="3323"/>
      <c r="X135" s="3323"/>
      <c r="Y135" s="3323"/>
      <c r="Z135" s="3323"/>
      <c r="AA135" s="3323"/>
      <c r="AB135" s="554" t="b">
        <f t="shared" si="25"/>
        <v>0</v>
      </c>
    </row>
    <row r="136" spans="1:28" ht="13.5" customHeight="1">
      <c r="A136" s="567"/>
      <c r="B136" s="3323"/>
      <c r="C136" s="3323"/>
      <c r="D136" s="3323"/>
      <c r="E136" s="3323"/>
      <c r="F136" s="3323"/>
      <c r="G136" s="3323"/>
      <c r="H136" s="3323"/>
      <c r="I136" s="3323"/>
      <c r="J136" s="3323"/>
      <c r="K136" s="3323"/>
      <c r="L136" s="3323"/>
      <c r="M136" s="3323"/>
      <c r="N136" s="3323"/>
      <c r="O136" s="3323"/>
      <c r="P136" s="3323"/>
      <c r="Q136" s="3323"/>
      <c r="R136" s="3323"/>
      <c r="S136" s="3323"/>
      <c r="T136" s="3329"/>
      <c r="U136" s="3329"/>
      <c r="V136" s="3323"/>
      <c r="W136" s="3323"/>
      <c r="X136" s="3323"/>
      <c r="Y136" s="3323"/>
      <c r="Z136" s="3323"/>
      <c r="AA136" s="3323"/>
      <c r="AB136" s="554" t="b">
        <f t="shared" si="25"/>
        <v>0</v>
      </c>
    </row>
    <row r="137" spans="1:28" ht="13.5" customHeight="1">
      <c r="A137" s="567"/>
      <c r="B137" s="3323"/>
      <c r="C137" s="3323"/>
      <c r="D137" s="3323"/>
      <c r="E137" s="3323"/>
      <c r="F137" s="3323"/>
      <c r="G137" s="3323"/>
      <c r="H137" s="3323"/>
      <c r="I137" s="3323"/>
      <c r="J137" s="3323"/>
      <c r="K137" s="3323"/>
      <c r="L137" s="3323"/>
      <c r="M137" s="3323"/>
      <c r="N137" s="3323"/>
      <c r="O137" s="3323"/>
      <c r="P137" s="3323"/>
      <c r="Q137" s="3323"/>
      <c r="R137" s="3323"/>
      <c r="S137" s="3323"/>
      <c r="T137" s="3329"/>
      <c r="U137" s="3329"/>
      <c r="V137" s="3323"/>
      <c r="W137" s="3323"/>
      <c r="X137" s="3323"/>
      <c r="Y137" s="3323"/>
      <c r="Z137" s="3323"/>
      <c r="AA137" s="3323"/>
      <c r="AB137" s="554" t="b">
        <f t="shared" si="25"/>
        <v>0</v>
      </c>
    </row>
    <row r="138" spans="1:28" ht="13.5" customHeight="1">
      <c r="A138" s="567"/>
      <c r="B138" s="3329"/>
      <c r="C138" s="3329"/>
      <c r="D138" s="3329"/>
      <c r="E138" s="3329"/>
      <c r="F138" s="3329"/>
      <c r="G138" s="3329"/>
      <c r="H138" s="3329"/>
      <c r="I138" s="3329"/>
      <c r="J138" s="3329"/>
      <c r="K138" s="3329"/>
      <c r="L138" s="3329"/>
      <c r="M138" s="3329"/>
      <c r="N138" s="3329"/>
      <c r="O138" s="3329"/>
      <c r="P138" s="3329"/>
      <c r="Q138" s="3329"/>
      <c r="R138" s="3329"/>
      <c r="S138" s="3329"/>
      <c r="T138" s="3329"/>
      <c r="U138" s="3329"/>
      <c r="V138" s="3329"/>
      <c r="W138" s="3329"/>
      <c r="X138" s="3329"/>
      <c r="Y138" s="3329"/>
      <c r="Z138" s="3329"/>
      <c r="AA138" s="3329"/>
      <c r="AB138" s="554" t="b">
        <f t="shared" si="25"/>
        <v>0</v>
      </c>
    </row>
    <row r="139" spans="1:28" ht="13.5" customHeight="1">
      <c r="A139" s="568" t="s">
        <v>623</v>
      </c>
      <c r="B139" s="3336"/>
      <c r="C139" s="3336"/>
      <c r="D139" s="3336"/>
      <c r="E139" s="3336"/>
      <c r="F139" s="3336"/>
      <c r="G139" s="3336"/>
      <c r="H139" s="3336"/>
      <c r="I139" s="3336"/>
      <c r="J139" s="3336"/>
      <c r="K139" s="3336"/>
      <c r="L139" s="3336"/>
      <c r="M139" s="3336"/>
      <c r="N139" s="3336"/>
      <c r="O139" s="3336"/>
      <c r="P139" s="3336"/>
      <c r="Q139" s="3336"/>
      <c r="R139" s="3336"/>
      <c r="S139" s="3336"/>
      <c r="T139" s="3336"/>
      <c r="U139" s="3336"/>
      <c r="V139" s="3336"/>
      <c r="W139" s="3336"/>
      <c r="X139" s="3336"/>
      <c r="Y139" s="3336"/>
      <c r="Z139" s="3336"/>
      <c r="AA139" s="3336"/>
      <c r="AB139" s="554" t="b">
        <f t="shared" si="25"/>
        <v>0</v>
      </c>
    </row>
    <row r="140" spans="1:28" ht="13.5" customHeight="1">
      <c r="A140" s="569" t="s">
        <v>624</v>
      </c>
      <c r="B140" s="3329"/>
      <c r="C140" s="3329"/>
      <c r="D140" s="3329"/>
      <c r="E140" s="3329"/>
      <c r="F140" s="3329"/>
      <c r="G140" s="3329"/>
      <c r="H140" s="3329"/>
      <c r="I140" s="3329"/>
      <c r="J140" s="3329"/>
      <c r="K140" s="3329"/>
      <c r="L140" s="3329"/>
      <c r="M140" s="3329"/>
      <c r="N140" s="3329"/>
      <c r="O140" s="3329"/>
      <c r="P140" s="3329"/>
      <c r="Q140" s="3329"/>
      <c r="R140" s="3329"/>
      <c r="S140" s="3329"/>
      <c r="T140" s="3329"/>
      <c r="U140" s="3329"/>
      <c r="V140" s="3329"/>
      <c r="W140" s="3329"/>
      <c r="X140" s="3329"/>
      <c r="Y140" s="3329"/>
      <c r="Z140" s="3329"/>
      <c r="AA140" s="3329"/>
      <c r="AB140" s="554" t="b">
        <f t="shared" si="25"/>
        <v>0</v>
      </c>
    </row>
    <row r="141" spans="1:28" ht="13.5" customHeight="1">
      <c r="A141" s="568" t="s">
        <v>625</v>
      </c>
      <c r="B141" s="3335"/>
      <c r="C141" s="3335"/>
      <c r="D141" s="3335"/>
      <c r="E141" s="3335"/>
      <c r="F141" s="3335"/>
      <c r="G141" s="3335"/>
      <c r="H141" s="3335"/>
      <c r="I141" s="3335"/>
      <c r="J141" s="3335"/>
      <c r="K141" s="3335"/>
      <c r="L141" s="3335"/>
      <c r="M141" s="3335"/>
      <c r="N141" s="3335"/>
      <c r="O141" s="3335"/>
      <c r="P141" s="3335"/>
      <c r="Q141" s="3335"/>
      <c r="R141" s="3335"/>
      <c r="S141" s="3335"/>
      <c r="T141" s="3335"/>
      <c r="U141" s="3335"/>
      <c r="V141" s="3335"/>
      <c r="W141" s="3335"/>
      <c r="X141" s="3335"/>
      <c r="Y141" s="3335"/>
      <c r="Z141" s="3335"/>
      <c r="AA141" s="3335"/>
      <c r="AB141" s="554" t="b">
        <f t="shared" si="25"/>
        <v>0</v>
      </c>
    </row>
    <row r="142" spans="1:28" ht="13.5" customHeight="1">
      <c r="A142" s="569" t="s">
        <v>626</v>
      </c>
      <c r="B142" s="3334"/>
      <c r="C142" s="3334"/>
      <c r="D142" s="3334"/>
      <c r="E142" s="3334"/>
      <c r="F142" s="3334"/>
      <c r="G142" s="3334"/>
      <c r="H142" s="3334"/>
      <c r="I142" s="3334"/>
      <c r="J142" s="3334"/>
      <c r="K142" s="3334"/>
      <c r="L142" s="3334"/>
      <c r="M142" s="3334"/>
      <c r="N142" s="3334"/>
      <c r="O142" s="3334"/>
      <c r="P142" s="3334"/>
      <c r="Q142" s="3334"/>
      <c r="R142" s="3334"/>
      <c r="S142" s="3334"/>
      <c r="T142" s="3334"/>
      <c r="U142" s="3334"/>
      <c r="V142" s="3334"/>
      <c r="W142" s="3334"/>
      <c r="X142" s="3334"/>
      <c r="Y142" s="3334"/>
      <c r="Z142" s="3334"/>
      <c r="AA142" s="3334"/>
      <c r="AB142" s="554" t="b">
        <f t="shared" si="25"/>
        <v>0</v>
      </c>
    </row>
    <row r="143" spans="1:28" ht="13.5" customHeight="1">
      <c r="A143" s="568" t="s">
        <v>627</v>
      </c>
      <c r="B143" s="3333"/>
      <c r="C143" s="3333"/>
      <c r="D143" s="3333"/>
      <c r="E143" s="3333"/>
      <c r="F143" s="3333"/>
      <c r="G143" s="3333"/>
      <c r="H143" s="3333"/>
      <c r="I143" s="3333"/>
      <c r="J143" s="3333"/>
      <c r="K143" s="3333"/>
      <c r="L143" s="3333"/>
      <c r="M143" s="3333"/>
      <c r="N143" s="3333"/>
      <c r="O143" s="3333"/>
      <c r="P143" s="3333"/>
      <c r="Q143" s="3333"/>
      <c r="R143" s="3333"/>
      <c r="S143" s="3333"/>
      <c r="T143" s="3333"/>
      <c r="U143" s="3333"/>
      <c r="V143" s="3333"/>
      <c r="W143" s="3333"/>
      <c r="X143" s="3333"/>
      <c r="Y143" s="3333"/>
      <c r="Z143" s="3333"/>
      <c r="AA143" s="3333"/>
      <c r="AB143" s="554" t="b">
        <f t="shared" si="25"/>
        <v>0</v>
      </c>
    </row>
    <row r="144" spans="1:28" ht="13.5" customHeight="1">
      <c r="A144" s="569" t="s">
        <v>628</v>
      </c>
      <c r="B144" s="3328"/>
      <c r="C144" s="3328"/>
      <c r="D144" s="3328"/>
      <c r="E144" s="3328"/>
      <c r="F144" s="3328"/>
      <c r="G144" s="3328"/>
      <c r="H144" s="3328"/>
      <c r="I144" s="3328"/>
      <c r="J144" s="3328"/>
      <c r="K144" s="3328"/>
      <c r="L144" s="3328"/>
      <c r="M144" s="3328"/>
      <c r="N144" s="3328"/>
      <c r="O144" s="3328"/>
      <c r="P144" s="3328"/>
      <c r="Q144" s="3328"/>
      <c r="R144" s="3328"/>
      <c r="S144" s="3328"/>
      <c r="T144" s="3328"/>
      <c r="U144" s="3328"/>
      <c r="V144" s="3328"/>
      <c r="W144" s="3328"/>
      <c r="X144" s="3328"/>
      <c r="Y144" s="3328"/>
      <c r="Z144" s="3328"/>
      <c r="AA144" s="3328"/>
      <c r="AB144" s="554" t="b">
        <f t="shared" si="25"/>
        <v>0</v>
      </c>
    </row>
    <row r="145" spans="1:28" ht="13.5" customHeight="1">
      <c r="A145" s="566" t="s">
        <v>1069</v>
      </c>
      <c r="B145" s="3271">
        <f>ROUNDDOWN((SUM(B131:C138)*B139-B141)*B143+(SUM(B131:C138)*B140-B142)*B144,2)</f>
        <v>0</v>
      </c>
      <c r="C145" s="3273"/>
      <c r="D145" s="3271">
        <f>ROUNDDOWN((SUM(D131:E138)*D139-D141)*D143+(SUM(D131:E138)*D140-D142)*D144,2)</f>
        <v>0</v>
      </c>
      <c r="E145" s="3273"/>
      <c r="F145" s="3271">
        <f>ROUNDDOWN((SUM(F131:G138)*F139-F141)*F143+(SUM(F131:G138)*F140-F142)*F144,2)</f>
        <v>0</v>
      </c>
      <c r="G145" s="3273"/>
      <c r="H145" s="3271">
        <f>ROUNDDOWN((SUM(H131:I138)*H139-H141)*H143+(SUM(H131:I138)*H140-H142)*H144,2)</f>
        <v>0</v>
      </c>
      <c r="I145" s="3273"/>
      <c r="J145" s="3271">
        <f>ROUNDDOWN((SUM(J131:K138)*J139-J141)*J143+(SUM(J131:K138)*J140-J142)*J144,2)</f>
        <v>0</v>
      </c>
      <c r="K145" s="3273"/>
      <c r="L145" s="3271">
        <f>ROUNDDOWN((SUM(L131:M138)*L139-L141)*L143+(SUM(L131:M138)*L140-L142)*L144,2)</f>
        <v>0</v>
      </c>
      <c r="M145" s="3273"/>
      <c r="N145" s="3271">
        <f>ROUNDDOWN((SUM(N131:O138)*N139-N141)*N143+(SUM(N131:O138)*N140-N142)*N144,2)</f>
        <v>0</v>
      </c>
      <c r="O145" s="3273"/>
      <c r="P145" s="3271">
        <f>ROUNDDOWN((SUM(P131:Q138)*P139-P141)*P143+(SUM(P131:Q138)*P140-P142)*P144,2)</f>
        <v>0</v>
      </c>
      <c r="Q145" s="3273"/>
      <c r="R145" s="3271">
        <f>ROUNDDOWN((SUM(R131:S138)*R139-R141)*R143+(SUM(R131:S138)*R140-R142)*R144,2)</f>
        <v>0</v>
      </c>
      <c r="S145" s="3273"/>
      <c r="T145" s="3271">
        <f>ROUNDDOWN((SUM(T131:U138)*T139-T141)*T143+(SUM(T131:U138)*T140-T142)*T144,2)</f>
        <v>0</v>
      </c>
      <c r="U145" s="3273"/>
      <c r="V145" s="3271">
        <f>ROUNDDOWN((SUM(V131:W138)*V139-V141)*V143+(SUM(V131:W138)*V140-V142)*V144,2)</f>
        <v>0</v>
      </c>
      <c r="W145" s="3273"/>
      <c r="X145" s="3271">
        <f>ROUNDDOWN((SUM(X131:Y138)*X139-X141)*X143+(SUM(X131:Y138)*X140-X142)*X144,2)</f>
        <v>0</v>
      </c>
      <c r="Y145" s="3273"/>
      <c r="Z145" s="3271">
        <f>ROUNDDOWN((SUM(Z131:AA138)*Z139-Z141)*Z143+(SUM(Z131:AA138)*Z140-Z142)*Z144,2)</f>
        <v>0</v>
      </c>
      <c r="AA145" s="3273"/>
      <c r="AB145" s="570" t="b">
        <f>COUNTIF(B145:AA145,"&lt;&gt;0")-13&lt;&gt;0</f>
        <v>0</v>
      </c>
    </row>
  </sheetData>
  <autoFilter ref="AB2:AB145"/>
  <mergeCells count="1048">
    <mergeCell ref="B122:C122"/>
    <mergeCell ref="D122:E122"/>
    <mergeCell ref="F122:G122"/>
    <mergeCell ref="H122:I122"/>
    <mergeCell ref="J122:K122"/>
    <mergeCell ref="X122:Y122"/>
    <mergeCell ref="Z122:AA122"/>
    <mergeCell ref="B123:C123"/>
    <mergeCell ref="D123:E123"/>
    <mergeCell ref="F123:G123"/>
    <mergeCell ref="H123:I123"/>
    <mergeCell ref="L122:M122"/>
    <mergeCell ref="N122:O122"/>
    <mergeCell ref="P122:Q122"/>
    <mergeCell ref="R122:S122"/>
    <mergeCell ref="T122:U122"/>
    <mergeCell ref="V122:W122"/>
    <mergeCell ref="V123:W123"/>
    <mergeCell ref="X123:Y123"/>
    <mergeCell ref="J123:K123"/>
    <mergeCell ref="L123:M123"/>
    <mergeCell ref="N123:O123"/>
    <mergeCell ref="P123:Q123"/>
    <mergeCell ref="Z120:AA120"/>
    <mergeCell ref="B121:C121"/>
    <mergeCell ref="D121:E121"/>
    <mergeCell ref="F121:G121"/>
    <mergeCell ref="H121:I121"/>
    <mergeCell ref="J121:K121"/>
    <mergeCell ref="L121:M121"/>
    <mergeCell ref="N121:O121"/>
    <mergeCell ref="P121:Q121"/>
    <mergeCell ref="X103:Y103"/>
    <mergeCell ref="X119:Y119"/>
    <mergeCell ref="X118:Y118"/>
    <mergeCell ref="B103:C103"/>
    <mergeCell ref="D103:E103"/>
    <mergeCell ref="F103:G103"/>
    <mergeCell ref="H103:I103"/>
    <mergeCell ref="R121:S121"/>
    <mergeCell ref="T121:U121"/>
    <mergeCell ref="V121:W121"/>
    <mergeCell ref="X121:Y121"/>
    <mergeCell ref="Z121:AA121"/>
    <mergeCell ref="B114:C114"/>
    <mergeCell ref="Z112:AA112"/>
    <mergeCell ref="B119:C119"/>
    <mergeCell ref="D119:E119"/>
    <mergeCell ref="F119:G119"/>
    <mergeCell ref="H119:I119"/>
    <mergeCell ref="P119:Q119"/>
    <mergeCell ref="T118:U118"/>
    <mergeCell ref="V119:W119"/>
    <mergeCell ref="Z116:AA116"/>
    <mergeCell ref="Z114:AA114"/>
    <mergeCell ref="Z94:AA94"/>
    <mergeCell ref="X95:Y95"/>
    <mergeCell ref="Z95:AA95"/>
    <mergeCell ref="V96:W96"/>
    <mergeCell ref="X96:Y96"/>
    <mergeCell ref="Z96:AA96"/>
    <mergeCell ref="X90:Y90"/>
    <mergeCell ref="Z90:AA90"/>
    <mergeCell ref="V92:W92"/>
    <mergeCell ref="X92:Y92"/>
    <mergeCell ref="Z92:AA92"/>
    <mergeCell ref="Z93:AA93"/>
    <mergeCell ref="V90:W90"/>
    <mergeCell ref="V93:W93"/>
    <mergeCell ref="Z91:AA91"/>
    <mergeCell ref="Z100:AA100"/>
    <mergeCell ref="X101:Y101"/>
    <mergeCell ref="Z101:AA101"/>
    <mergeCell ref="X97:Y97"/>
    <mergeCell ref="Z97:AA97"/>
    <mergeCell ref="V98:W98"/>
    <mergeCell ref="X98:Y98"/>
    <mergeCell ref="Z98:AA98"/>
    <mergeCell ref="X99:Y99"/>
    <mergeCell ref="Z99:AA99"/>
    <mergeCell ref="V101:W101"/>
    <mergeCell ref="D30:F30"/>
    <mergeCell ref="D31:F31"/>
    <mergeCell ref="Y31:AA31"/>
    <mergeCell ref="Z64:AA64"/>
    <mergeCell ref="Y54:AA54"/>
    <mergeCell ref="Y55:AA55"/>
    <mergeCell ref="Y59:AA59"/>
    <mergeCell ref="Y57:AA57"/>
    <mergeCell ref="Y58:AA58"/>
    <mergeCell ref="Y56:AA56"/>
    <mergeCell ref="R64:S64"/>
    <mergeCell ref="T64:U64"/>
    <mergeCell ref="P64:Q64"/>
    <mergeCell ref="D64:E64"/>
    <mergeCell ref="V64:W64"/>
    <mergeCell ref="X64:Y64"/>
    <mergeCell ref="L64:M64"/>
    <mergeCell ref="F64:G64"/>
    <mergeCell ref="H64:I64"/>
    <mergeCell ref="R30:T30"/>
    <mergeCell ref="R31:T31"/>
    <mergeCell ref="K30:M30"/>
    <mergeCell ref="K31:M31"/>
    <mergeCell ref="Y30:AA30"/>
    <mergeCell ref="N64:O64"/>
    <mergeCell ref="J119:K119"/>
    <mergeCell ref="L119:M119"/>
    <mergeCell ref="N119:O119"/>
    <mergeCell ref="V73:W73"/>
    <mergeCell ref="X73:Y73"/>
    <mergeCell ref="Z73:AA73"/>
    <mergeCell ref="X74:Y74"/>
    <mergeCell ref="Z74:AA74"/>
    <mergeCell ref="X65:Y65"/>
    <mergeCell ref="Z65:AA65"/>
    <mergeCell ref="X78:Y78"/>
    <mergeCell ref="Z78:AA78"/>
    <mergeCell ref="V79:W79"/>
    <mergeCell ref="X79:Y79"/>
    <mergeCell ref="Z79:AA79"/>
    <mergeCell ref="V75:W75"/>
    <mergeCell ref="X75:Y75"/>
    <mergeCell ref="Z75:AA75"/>
    <mergeCell ref="X76:Y76"/>
    <mergeCell ref="Z76:AA76"/>
    <mergeCell ref="V77:W77"/>
    <mergeCell ref="X77:Y77"/>
    <mergeCell ref="Z77:AA77"/>
    <mergeCell ref="X86:Y86"/>
    <mergeCell ref="Z86:AA86"/>
    <mergeCell ref="V89:W89"/>
    <mergeCell ref="X89:Y89"/>
    <mergeCell ref="Z89:AA89"/>
    <mergeCell ref="V87:W87"/>
    <mergeCell ref="X87:Y87"/>
    <mergeCell ref="Z87:AA87"/>
    <mergeCell ref="V81:W81"/>
    <mergeCell ref="D101:E101"/>
    <mergeCell ref="F101:G101"/>
    <mergeCell ref="H101:I101"/>
    <mergeCell ref="N101:O101"/>
    <mergeCell ref="X120:Y120"/>
    <mergeCell ref="J103:K103"/>
    <mergeCell ref="L103:M103"/>
    <mergeCell ref="N103:O103"/>
    <mergeCell ref="P103:Q103"/>
    <mergeCell ref="T103:U103"/>
    <mergeCell ref="V120:W120"/>
    <mergeCell ref="T120:U120"/>
    <mergeCell ref="V115:W115"/>
    <mergeCell ref="T112:U112"/>
    <mergeCell ref="T117:U117"/>
    <mergeCell ref="R117:S117"/>
    <mergeCell ref="R119:S119"/>
    <mergeCell ref="T119:U119"/>
    <mergeCell ref="T115:U115"/>
    <mergeCell ref="R114:S114"/>
    <mergeCell ref="R115:S115"/>
    <mergeCell ref="R103:S103"/>
    <mergeCell ref="X116:Y116"/>
    <mergeCell ref="R116:S116"/>
    <mergeCell ref="V116:W116"/>
    <mergeCell ref="R112:S112"/>
    <mergeCell ref="X108:Y108"/>
    <mergeCell ref="V102:W102"/>
    <mergeCell ref="X102:Y102"/>
    <mergeCell ref="V113:W113"/>
    <mergeCell ref="T109:U109"/>
    <mergeCell ref="V109:W109"/>
    <mergeCell ref="J117:K117"/>
    <mergeCell ref="L117:M117"/>
    <mergeCell ref="Z115:AA115"/>
    <mergeCell ref="B116:C116"/>
    <mergeCell ref="R99:S99"/>
    <mergeCell ref="T99:U99"/>
    <mergeCell ref="R98:S98"/>
    <mergeCell ref="T98:U98"/>
    <mergeCell ref="J99:K99"/>
    <mergeCell ref="B100:C100"/>
    <mergeCell ref="D100:E100"/>
    <mergeCell ref="F100:G100"/>
    <mergeCell ref="H100:I100"/>
    <mergeCell ref="R120:S120"/>
    <mergeCell ref="B120:C120"/>
    <mergeCell ref="D120:E120"/>
    <mergeCell ref="F120:G120"/>
    <mergeCell ref="H120:I120"/>
    <mergeCell ref="B101:C101"/>
    <mergeCell ref="P101:Q101"/>
    <mergeCell ref="P120:Q120"/>
    <mergeCell ref="J120:K120"/>
    <mergeCell ref="L120:M120"/>
    <mergeCell ref="N120:O120"/>
    <mergeCell ref="J100:K100"/>
    <mergeCell ref="L100:M100"/>
    <mergeCell ref="N100:O100"/>
    <mergeCell ref="P100:Q100"/>
    <mergeCell ref="L101:M101"/>
    <mergeCell ref="R101:S101"/>
    <mergeCell ref="R100:S100"/>
    <mergeCell ref="H102:I102"/>
    <mergeCell ref="L94:M94"/>
    <mergeCell ref="T100:U100"/>
    <mergeCell ref="T101:U101"/>
    <mergeCell ref="F102:G102"/>
    <mergeCell ref="B102:C102"/>
    <mergeCell ref="D102:E102"/>
    <mergeCell ref="Z111:AA111"/>
    <mergeCell ref="B112:C112"/>
    <mergeCell ref="Z119:AA119"/>
    <mergeCell ref="P102:Q102"/>
    <mergeCell ref="Z102:AA102"/>
    <mergeCell ref="Z103:AA103"/>
    <mergeCell ref="Z117:AA117"/>
    <mergeCell ref="B118:C118"/>
    <mergeCell ref="D118:E118"/>
    <mergeCell ref="F118:G118"/>
    <mergeCell ref="H118:I118"/>
    <mergeCell ref="J118:K118"/>
    <mergeCell ref="L118:M118"/>
    <mergeCell ref="N118:O118"/>
    <mergeCell ref="P118:Q118"/>
    <mergeCell ref="R118:S118"/>
    <mergeCell ref="X117:Y117"/>
    <mergeCell ref="B117:C117"/>
    <mergeCell ref="D117:E117"/>
    <mergeCell ref="F117:G117"/>
    <mergeCell ref="H117:I117"/>
    <mergeCell ref="V117:W117"/>
    <mergeCell ref="N117:O117"/>
    <mergeCell ref="Z118:AA118"/>
    <mergeCell ref="V118:W118"/>
    <mergeCell ref="P117:Q117"/>
    <mergeCell ref="F97:G97"/>
    <mergeCell ref="H97:I97"/>
    <mergeCell ref="J97:K97"/>
    <mergeCell ref="F98:G98"/>
    <mergeCell ref="H98:I98"/>
    <mergeCell ref="J98:K98"/>
    <mergeCell ref="F99:G99"/>
    <mergeCell ref="B115:C115"/>
    <mergeCell ref="L115:M115"/>
    <mergeCell ref="X93:Y93"/>
    <mergeCell ref="X115:Y115"/>
    <mergeCell ref="V103:W103"/>
    <mergeCell ref="V95:W95"/>
    <mergeCell ref="V97:W97"/>
    <mergeCell ref="V99:W99"/>
    <mergeCell ref="V112:W112"/>
    <mergeCell ref="X112:Y112"/>
    <mergeCell ref="X111:Y111"/>
    <mergeCell ref="V94:W94"/>
    <mergeCell ref="X94:Y94"/>
    <mergeCell ref="V100:W100"/>
    <mergeCell ref="X100:Y100"/>
    <mergeCell ref="P93:Q93"/>
    <mergeCell ref="R93:S93"/>
    <mergeCell ref="D94:E94"/>
    <mergeCell ref="F94:G94"/>
    <mergeCell ref="J114:K114"/>
    <mergeCell ref="D112:E112"/>
    <mergeCell ref="F112:G112"/>
    <mergeCell ref="H112:I112"/>
    <mergeCell ref="J112:K112"/>
    <mergeCell ref="L112:M112"/>
    <mergeCell ref="L99:M99"/>
    <mergeCell ref="R102:S102"/>
    <mergeCell ref="T102:U102"/>
    <mergeCell ref="L102:M102"/>
    <mergeCell ref="N102:O102"/>
    <mergeCell ref="T116:U116"/>
    <mergeCell ref="F116:G116"/>
    <mergeCell ref="H116:I116"/>
    <mergeCell ref="J116:K116"/>
    <mergeCell ref="L116:M116"/>
    <mergeCell ref="N116:O116"/>
    <mergeCell ref="P116:Q116"/>
    <mergeCell ref="N115:O115"/>
    <mergeCell ref="P115:Q115"/>
    <mergeCell ref="L114:M114"/>
    <mergeCell ref="N114:O114"/>
    <mergeCell ref="T113:U113"/>
    <mergeCell ref="N112:O112"/>
    <mergeCell ref="P112:Q112"/>
    <mergeCell ref="T114:U114"/>
    <mergeCell ref="J102:K102"/>
    <mergeCell ref="R107:S107"/>
    <mergeCell ref="D115:E115"/>
    <mergeCell ref="F115:G115"/>
    <mergeCell ref="H115:I115"/>
    <mergeCell ref="J115:K115"/>
    <mergeCell ref="D116:E116"/>
    <mergeCell ref="B86:C86"/>
    <mergeCell ref="D86:E86"/>
    <mergeCell ref="F86:G86"/>
    <mergeCell ref="H86:I86"/>
    <mergeCell ref="J86:K86"/>
    <mergeCell ref="B107:C107"/>
    <mergeCell ref="D107:E107"/>
    <mergeCell ref="F107:G107"/>
    <mergeCell ref="H107:I107"/>
    <mergeCell ref="J107:K107"/>
    <mergeCell ref="H87:I87"/>
    <mergeCell ref="J87:K87"/>
    <mergeCell ref="D96:E96"/>
    <mergeCell ref="F96:G96"/>
    <mergeCell ref="H96:I96"/>
    <mergeCell ref="J96:K96"/>
    <mergeCell ref="H94:I94"/>
    <mergeCell ref="J94:K94"/>
    <mergeCell ref="D97:E97"/>
    <mergeCell ref="B98:C98"/>
    <mergeCell ref="D98:E98"/>
    <mergeCell ref="B99:C99"/>
    <mergeCell ref="D99:E99"/>
    <mergeCell ref="H99:I99"/>
    <mergeCell ref="J101:K101"/>
    <mergeCell ref="F95:G95"/>
    <mergeCell ref="H95:I95"/>
    <mergeCell ref="F80:G80"/>
    <mergeCell ref="H80:I80"/>
    <mergeCell ref="J80:K80"/>
    <mergeCell ref="R86:S86"/>
    <mergeCell ref="P81:Q81"/>
    <mergeCell ref="R81:S81"/>
    <mergeCell ref="N79:O79"/>
    <mergeCell ref="P79:Q79"/>
    <mergeCell ref="D81:E81"/>
    <mergeCell ref="F81:G81"/>
    <mergeCell ref="H81:I81"/>
    <mergeCell ref="J81:K81"/>
    <mergeCell ref="L81:M81"/>
    <mergeCell ref="N81:O81"/>
    <mergeCell ref="R79:S79"/>
    <mergeCell ref="L86:M86"/>
    <mergeCell ref="N86:O86"/>
    <mergeCell ref="R82:S82"/>
    <mergeCell ref="D82:E82"/>
    <mergeCell ref="F82:G82"/>
    <mergeCell ref="H82:I82"/>
    <mergeCell ref="J82:K82"/>
    <mergeCell ref="P86:Q86"/>
    <mergeCell ref="L82:M82"/>
    <mergeCell ref="N82:O82"/>
    <mergeCell ref="P82:Q82"/>
    <mergeCell ref="L85:M85"/>
    <mergeCell ref="N85:O85"/>
    <mergeCell ref="D85:E85"/>
    <mergeCell ref="F85:G85"/>
    <mergeCell ref="R85:S85"/>
    <mergeCell ref="H92:I92"/>
    <mergeCell ref="J95:K95"/>
    <mergeCell ref="L95:M95"/>
    <mergeCell ref="H75:I75"/>
    <mergeCell ref="J75:K75"/>
    <mergeCell ref="L75:M75"/>
    <mergeCell ref="N75:O75"/>
    <mergeCell ref="H77:I77"/>
    <mergeCell ref="J77:K77"/>
    <mergeCell ref="H78:I78"/>
    <mergeCell ref="J78:K78"/>
    <mergeCell ref="V114:W114"/>
    <mergeCell ref="X114:Y114"/>
    <mergeCell ref="D79:E79"/>
    <mergeCell ref="F79:G79"/>
    <mergeCell ref="H79:I79"/>
    <mergeCell ref="J79:K79"/>
    <mergeCell ref="R110:S110"/>
    <mergeCell ref="L78:M78"/>
    <mergeCell ref="N78:O78"/>
    <mergeCell ref="P78:Q78"/>
    <mergeCell ref="R78:S78"/>
    <mergeCell ref="L80:M80"/>
    <mergeCell ref="N80:O80"/>
    <mergeCell ref="P80:Q80"/>
    <mergeCell ref="R80:S80"/>
    <mergeCell ref="L79:M79"/>
    <mergeCell ref="P114:Q114"/>
    <mergeCell ref="D114:E114"/>
    <mergeCell ref="F114:G114"/>
    <mergeCell ref="H114:I114"/>
    <mergeCell ref="D80:E80"/>
    <mergeCell ref="V108:W108"/>
    <mergeCell ref="V107:W107"/>
    <mergeCell ref="X107:Y107"/>
    <mergeCell ref="P95:Q95"/>
    <mergeCell ref="R95:S95"/>
    <mergeCell ref="P96:Q96"/>
    <mergeCell ref="N96:O96"/>
    <mergeCell ref="T97:U97"/>
    <mergeCell ref="L96:M96"/>
    <mergeCell ref="T93:U93"/>
    <mergeCell ref="N89:O89"/>
    <mergeCell ref="P89:Q89"/>
    <mergeCell ref="D89:E89"/>
    <mergeCell ref="F89:G89"/>
    <mergeCell ref="H89:I89"/>
    <mergeCell ref="J93:K93"/>
    <mergeCell ref="L93:M93"/>
    <mergeCell ref="N93:O93"/>
    <mergeCell ref="P90:Q90"/>
    <mergeCell ref="N90:O90"/>
    <mergeCell ref="N92:O92"/>
    <mergeCell ref="P92:Q92"/>
    <mergeCell ref="D90:E90"/>
    <mergeCell ref="F90:G90"/>
    <mergeCell ref="H90:I90"/>
    <mergeCell ref="J90:K90"/>
    <mergeCell ref="L90:M90"/>
    <mergeCell ref="F93:G93"/>
    <mergeCell ref="H93:I93"/>
    <mergeCell ref="L92:M92"/>
    <mergeCell ref="D92:E92"/>
    <mergeCell ref="F92:G92"/>
    <mergeCell ref="L98:M98"/>
    <mergeCell ref="B97:C97"/>
    <mergeCell ref="B74:C74"/>
    <mergeCell ref="Z110:AA110"/>
    <mergeCell ref="B111:C111"/>
    <mergeCell ref="D111:E111"/>
    <mergeCell ref="F111:G111"/>
    <mergeCell ref="H111:I111"/>
    <mergeCell ref="J111:K111"/>
    <mergeCell ref="L111:M111"/>
    <mergeCell ref="N111:O111"/>
    <mergeCell ref="P111:Q111"/>
    <mergeCell ref="T111:U111"/>
    <mergeCell ref="V111:W111"/>
    <mergeCell ref="R111:S111"/>
    <mergeCell ref="T110:U110"/>
    <mergeCell ref="V110:W110"/>
    <mergeCell ref="X110:Y110"/>
    <mergeCell ref="Z107:AA107"/>
    <mergeCell ref="Z106:AA106"/>
    <mergeCell ref="V106:W106"/>
    <mergeCell ref="B108:C108"/>
    <mergeCell ref="D108:E108"/>
    <mergeCell ref="F108:G108"/>
    <mergeCell ref="H108:I108"/>
    <mergeCell ref="J108:K108"/>
    <mergeCell ref="L108:M108"/>
    <mergeCell ref="N108:O108"/>
    <mergeCell ref="P108:Q108"/>
    <mergeCell ref="R108:S108"/>
    <mergeCell ref="T108:U108"/>
    <mergeCell ref="R106:S106"/>
    <mergeCell ref="D76:E76"/>
    <mergeCell ref="F76:G76"/>
    <mergeCell ref="D75:E75"/>
    <mergeCell ref="F75:G75"/>
    <mergeCell ref="X106:Y106"/>
    <mergeCell ref="F74:G74"/>
    <mergeCell ref="P72:Q72"/>
    <mergeCell ref="D73:E73"/>
    <mergeCell ref="B110:C110"/>
    <mergeCell ref="D110:E110"/>
    <mergeCell ref="F110:G110"/>
    <mergeCell ref="H110:I110"/>
    <mergeCell ref="J110:K110"/>
    <mergeCell ref="D72:E72"/>
    <mergeCell ref="F72:G72"/>
    <mergeCell ref="H72:I72"/>
    <mergeCell ref="J72:K72"/>
    <mergeCell ref="L72:M72"/>
    <mergeCell ref="L110:M110"/>
    <mergeCell ref="N110:O110"/>
    <mergeCell ref="P110:Q110"/>
    <mergeCell ref="P106:Q106"/>
    <mergeCell ref="L73:M73"/>
    <mergeCell ref="N73:O73"/>
    <mergeCell ref="P73:Q73"/>
    <mergeCell ref="B87:C87"/>
    <mergeCell ref="T90:U90"/>
    <mergeCell ref="T92:U92"/>
    <mergeCell ref="R94:S94"/>
    <mergeCell ref="R96:S96"/>
    <mergeCell ref="R97:S97"/>
    <mergeCell ref="N99:O99"/>
    <mergeCell ref="R65:S65"/>
    <mergeCell ref="T107:U107"/>
    <mergeCell ref="L68:M68"/>
    <mergeCell ref="N68:O68"/>
    <mergeCell ref="P68:Q68"/>
    <mergeCell ref="R68:S68"/>
    <mergeCell ref="T68:U68"/>
    <mergeCell ref="R69:S69"/>
    <mergeCell ref="T69:U69"/>
    <mergeCell ref="T70:U70"/>
    <mergeCell ref="L107:M107"/>
    <mergeCell ref="N107:O107"/>
    <mergeCell ref="P107:Q107"/>
    <mergeCell ref="N65:O65"/>
    <mergeCell ref="P65:Q65"/>
    <mergeCell ref="P85:Q85"/>
    <mergeCell ref="T106:U106"/>
    <mergeCell ref="R77:S77"/>
    <mergeCell ref="R73:S73"/>
    <mergeCell ref="P75:Q75"/>
    <mergeCell ref="N98:O98"/>
    <mergeCell ref="P98:Q98"/>
    <mergeCell ref="P94:Q94"/>
    <mergeCell ref="L97:M97"/>
    <mergeCell ref="N97:O97"/>
    <mergeCell ref="P97:Q97"/>
    <mergeCell ref="N94:O94"/>
    <mergeCell ref="R92:S92"/>
    <mergeCell ref="N95:O95"/>
    <mergeCell ref="L65:M65"/>
    <mergeCell ref="L69:M69"/>
    <mergeCell ref="P99:Q99"/>
    <mergeCell ref="B96:C96"/>
    <mergeCell ref="B89:C89"/>
    <mergeCell ref="B90:C90"/>
    <mergeCell ref="D68:E68"/>
    <mergeCell ref="F68:G68"/>
    <mergeCell ref="H68:I68"/>
    <mergeCell ref="B76:C76"/>
    <mergeCell ref="B77:C77"/>
    <mergeCell ref="B78:C78"/>
    <mergeCell ref="B79:C79"/>
    <mergeCell ref="B92:C92"/>
    <mergeCell ref="B93:C93"/>
    <mergeCell ref="B94:C94"/>
    <mergeCell ref="B95:C95"/>
    <mergeCell ref="B81:C81"/>
    <mergeCell ref="H85:I85"/>
    <mergeCell ref="J85:K85"/>
    <mergeCell ref="F69:G69"/>
    <mergeCell ref="B82:C82"/>
    <mergeCell ref="B85:C85"/>
    <mergeCell ref="D74:E74"/>
    <mergeCell ref="D87:E87"/>
    <mergeCell ref="F87:G87"/>
    <mergeCell ref="D77:E77"/>
    <mergeCell ref="F77:G77"/>
    <mergeCell ref="D78:E78"/>
    <mergeCell ref="F78:G78"/>
    <mergeCell ref="D93:E93"/>
    <mergeCell ref="D95:E95"/>
    <mergeCell ref="B91:C91"/>
    <mergeCell ref="D91:E91"/>
    <mergeCell ref="F91:G91"/>
    <mergeCell ref="H65:I65"/>
    <mergeCell ref="J89:K89"/>
    <mergeCell ref="L89:M89"/>
    <mergeCell ref="L77:M77"/>
    <mergeCell ref="B80:C80"/>
    <mergeCell ref="J92:K92"/>
    <mergeCell ref="H74:I74"/>
    <mergeCell ref="J74:K74"/>
    <mergeCell ref="L74:M74"/>
    <mergeCell ref="L76:M76"/>
    <mergeCell ref="H76:I76"/>
    <mergeCell ref="J76:K76"/>
    <mergeCell ref="D65:E65"/>
    <mergeCell ref="F65:G65"/>
    <mergeCell ref="H69:I69"/>
    <mergeCell ref="J69:K69"/>
    <mergeCell ref="H73:I73"/>
    <mergeCell ref="J73:K73"/>
    <mergeCell ref="D70:E70"/>
    <mergeCell ref="F70:G70"/>
    <mergeCell ref="H70:I70"/>
    <mergeCell ref="J70:K70"/>
    <mergeCell ref="F73:G73"/>
    <mergeCell ref="B68:C68"/>
    <mergeCell ref="B69:C69"/>
    <mergeCell ref="B70:C70"/>
    <mergeCell ref="B71:C71"/>
    <mergeCell ref="D71:E71"/>
    <mergeCell ref="F71:G71"/>
    <mergeCell ref="H71:I71"/>
    <mergeCell ref="J66:K66"/>
    <mergeCell ref="L66:M66"/>
    <mergeCell ref="Z66:AA66"/>
    <mergeCell ref="T78:U78"/>
    <mergeCell ref="V74:W74"/>
    <mergeCell ref="V76:W76"/>
    <mergeCell ref="V78:W78"/>
    <mergeCell ref="V80:W80"/>
    <mergeCell ref="T82:U82"/>
    <mergeCell ref="X72:Y72"/>
    <mergeCell ref="Z72:AA72"/>
    <mergeCell ref="T79:U79"/>
    <mergeCell ref="T74:U74"/>
    <mergeCell ref="T75:U75"/>
    <mergeCell ref="T76:U76"/>
    <mergeCell ref="T80:U80"/>
    <mergeCell ref="T77:U77"/>
    <mergeCell ref="T86:U86"/>
    <mergeCell ref="X66:Y66"/>
    <mergeCell ref="X81:Y81"/>
    <mergeCell ref="Z81:AA81"/>
    <mergeCell ref="X82:Y82"/>
    <mergeCell ref="Z82:AA82"/>
    <mergeCell ref="V85:W85"/>
    <mergeCell ref="X85:Y85"/>
    <mergeCell ref="Z85:AA85"/>
    <mergeCell ref="V82:W82"/>
    <mergeCell ref="V86:W86"/>
    <mergeCell ref="T94:U94"/>
    <mergeCell ref="T95:U95"/>
    <mergeCell ref="T96:U96"/>
    <mergeCell ref="X80:Y80"/>
    <mergeCell ref="Z80:AA80"/>
    <mergeCell ref="K58:M58"/>
    <mergeCell ref="D56:F56"/>
    <mergeCell ref="K56:M56"/>
    <mergeCell ref="D55:F55"/>
    <mergeCell ref="A62:B62"/>
    <mergeCell ref="A34:F34"/>
    <mergeCell ref="V70:W70"/>
    <mergeCell ref="R26:T26"/>
    <mergeCell ref="R27:T27"/>
    <mergeCell ref="R28:T28"/>
    <mergeCell ref="R54:T54"/>
    <mergeCell ref="R55:T55"/>
    <mergeCell ref="B64:C64"/>
    <mergeCell ref="B65:C65"/>
    <mergeCell ref="K55:M55"/>
    <mergeCell ref="D54:F54"/>
    <mergeCell ref="K54:M54"/>
    <mergeCell ref="B66:C66"/>
    <mergeCell ref="D66:E66"/>
    <mergeCell ref="F66:G66"/>
    <mergeCell ref="H66:I66"/>
    <mergeCell ref="V34:AA34"/>
    <mergeCell ref="R56:T56"/>
    <mergeCell ref="O34:T34"/>
    <mergeCell ref="V66:W66"/>
    <mergeCell ref="T87:U87"/>
    <mergeCell ref="Z68:AA68"/>
    <mergeCell ref="T65:U65"/>
    <mergeCell ref="V65:W65"/>
    <mergeCell ref="J65:K65"/>
    <mergeCell ref="J64:K64"/>
    <mergeCell ref="X124:Y124"/>
    <mergeCell ref="Z124:AA124"/>
    <mergeCell ref="Z123:AA123"/>
    <mergeCell ref="B124:C124"/>
    <mergeCell ref="D124:E124"/>
    <mergeCell ref="F124:G124"/>
    <mergeCell ref="H124:I124"/>
    <mergeCell ref="J124:K124"/>
    <mergeCell ref="L124:M124"/>
    <mergeCell ref="N124:O124"/>
    <mergeCell ref="R123:S123"/>
    <mergeCell ref="T123:U123"/>
    <mergeCell ref="P77:Q77"/>
    <mergeCell ref="R75:S75"/>
    <mergeCell ref="N76:O76"/>
    <mergeCell ref="P76:Q76"/>
    <mergeCell ref="R76:S76"/>
    <mergeCell ref="T67:U67"/>
    <mergeCell ref="V67:W67"/>
    <mergeCell ref="X67:Y67"/>
    <mergeCell ref="Z67:AA67"/>
    <mergeCell ref="B88:C88"/>
    <mergeCell ref="D88:E88"/>
    <mergeCell ref="F88:G88"/>
    <mergeCell ref="H88:I88"/>
    <mergeCell ref="J88:K88"/>
    <mergeCell ref="L88:M88"/>
    <mergeCell ref="N88:O88"/>
    <mergeCell ref="A4:B4"/>
    <mergeCell ref="B106:C106"/>
    <mergeCell ref="D106:E106"/>
    <mergeCell ref="F106:G106"/>
    <mergeCell ref="H106:I106"/>
    <mergeCell ref="J106:K106"/>
    <mergeCell ref="L106:M106"/>
    <mergeCell ref="N106:O106"/>
    <mergeCell ref="X70:Y70"/>
    <mergeCell ref="C4:D4"/>
    <mergeCell ref="C62:D62"/>
    <mergeCell ref="D59:F59"/>
    <mergeCell ref="K59:M59"/>
    <mergeCell ref="R58:T58"/>
    <mergeCell ref="R57:T57"/>
    <mergeCell ref="D57:F57"/>
    <mergeCell ref="K57:M57"/>
    <mergeCell ref="D58:F58"/>
    <mergeCell ref="R59:T59"/>
    <mergeCell ref="H34:M34"/>
    <mergeCell ref="Y27:AA27"/>
    <mergeCell ref="Y28:AA28"/>
    <mergeCell ref="Y29:AA29"/>
    <mergeCell ref="R29:T29"/>
    <mergeCell ref="A6:F6"/>
    <mergeCell ref="H6:M6"/>
    <mergeCell ref="K26:M26"/>
    <mergeCell ref="K27:M27"/>
    <mergeCell ref="K28:M28"/>
    <mergeCell ref="K29:M29"/>
    <mergeCell ref="O6:T6"/>
    <mergeCell ref="V6:AA6"/>
    <mergeCell ref="D128:E128"/>
    <mergeCell ref="F128:G128"/>
    <mergeCell ref="H128:I128"/>
    <mergeCell ref="J128:K128"/>
    <mergeCell ref="L128:M128"/>
    <mergeCell ref="N128:O128"/>
    <mergeCell ref="R127:S127"/>
    <mergeCell ref="T127:U127"/>
    <mergeCell ref="B127:C127"/>
    <mergeCell ref="D127:E127"/>
    <mergeCell ref="F127:G127"/>
    <mergeCell ref="H127:I127"/>
    <mergeCell ref="T124:U124"/>
    <mergeCell ref="V124:W124"/>
    <mergeCell ref="P124:Q124"/>
    <mergeCell ref="R124:S124"/>
    <mergeCell ref="V127:W127"/>
    <mergeCell ref="F132:G132"/>
    <mergeCell ref="H132:I132"/>
    <mergeCell ref="J132:K132"/>
    <mergeCell ref="L132:M132"/>
    <mergeCell ref="N132:O132"/>
    <mergeCell ref="B131:C131"/>
    <mergeCell ref="D131:E131"/>
    <mergeCell ref="F131:G131"/>
    <mergeCell ref="H131:I131"/>
    <mergeCell ref="R131:S131"/>
    <mergeCell ref="T131:U131"/>
    <mergeCell ref="V131:W131"/>
    <mergeCell ref="T132:U132"/>
    <mergeCell ref="V132:W132"/>
    <mergeCell ref="P132:Q132"/>
    <mergeCell ref="R132:S132"/>
    <mergeCell ref="X131:Y131"/>
    <mergeCell ref="X136:Y136"/>
    <mergeCell ref="J136:K136"/>
    <mergeCell ref="L136:M136"/>
    <mergeCell ref="X135:Y135"/>
    <mergeCell ref="Z135:AA135"/>
    <mergeCell ref="Z133:AA133"/>
    <mergeCell ref="T135:U135"/>
    <mergeCell ref="V135:W135"/>
    <mergeCell ref="P135:Q135"/>
    <mergeCell ref="R135:S135"/>
    <mergeCell ref="R133:S133"/>
    <mergeCell ref="T133:U133"/>
    <mergeCell ref="V133:W133"/>
    <mergeCell ref="N136:O136"/>
    <mergeCell ref="P136:Q136"/>
    <mergeCell ref="B135:C135"/>
    <mergeCell ref="D135:E135"/>
    <mergeCell ref="F135:G135"/>
    <mergeCell ref="H135:I135"/>
    <mergeCell ref="J135:K135"/>
    <mergeCell ref="L135:M135"/>
    <mergeCell ref="N135:O135"/>
    <mergeCell ref="B133:C133"/>
    <mergeCell ref="D133:E133"/>
    <mergeCell ref="F133:G133"/>
    <mergeCell ref="H133:I133"/>
    <mergeCell ref="X133:Y133"/>
    <mergeCell ref="J133:K133"/>
    <mergeCell ref="L133:M133"/>
    <mergeCell ref="N133:O133"/>
    <mergeCell ref="P133:Q133"/>
    <mergeCell ref="B134:C134"/>
    <mergeCell ref="B139:C139"/>
    <mergeCell ref="D139:E139"/>
    <mergeCell ref="F139:G139"/>
    <mergeCell ref="H139:I139"/>
    <mergeCell ref="J139:K139"/>
    <mergeCell ref="L139:M139"/>
    <mergeCell ref="N139:O139"/>
    <mergeCell ref="B138:C138"/>
    <mergeCell ref="D138:E138"/>
    <mergeCell ref="F138:G138"/>
    <mergeCell ref="H138:I138"/>
    <mergeCell ref="X137:Y137"/>
    <mergeCell ref="Z137:AA137"/>
    <mergeCell ref="Z136:AA136"/>
    <mergeCell ref="B137:C137"/>
    <mergeCell ref="D137:E137"/>
    <mergeCell ref="F137:G137"/>
    <mergeCell ref="H137:I137"/>
    <mergeCell ref="J137:K137"/>
    <mergeCell ref="L137:M137"/>
    <mergeCell ref="N137:O137"/>
    <mergeCell ref="B136:C136"/>
    <mergeCell ref="D136:E136"/>
    <mergeCell ref="F136:G136"/>
    <mergeCell ref="H136:I136"/>
    <mergeCell ref="T137:U137"/>
    <mergeCell ref="V137:W137"/>
    <mergeCell ref="P137:Q137"/>
    <mergeCell ref="R137:S137"/>
    <mergeCell ref="R136:S136"/>
    <mergeCell ref="T136:U136"/>
    <mergeCell ref="V136:W136"/>
    <mergeCell ref="X138:Y138"/>
    <mergeCell ref="J138:K138"/>
    <mergeCell ref="L138:M138"/>
    <mergeCell ref="N138:O138"/>
    <mergeCell ref="P138:Q138"/>
    <mergeCell ref="X139:Y139"/>
    <mergeCell ref="R140:S140"/>
    <mergeCell ref="T140:U140"/>
    <mergeCell ref="Z139:AA139"/>
    <mergeCell ref="Z138:AA138"/>
    <mergeCell ref="T139:U139"/>
    <mergeCell ref="V139:W139"/>
    <mergeCell ref="P139:Q139"/>
    <mergeCell ref="R139:S139"/>
    <mergeCell ref="R138:S138"/>
    <mergeCell ref="T138:U138"/>
    <mergeCell ref="V138:W138"/>
    <mergeCell ref="B140:C140"/>
    <mergeCell ref="D140:E140"/>
    <mergeCell ref="F140:G140"/>
    <mergeCell ref="H140:I140"/>
    <mergeCell ref="Z141:AA141"/>
    <mergeCell ref="Z140:AA140"/>
    <mergeCell ref="B141:C141"/>
    <mergeCell ref="D141:E141"/>
    <mergeCell ref="F141:G141"/>
    <mergeCell ref="H141:I141"/>
    <mergeCell ref="J141:K141"/>
    <mergeCell ref="V140:W140"/>
    <mergeCell ref="X140:Y140"/>
    <mergeCell ref="J140:K140"/>
    <mergeCell ref="L140:M140"/>
    <mergeCell ref="N140:O140"/>
    <mergeCell ref="P140:Q140"/>
    <mergeCell ref="L141:M141"/>
    <mergeCell ref="N141:O141"/>
    <mergeCell ref="P141:Q141"/>
    <mergeCell ref="R141:S141"/>
    <mergeCell ref="T141:U141"/>
    <mergeCell ref="V141:W141"/>
    <mergeCell ref="X141:Y141"/>
    <mergeCell ref="N143:O143"/>
    <mergeCell ref="P143:Q143"/>
    <mergeCell ref="R143:S143"/>
    <mergeCell ref="V143:W143"/>
    <mergeCell ref="X143:Y143"/>
    <mergeCell ref="T143:U143"/>
    <mergeCell ref="J143:K143"/>
    <mergeCell ref="L143:M143"/>
    <mergeCell ref="Z143:AA143"/>
    <mergeCell ref="Z142:AA142"/>
    <mergeCell ref="B143:C143"/>
    <mergeCell ref="D143:E143"/>
    <mergeCell ref="F143:G143"/>
    <mergeCell ref="H143:I143"/>
    <mergeCell ref="R142:S142"/>
    <mergeCell ref="T142:U142"/>
    <mergeCell ref="V142:W142"/>
    <mergeCell ref="X142:Y142"/>
    <mergeCell ref="J142:K142"/>
    <mergeCell ref="L142:M142"/>
    <mergeCell ref="N142:O142"/>
    <mergeCell ref="P142:Q142"/>
    <mergeCell ref="B142:C142"/>
    <mergeCell ref="D142:E142"/>
    <mergeCell ref="F142:G142"/>
    <mergeCell ref="H142:I142"/>
    <mergeCell ref="X145:Y145"/>
    <mergeCell ref="Z145:AA145"/>
    <mergeCell ref="Z144:AA144"/>
    <mergeCell ref="B145:C145"/>
    <mergeCell ref="D145:E145"/>
    <mergeCell ref="F145:G145"/>
    <mergeCell ref="H145:I145"/>
    <mergeCell ref="J145:K145"/>
    <mergeCell ref="L145:M145"/>
    <mergeCell ref="N145:O145"/>
    <mergeCell ref="V145:W145"/>
    <mergeCell ref="P145:Q145"/>
    <mergeCell ref="R145:S145"/>
    <mergeCell ref="R144:S144"/>
    <mergeCell ref="T144:U144"/>
    <mergeCell ref="V144:W144"/>
    <mergeCell ref="T145:U145"/>
    <mergeCell ref="B144:C144"/>
    <mergeCell ref="D144:E144"/>
    <mergeCell ref="F144:G144"/>
    <mergeCell ref="H144:I144"/>
    <mergeCell ref="X144:Y144"/>
    <mergeCell ref="J144:K144"/>
    <mergeCell ref="L144:M144"/>
    <mergeCell ref="N144:O144"/>
    <mergeCell ref="P144:Q144"/>
    <mergeCell ref="Y26:AA26"/>
    <mergeCell ref="D26:F26"/>
    <mergeCell ref="D27:F27"/>
    <mergeCell ref="D28:F28"/>
    <mergeCell ref="D29:F29"/>
    <mergeCell ref="Z108:AA108"/>
    <mergeCell ref="B129:C129"/>
    <mergeCell ref="D129:E129"/>
    <mergeCell ref="F129:G129"/>
    <mergeCell ref="H129:I129"/>
    <mergeCell ref="J129:K129"/>
    <mergeCell ref="N66:O66"/>
    <mergeCell ref="P66:Q66"/>
    <mergeCell ref="L87:M87"/>
    <mergeCell ref="N87:O87"/>
    <mergeCell ref="P87:Q87"/>
    <mergeCell ref="R87:S87"/>
    <mergeCell ref="R66:S66"/>
    <mergeCell ref="T66:U66"/>
    <mergeCell ref="N70:O70"/>
    <mergeCell ref="P70:Q70"/>
    <mergeCell ref="R70:S70"/>
    <mergeCell ref="N72:O72"/>
    <mergeCell ref="T128:U128"/>
    <mergeCell ref="V128:W128"/>
    <mergeCell ref="P128:Q128"/>
    <mergeCell ref="R128:S128"/>
    <mergeCell ref="J127:K127"/>
    <mergeCell ref="L129:M129"/>
    <mergeCell ref="N129:O129"/>
    <mergeCell ref="P129:Q129"/>
    <mergeCell ref="R129:S129"/>
    <mergeCell ref="V129:W129"/>
    <mergeCell ref="X127:Y127"/>
    <mergeCell ref="L127:M127"/>
    <mergeCell ref="N127:O127"/>
    <mergeCell ref="H91:I91"/>
    <mergeCell ref="J91:K91"/>
    <mergeCell ref="L91:M91"/>
    <mergeCell ref="N91:O91"/>
    <mergeCell ref="P91:Q91"/>
    <mergeCell ref="R91:S91"/>
    <mergeCell ref="T91:U91"/>
    <mergeCell ref="V91:W91"/>
    <mergeCell ref="X91:Y91"/>
    <mergeCell ref="J71:K71"/>
    <mergeCell ref="L71:M71"/>
    <mergeCell ref="N71:O71"/>
    <mergeCell ref="P71:Q71"/>
    <mergeCell ref="R71:S71"/>
    <mergeCell ref="T71:U71"/>
    <mergeCell ref="V71:W71"/>
    <mergeCell ref="X71:Y71"/>
    <mergeCell ref="T85:U85"/>
    <mergeCell ref="T72:U72"/>
    <mergeCell ref="T73:U73"/>
    <mergeCell ref="V72:W72"/>
    <mergeCell ref="N74:O74"/>
    <mergeCell ref="P74:Q74"/>
    <mergeCell ref="R74:S74"/>
    <mergeCell ref="R90:S90"/>
    <mergeCell ref="R89:S89"/>
    <mergeCell ref="N77:O77"/>
    <mergeCell ref="T89:U89"/>
    <mergeCell ref="D134:E134"/>
    <mergeCell ref="F134:G134"/>
    <mergeCell ref="H134:I134"/>
    <mergeCell ref="J134:K134"/>
    <mergeCell ref="L134:M134"/>
    <mergeCell ref="N134:O134"/>
    <mergeCell ref="P134:Q134"/>
    <mergeCell ref="R134:S134"/>
    <mergeCell ref="T134:U134"/>
    <mergeCell ref="V134:W134"/>
    <mergeCell ref="X134:Y134"/>
    <mergeCell ref="Z134:AA134"/>
    <mergeCell ref="B113:C113"/>
    <mergeCell ref="D113:E113"/>
    <mergeCell ref="F113:G113"/>
    <mergeCell ref="H113:I113"/>
    <mergeCell ref="J113:K113"/>
    <mergeCell ref="L113:M113"/>
    <mergeCell ref="N113:O113"/>
    <mergeCell ref="P113:Q113"/>
    <mergeCell ref="R113:S113"/>
    <mergeCell ref="Z129:AA129"/>
    <mergeCell ref="J131:K131"/>
    <mergeCell ref="L131:M131"/>
    <mergeCell ref="N131:O131"/>
    <mergeCell ref="P131:Q131"/>
    <mergeCell ref="X132:Y132"/>
    <mergeCell ref="Z132:AA132"/>
    <mergeCell ref="Z131:AA131"/>
    <mergeCell ref="B132:C132"/>
    <mergeCell ref="D132:E132"/>
    <mergeCell ref="T129:U129"/>
    <mergeCell ref="P88:Q88"/>
    <mergeCell ref="R88:S88"/>
    <mergeCell ref="T88:U88"/>
    <mergeCell ref="V88:W88"/>
    <mergeCell ref="X88:Y88"/>
    <mergeCell ref="Z88:AA88"/>
    <mergeCell ref="B67:C67"/>
    <mergeCell ref="D67:E67"/>
    <mergeCell ref="F67:G67"/>
    <mergeCell ref="H67:I67"/>
    <mergeCell ref="J67:K67"/>
    <mergeCell ref="L67:M67"/>
    <mergeCell ref="N67:O67"/>
    <mergeCell ref="P67:Q67"/>
    <mergeCell ref="R67:S67"/>
    <mergeCell ref="Z71:AA71"/>
    <mergeCell ref="J68:K68"/>
    <mergeCell ref="D69:E69"/>
    <mergeCell ref="B72:C72"/>
    <mergeCell ref="B73:C73"/>
    <mergeCell ref="N69:O69"/>
    <mergeCell ref="T81:U81"/>
    <mergeCell ref="V69:W69"/>
    <mergeCell ref="X69:Y69"/>
    <mergeCell ref="Z69:AA69"/>
    <mergeCell ref="V68:W68"/>
    <mergeCell ref="X68:Y68"/>
    <mergeCell ref="Z70:AA70"/>
    <mergeCell ref="P69:Q69"/>
    <mergeCell ref="R72:S72"/>
    <mergeCell ref="B75:C75"/>
    <mergeCell ref="L70:M70"/>
    <mergeCell ref="X109:Y109"/>
    <mergeCell ref="Z109:AA109"/>
    <mergeCell ref="B130:C130"/>
    <mergeCell ref="D130:E130"/>
    <mergeCell ref="F130:G130"/>
    <mergeCell ref="H130:I130"/>
    <mergeCell ref="J130:K130"/>
    <mergeCell ref="L130:M130"/>
    <mergeCell ref="N130:O130"/>
    <mergeCell ref="P130:Q130"/>
    <mergeCell ref="R130:S130"/>
    <mergeCell ref="T130:U130"/>
    <mergeCell ref="V130:W130"/>
    <mergeCell ref="X130:Y130"/>
    <mergeCell ref="Z130:AA130"/>
    <mergeCell ref="B109:C109"/>
    <mergeCell ref="D109:E109"/>
    <mergeCell ref="F109:G109"/>
    <mergeCell ref="H109:I109"/>
    <mergeCell ref="J109:K109"/>
    <mergeCell ref="L109:M109"/>
    <mergeCell ref="N109:O109"/>
    <mergeCell ref="P109:Q109"/>
    <mergeCell ref="R109:S109"/>
    <mergeCell ref="X113:Y113"/>
    <mergeCell ref="Z113:AA113"/>
    <mergeCell ref="P127:Q127"/>
    <mergeCell ref="X128:Y128"/>
    <mergeCell ref="X129:Y129"/>
    <mergeCell ref="Z128:AA128"/>
    <mergeCell ref="Z127:AA127"/>
    <mergeCell ref="B128:C128"/>
  </mergeCells>
  <phoneticPr fontId="19"/>
  <dataValidations count="4">
    <dataValidation type="list" allowBlank="1" showInputMessage="1" showErrorMessage="1" error="調書シートで追加（又は修正）した後、再度選択してくだい。" sqref="B65:AA65 B107:AA107 B86:AA86 B128:AA128">
      <formula1>内部名称</formula1>
    </dataValidation>
    <dataValidation type="list" allowBlank="1" showInputMessage="1" showErrorMessage="1" error="調書シートで追加（又は修正）した後、再度選択してくだい。" sqref="D26 K54 R54 Y54 D54 K26 R26 Y26">
      <formula1>間仕切名称</formula1>
    </dataValidation>
    <dataValidation type="list" allowBlank="1" showInputMessage="1" showErrorMessage="1" sqref="B108:AA109 B66:AA67 B87:AA88 B129:AA130">
      <formula1>断熱名称</formula1>
    </dataValidation>
    <dataValidation imeMode="off" allowBlank="1" showInputMessage="1" showErrorMessage="1" sqref="A8:B25 D8:E25 H8:I24 H25:I25 K8:L25 O8:P25 R8:S24 V8:W25 R25:S25 Y8:Z25 D28:F28 D30:F30 K28:M28 K30:M30 R28:T28 R30:T30 Y28:AA28 Y31:AA31 Y30:AA30 Y31:AA31 A36:B53 D36:E53 H36:I53 K36:L53 O36:P53 R36:S53 V36:W53 Y36:Z53 D56:F56 K56:M56 R56:T56 Y56:AA56 Y59:AA59 Y59:AA59 Y58:AA58 Y59:AA59 R58:T58 K58:M58 D58:F58 B68:AA81 B89:AA102 B110:AA123 B131:AA144"/>
  </dataValidations>
  <pageMargins left="0.9" right="0.39" top="0.35" bottom="0.39" header="0.26" footer="0.19"/>
  <pageSetup paperSize="9" scale="29" orientation="landscape" r:id="rId1"/>
  <headerFooter alignWithMargins="0">
    <oddFooter>&amp;R&amp;"ＭＳ ゴシック,標準"&amp;D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0"/>
    <pageSetUpPr fitToPage="1"/>
  </sheetPr>
  <dimension ref="A1:X100"/>
  <sheetViews>
    <sheetView zoomScaleNormal="100" workbookViewId="0">
      <pane xSplit="2" ySplit="5" topLeftCell="H6" activePane="bottomRight" state="frozen"/>
      <selection pane="topRight" activeCell="C1" sqref="C1"/>
      <selection pane="bottomLeft" activeCell="A6" sqref="A6"/>
      <selection pane="bottomRight" activeCell="G99" sqref="G99:G100"/>
    </sheetView>
  </sheetViews>
  <sheetFormatPr defaultColWidth="12" defaultRowHeight="15" customHeight="1"/>
  <cols>
    <col min="1" max="1" width="6" style="571" bestFit="1" customWidth="1"/>
    <col min="2" max="2" width="21" style="571" customWidth="1"/>
    <col min="3" max="3" width="10.6640625" style="571" customWidth="1"/>
    <col min="4" max="4" width="4" style="571" bestFit="1" customWidth="1"/>
    <col min="5" max="5" width="10.6640625" style="571" customWidth="1"/>
    <col min="6" max="6" width="4" style="571" bestFit="1" customWidth="1"/>
    <col min="7" max="7" width="11" style="571" customWidth="1"/>
    <col min="8" max="8" width="4.33203125" style="571" customWidth="1"/>
    <col min="9" max="9" width="11" style="571" customWidth="1"/>
    <col min="10" max="15" width="8" style="571" customWidth="1"/>
    <col min="16" max="16" width="21" style="571" customWidth="1"/>
    <col min="17" max="17" width="18.1640625" style="571" customWidth="1"/>
    <col min="18" max="18" width="19.33203125" style="571" customWidth="1"/>
    <col min="19" max="20" width="10.83203125" style="571" customWidth="1"/>
    <col min="21" max="21" width="14.83203125" style="571" customWidth="1"/>
    <col min="22" max="23" width="10.83203125" style="571" customWidth="1"/>
    <col min="24" max="24" width="12.33203125" style="554" bestFit="1" customWidth="1"/>
    <col min="25" max="16384" width="12" style="571"/>
  </cols>
  <sheetData>
    <row r="1" spans="1:24" ht="15" customHeight="1">
      <c r="A1" s="571" t="s">
        <v>629</v>
      </c>
    </row>
    <row r="2" spans="1:24" ht="15" customHeight="1">
      <c r="A2" s="555" t="s">
        <v>630</v>
      </c>
      <c r="X2" s="554" t="b">
        <v>1</v>
      </c>
    </row>
    <row r="3" spans="1:24" ht="15" customHeight="1" thickBot="1">
      <c r="A3" s="555"/>
      <c r="X3" s="554" t="b">
        <v>1</v>
      </c>
    </row>
    <row r="4" spans="1:24" ht="15" customHeight="1">
      <c r="A4" s="3357" t="s">
        <v>631</v>
      </c>
      <c r="B4" s="3357" t="s">
        <v>632</v>
      </c>
      <c r="C4" s="572" t="s">
        <v>1098</v>
      </c>
      <c r="D4" s="572"/>
      <c r="E4" s="572"/>
      <c r="F4" s="572"/>
      <c r="G4" s="572"/>
      <c r="H4" s="3361" t="s">
        <v>1099</v>
      </c>
      <c r="I4" s="3359" t="s">
        <v>1100</v>
      </c>
      <c r="J4" s="575"/>
      <c r="K4" s="575"/>
      <c r="L4" s="575"/>
      <c r="M4" s="575"/>
      <c r="N4" s="575"/>
      <c r="O4" s="576"/>
      <c r="P4" s="3355" t="s">
        <v>632</v>
      </c>
      <c r="Q4" s="574" t="s">
        <v>547</v>
      </c>
      <c r="R4" s="575"/>
      <c r="S4" s="575"/>
      <c r="T4" s="575"/>
      <c r="U4" s="575"/>
      <c r="V4" s="575"/>
      <c r="W4" s="576"/>
      <c r="X4" s="554" t="b">
        <v>1</v>
      </c>
    </row>
    <row r="5" spans="1:24" ht="15" customHeight="1">
      <c r="A5" s="3358"/>
      <c r="B5" s="3358"/>
      <c r="C5" s="577" t="s">
        <v>548</v>
      </c>
      <c r="D5" s="578"/>
      <c r="E5" s="577" t="s">
        <v>549</v>
      </c>
      <c r="F5" s="578"/>
      <c r="G5" s="577" t="s">
        <v>550</v>
      </c>
      <c r="H5" s="3358"/>
      <c r="I5" s="3360"/>
      <c r="J5" s="581" t="s">
        <v>551</v>
      </c>
      <c r="K5" s="2238" t="s">
        <v>552</v>
      </c>
      <c r="L5" s="2239" t="s">
        <v>2308</v>
      </c>
      <c r="M5" s="2238" t="s">
        <v>553</v>
      </c>
      <c r="N5" s="2239" t="s">
        <v>1350</v>
      </c>
      <c r="O5" s="1536" t="s">
        <v>554</v>
      </c>
      <c r="P5" s="3356"/>
      <c r="Q5" s="1829" t="s">
        <v>555</v>
      </c>
      <c r="R5" s="579" t="s">
        <v>556</v>
      </c>
      <c r="S5" s="1963" t="s">
        <v>1978</v>
      </c>
      <c r="T5" s="1962"/>
      <c r="U5" s="579" t="s">
        <v>557</v>
      </c>
      <c r="V5" s="1963" t="s">
        <v>1979</v>
      </c>
      <c r="W5" s="1964"/>
      <c r="X5" s="554" t="b">
        <v>1</v>
      </c>
    </row>
    <row r="6" spans="1:24" ht="15" customHeight="1">
      <c r="A6" s="582" t="s">
        <v>558</v>
      </c>
      <c r="B6" s="583"/>
      <c r="C6" s="470"/>
      <c r="D6" s="584" t="s">
        <v>979</v>
      </c>
      <c r="E6" s="470"/>
      <c r="F6" s="584" t="s">
        <v>559</v>
      </c>
      <c r="G6" s="492">
        <f t="shared" ref="G6:G19" si="0">ROUNDDOWN(C6*E6,2)</f>
        <v>0</v>
      </c>
      <c r="H6" s="585"/>
      <c r="I6" s="2094">
        <f t="shared" ref="I6:I37" si="1">G6*H6</f>
        <v>0</v>
      </c>
      <c r="J6" s="586"/>
      <c r="K6" s="586"/>
      <c r="L6" s="586"/>
      <c r="M6" s="586"/>
      <c r="N6" s="586"/>
      <c r="O6" s="587"/>
      <c r="P6" s="1825">
        <f t="shared" ref="P6:P37" si="2">B6</f>
        <v>0</v>
      </c>
      <c r="Q6" s="1830"/>
      <c r="R6" s="588"/>
      <c r="S6" s="1965"/>
      <c r="T6" s="1973"/>
      <c r="U6" s="588"/>
      <c r="V6" s="1965"/>
      <c r="W6" s="1966"/>
      <c r="X6" s="554" t="b">
        <f t="shared" ref="X6:X37" si="3">G6&lt;&gt;0</f>
        <v>0</v>
      </c>
    </row>
    <row r="7" spans="1:24" ht="15" customHeight="1">
      <c r="A7" s="589"/>
      <c r="B7" s="590"/>
      <c r="C7" s="470"/>
      <c r="D7" s="584" t="s">
        <v>979</v>
      </c>
      <c r="E7" s="470"/>
      <c r="F7" s="584" t="s">
        <v>559</v>
      </c>
      <c r="G7" s="492">
        <f t="shared" si="0"/>
        <v>0</v>
      </c>
      <c r="H7" s="585"/>
      <c r="I7" s="2095">
        <f t="shared" si="1"/>
        <v>0</v>
      </c>
      <c r="J7" s="591"/>
      <c r="K7" s="591"/>
      <c r="L7" s="591"/>
      <c r="M7" s="591"/>
      <c r="N7" s="591"/>
      <c r="O7" s="592"/>
      <c r="P7" s="1826">
        <f t="shared" si="2"/>
        <v>0</v>
      </c>
      <c r="Q7" s="1830"/>
      <c r="R7" s="588"/>
      <c r="S7" s="1967"/>
      <c r="T7" s="1974"/>
      <c r="U7" s="588"/>
      <c r="V7" s="1967"/>
      <c r="W7" s="1968"/>
      <c r="X7" s="554" t="b">
        <f t="shared" si="3"/>
        <v>0</v>
      </c>
    </row>
    <row r="8" spans="1:24" ht="15" customHeight="1">
      <c r="A8" s="589"/>
      <c r="B8" s="590"/>
      <c r="C8" s="470"/>
      <c r="D8" s="584" t="s">
        <v>979</v>
      </c>
      <c r="E8" s="470"/>
      <c r="F8" s="584" t="s">
        <v>559</v>
      </c>
      <c r="G8" s="492">
        <f t="shared" si="0"/>
        <v>0</v>
      </c>
      <c r="H8" s="585"/>
      <c r="I8" s="2095">
        <f t="shared" si="1"/>
        <v>0</v>
      </c>
      <c r="J8" s="591"/>
      <c r="K8" s="591"/>
      <c r="L8" s="591"/>
      <c r="M8" s="591"/>
      <c r="N8" s="591"/>
      <c r="O8" s="592"/>
      <c r="P8" s="1826">
        <f t="shared" si="2"/>
        <v>0</v>
      </c>
      <c r="Q8" s="1830"/>
      <c r="R8" s="588"/>
      <c r="S8" s="1967"/>
      <c r="T8" s="1974"/>
      <c r="U8" s="588"/>
      <c r="V8" s="1967"/>
      <c r="W8" s="1968"/>
      <c r="X8" s="554" t="b">
        <f t="shared" si="3"/>
        <v>0</v>
      </c>
    </row>
    <row r="9" spans="1:24" ht="15" customHeight="1">
      <c r="A9" s="589"/>
      <c r="B9" s="590"/>
      <c r="C9" s="470"/>
      <c r="D9" s="584" t="s">
        <v>979</v>
      </c>
      <c r="E9" s="470"/>
      <c r="F9" s="584" t="s">
        <v>559</v>
      </c>
      <c r="G9" s="492">
        <f t="shared" si="0"/>
        <v>0</v>
      </c>
      <c r="H9" s="585"/>
      <c r="I9" s="2095">
        <f t="shared" si="1"/>
        <v>0</v>
      </c>
      <c r="J9" s="591"/>
      <c r="K9" s="591"/>
      <c r="L9" s="591"/>
      <c r="M9" s="591"/>
      <c r="N9" s="591"/>
      <c r="O9" s="592"/>
      <c r="P9" s="1826">
        <f t="shared" si="2"/>
        <v>0</v>
      </c>
      <c r="Q9" s="1830"/>
      <c r="R9" s="588"/>
      <c r="S9" s="1967"/>
      <c r="T9" s="1974"/>
      <c r="U9" s="588"/>
      <c r="V9" s="1967"/>
      <c r="W9" s="1968"/>
      <c r="X9" s="554" t="b">
        <f t="shared" si="3"/>
        <v>0</v>
      </c>
    </row>
    <row r="10" spans="1:24" ht="15" customHeight="1">
      <c r="A10" s="589"/>
      <c r="B10" s="590"/>
      <c r="C10" s="470"/>
      <c r="D10" s="584" t="s">
        <v>979</v>
      </c>
      <c r="E10" s="470"/>
      <c r="F10" s="584" t="s">
        <v>559</v>
      </c>
      <c r="G10" s="492">
        <f t="shared" si="0"/>
        <v>0</v>
      </c>
      <c r="H10" s="585"/>
      <c r="I10" s="2095">
        <f t="shared" si="1"/>
        <v>0</v>
      </c>
      <c r="J10" s="591"/>
      <c r="K10" s="591"/>
      <c r="L10" s="591"/>
      <c r="M10" s="591"/>
      <c r="N10" s="591"/>
      <c r="O10" s="592"/>
      <c r="P10" s="1826">
        <f t="shared" si="2"/>
        <v>0</v>
      </c>
      <c r="Q10" s="1831"/>
      <c r="R10" s="593"/>
      <c r="S10" s="1969"/>
      <c r="T10" s="1975"/>
      <c r="U10" s="593"/>
      <c r="V10" s="1969"/>
      <c r="W10" s="1970"/>
      <c r="X10" s="554" t="b">
        <f t="shared" si="3"/>
        <v>0</v>
      </c>
    </row>
    <row r="11" spans="1:24" ht="15" customHeight="1">
      <c r="A11" s="589"/>
      <c r="B11" s="590"/>
      <c r="C11" s="470"/>
      <c r="D11" s="584" t="s">
        <v>979</v>
      </c>
      <c r="E11" s="470"/>
      <c r="F11" s="584" t="s">
        <v>559</v>
      </c>
      <c r="G11" s="492">
        <f t="shared" si="0"/>
        <v>0</v>
      </c>
      <c r="H11" s="585"/>
      <c r="I11" s="2095">
        <f t="shared" si="1"/>
        <v>0</v>
      </c>
      <c r="J11" s="591"/>
      <c r="K11" s="591"/>
      <c r="L11" s="591"/>
      <c r="M11" s="591"/>
      <c r="N11" s="591"/>
      <c r="O11" s="592"/>
      <c r="P11" s="1826">
        <f t="shared" si="2"/>
        <v>0</v>
      </c>
      <c r="Q11" s="1831"/>
      <c r="R11" s="593"/>
      <c r="S11" s="1969"/>
      <c r="T11" s="1975"/>
      <c r="U11" s="593"/>
      <c r="V11" s="1969"/>
      <c r="W11" s="1970"/>
      <c r="X11" s="554" t="b">
        <f t="shared" si="3"/>
        <v>0</v>
      </c>
    </row>
    <row r="12" spans="1:24" ht="15" customHeight="1">
      <c r="A12" s="589"/>
      <c r="B12" s="590"/>
      <c r="C12" s="470"/>
      <c r="D12" s="584" t="s">
        <v>979</v>
      </c>
      <c r="E12" s="470"/>
      <c r="F12" s="584" t="s">
        <v>559</v>
      </c>
      <c r="G12" s="492">
        <f t="shared" si="0"/>
        <v>0</v>
      </c>
      <c r="H12" s="585"/>
      <c r="I12" s="2095">
        <f t="shared" si="1"/>
        <v>0</v>
      </c>
      <c r="J12" s="591"/>
      <c r="K12" s="591"/>
      <c r="L12" s="591"/>
      <c r="M12" s="591"/>
      <c r="N12" s="591"/>
      <c r="O12" s="592"/>
      <c r="P12" s="1826">
        <f t="shared" si="2"/>
        <v>0</v>
      </c>
      <c r="Q12" s="1831"/>
      <c r="R12" s="593"/>
      <c r="S12" s="1969"/>
      <c r="T12" s="1975"/>
      <c r="U12" s="593"/>
      <c r="V12" s="1969"/>
      <c r="W12" s="1970"/>
      <c r="X12" s="554" t="b">
        <f t="shared" si="3"/>
        <v>0</v>
      </c>
    </row>
    <row r="13" spans="1:24" ht="15" customHeight="1">
      <c r="A13" s="589"/>
      <c r="B13" s="590"/>
      <c r="C13" s="470"/>
      <c r="D13" s="584" t="s">
        <v>979</v>
      </c>
      <c r="E13" s="470"/>
      <c r="F13" s="584" t="s">
        <v>559</v>
      </c>
      <c r="G13" s="492">
        <f t="shared" si="0"/>
        <v>0</v>
      </c>
      <c r="H13" s="585"/>
      <c r="I13" s="2095">
        <f t="shared" si="1"/>
        <v>0</v>
      </c>
      <c r="J13" s="591"/>
      <c r="K13" s="591"/>
      <c r="L13" s="591"/>
      <c r="M13" s="591"/>
      <c r="N13" s="591"/>
      <c r="O13" s="592"/>
      <c r="P13" s="1826">
        <f t="shared" si="2"/>
        <v>0</v>
      </c>
      <c r="Q13" s="1831"/>
      <c r="R13" s="593"/>
      <c r="S13" s="1969"/>
      <c r="T13" s="1975"/>
      <c r="U13" s="593"/>
      <c r="V13" s="1969"/>
      <c r="W13" s="1970"/>
      <c r="X13" s="554" t="b">
        <f t="shared" si="3"/>
        <v>0</v>
      </c>
    </row>
    <row r="14" spans="1:24" ht="15" customHeight="1">
      <c r="A14" s="589"/>
      <c r="B14" s="590"/>
      <c r="C14" s="470"/>
      <c r="D14" s="584" t="s">
        <v>979</v>
      </c>
      <c r="E14" s="470"/>
      <c r="F14" s="584" t="s">
        <v>559</v>
      </c>
      <c r="G14" s="492">
        <f t="shared" si="0"/>
        <v>0</v>
      </c>
      <c r="H14" s="585"/>
      <c r="I14" s="2095">
        <f t="shared" si="1"/>
        <v>0</v>
      </c>
      <c r="J14" s="591"/>
      <c r="K14" s="591"/>
      <c r="L14" s="591"/>
      <c r="M14" s="591"/>
      <c r="N14" s="591"/>
      <c r="O14" s="592"/>
      <c r="P14" s="1826">
        <f t="shared" si="2"/>
        <v>0</v>
      </c>
      <c r="Q14" s="1831"/>
      <c r="R14" s="593"/>
      <c r="S14" s="1969"/>
      <c r="T14" s="1975"/>
      <c r="U14" s="593"/>
      <c r="V14" s="1969"/>
      <c r="W14" s="1970"/>
      <c r="X14" s="554" t="b">
        <f t="shared" si="3"/>
        <v>0</v>
      </c>
    </row>
    <row r="15" spans="1:24" ht="15" customHeight="1">
      <c r="A15" s="589"/>
      <c r="B15" s="590"/>
      <c r="C15" s="470"/>
      <c r="D15" s="584" t="s">
        <v>979</v>
      </c>
      <c r="E15" s="470"/>
      <c r="F15" s="584" t="s">
        <v>559</v>
      </c>
      <c r="G15" s="492">
        <f t="shared" si="0"/>
        <v>0</v>
      </c>
      <c r="H15" s="585"/>
      <c r="I15" s="2095">
        <f t="shared" si="1"/>
        <v>0</v>
      </c>
      <c r="J15" s="591"/>
      <c r="K15" s="591"/>
      <c r="L15" s="591"/>
      <c r="M15" s="591"/>
      <c r="N15" s="591"/>
      <c r="O15" s="592"/>
      <c r="P15" s="1826">
        <f t="shared" si="2"/>
        <v>0</v>
      </c>
      <c r="Q15" s="1831"/>
      <c r="R15" s="593"/>
      <c r="S15" s="1969"/>
      <c r="T15" s="1975"/>
      <c r="U15" s="593"/>
      <c r="V15" s="1969"/>
      <c r="W15" s="1970"/>
      <c r="X15" s="554" t="b">
        <f t="shared" si="3"/>
        <v>0</v>
      </c>
    </row>
    <row r="16" spans="1:24" ht="15" customHeight="1">
      <c r="A16" s="589"/>
      <c r="B16" s="590"/>
      <c r="C16" s="470"/>
      <c r="D16" s="584" t="s">
        <v>979</v>
      </c>
      <c r="E16" s="470"/>
      <c r="F16" s="584" t="s">
        <v>559</v>
      </c>
      <c r="G16" s="492">
        <f t="shared" si="0"/>
        <v>0</v>
      </c>
      <c r="H16" s="585"/>
      <c r="I16" s="2095">
        <f t="shared" si="1"/>
        <v>0</v>
      </c>
      <c r="J16" s="591"/>
      <c r="K16" s="591"/>
      <c r="L16" s="591"/>
      <c r="M16" s="591"/>
      <c r="N16" s="591"/>
      <c r="O16" s="592"/>
      <c r="P16" s="1826">
        <f t="shared" si="2"/>
        <v>0</v>
      </c>
      <c r="Q16" s="1831"/>
      <c r="R16" s="593"/>
      <c r="S16" s="1969"/>
      <c r="T16" s="1975"/>
      <c r="U16" s="593"/>
      <c r="V16" s="1969"/>
      <c r="W16" s="1970"/>
      <c r="X16" s="554" t="b">
        <f t="shared" si="3"/>
        <v>0</v>
      </c>
    </row>
    <row r="17" spans="1:24" ht="15" customHeight="1">
      <c r="A17" s="589"/>
      <c r="B17" s="590"/>
      <c r="C17" s="470"/>
      <c r="D17" s="584" t="s">
        <v>979</v>
      </c>
      <c r="E17" s="470"/>
      <c r="F17" s="584" t="s">
        <v>559</v>
      </c>
      <c r="G17" s="492">
        <f t="shared" si="0"/>
        <v>0</v>
      </c>
      <c r="H17" s="585"/>
      <c r="I17" s="2095">
        <f t="shared" si="1"/>
        <v>0</v>
      </c>
      <c r="J17" s="591"/>
      <c r="K17" s="591"/>
      <c r="L17" s="591"/>
      <c r="M17" s="591"/>
      <c r="N17" s="591"/>
      <c r="O17" s="592"/>
      <c r="P17" s="1826">
        <f t="shared" si="2"/>
        <v>0</v>
      </c>
      <c r="Q17" s="1831"/>
      <c r="R17" s="593"/>
      <c r="S17" s="1969"/>
      <c r="T17" s="1975"/>
      <c r="U17" s="593"/>
      <c r="V17" s="1969"/>
      <c r="W17" s="1970"/>
      <c r="X17" s="554" t="b">
        <f t="shared" si="3"/>
        <v>0</v>
      </c>
    </row>
    <row r="18" spans="1:24" ht="15" customHeight="1">
      <c r="A18" s="589"/>
      <c r="B18" s="590"/>
      <c r="C18" s="470"/>
      <c r="D18" s="584" t="s">
        <v>979</v>
      </c>
      <c r="E18" s="470"/>
      <c r="F18" s="584" t="s">
        <v>559</v>
      </c>
      <c r="G18" s="492">
        <f t="shared" si="0"/>
        <v>0</v>
      </c>
      <c r="H18" s="585"/>
      <c r="I18" s="2095">
        <f t="shared" si="1"/>
        <v>0</v>
      </c>
      <c r="J18" s="591"/>
      <c r="K18" s="591"/>
      <c r="L18" s="591"/>
      <c r="M18" s="591"/>
      <c r="N18" s="591"/>
      <c r="O18" s="592"/>
      <c r="P18" s="1826">
        <f t="shared" si="2"/>
        <v>0</v>
      </c>
      <c r="Q18" s="1831"/>
      <c r="R18" s="593"/>
      <c r="S18" s="1969"/>
      <c r="T18" s="1975"/>
      <c r="U18" s="593"/>
      <c r="V18" s="1969"/>
      <c r="W18" s="1970"/>
      <c r="X18" s="554" t="b">
        <f t="shared" si="3"/>
        <v>0</v>
      </c>
    </row>
    <row r="19" spans="1:24" ht="15" customHeight="1">
      <c r="A19" s="589"/>
      <c r="B19" s="590"/>
      <c r="C19" s="475"/>
      <c r="D19" s="594" t="s">
        <v>560</v>
      </c>
      <c r="E19" s="475"/>
      <c r="F19" s="594" t="s">
        <v>559</v>
      </c>
      <c r="G19" s="482">
        <f t="shared" si="0"/>
        <v>0</v>
      </c>
      <c r="H19" s="595"/>
      <c r="I19" s="2095">
        <f t="shared" si="1"/>
        <v>0</v>
      </c>
      <c r="J19" s="591"/>
      <c r="K19" s="591"/>
      <c r="L19" s="591"/>
      <c r="M19" s="591"/>
      <c r="N19" s="591"/>
      <c r="O19" s="592"/>
      <c r="P19" s="1826">
        <f t="shared" si="2"/>
        <v>0</v>
      </c>
      <c r="Q19" s="1831"/>
      <c r="R19" s="593"/>
      <c r="S19" s="1969"/>
      <c r="T19" s="1975"/>
      <c r="U19" s="593"/>
      <c r="V19" s="1969"/>
      <c r="W19" s="1970"/>
      <c r="X19" s="554" t="b">
        <f t="shared" si="3"/>
        <v>0</v>
      </c>
    </row>
    <row r="20" spans="1:24" ht="15" customHeight="1">
      <c r="A20" s="596"/>
      <c r="B20" s="597" t="s">
        <v>561</v>
      </c>
      <c r="C20" s="21">
        <f>調書!M11</f>
        <v>0</v>
      </c>
      <c r="D20" s="598" t="s">
        <v>562</v>
      </c>
      <c r="E20" s="21">
        <f>SUM(I6:I19)</f>
        <v>0</v>
      </c>
      <c r="F20" s="598" t="s">
        <v>559</v>
      </c>
      <c r="G20" s="141">
        <f>C20-E20</f>
        <v>0</v>
      </c>
      <c r="H20" s="599">
        <v>1</v>
      </c>
      <c r="I20" s="2096">
        <f t="shared" si="1"/>
        <v>0</v>
      </c>
      <c r="J20" s="600"/>
      <c r="K20" s="600"/>
      <c r="L20" s="600"/>
      <c r="M20" s="600"/>
      <c r="N20" s="600"/>
      <c r="O20" s="601"/>
      <c r="P20" s="1827" t="str">
        <f t="shared" si="2"/>
        <v>（端数処理）</v>
      </c>
      <c r="Q20" s="1832"/>
      <c r="R20" s="602"/>
      <c r="S20" s="1971"/>
      <c r="T20" s="1976"/>
      <c r="U20" s="602"/>
      <c r="V20" s="1971"/>
      <c r="W20" s="1972"/>
      <c r="X20" s="554" t="b">
        <f t="shared" si="3"/>
        <v>0</v>
      </c>
    </row>
    <row r="21" spans="1:24" ht="15" customHeight="1">
      <c r="A21" s="582" t="s">
        <v>563</v>
      </c>
      <c r="B21" s="583"/>
      <c r="C21" s="470"/>
      <c r="D21" s="584" t="s">
        <v>560</v>
      </c>
      <c r="E21" s="470"/>
      <c r="F21" s="584" t="s">
        <v>559</v>
      </c>
      <c r="G21" s="492">
        <f t="shared" ref="G21:G34" si="4">ROUNDDOWN(C21*E21,2)</f>
        <v>0</v>
      </c>
      <c r="H21" s="585"/>
      <c r="I21" s="2094">
        <f t="shared" si="1"/>
        <v>0</v>
      </c>
      <c r="J21" s="586"/>
      <c r="K21" s="586"/>
      <c r="L21" s="586"/>
      <c r="M21" s="586"/>
      <c r="N21" s="586"/>
      <c r="O21" s="587"/>
      <c r="P21" s="1825">
        <f t="shared" si="2"/>
        <v>0</v>
      </c>
      <c r="Q21" s="1830"/>
      <c r="R21" s="588"/>
      <c r="S21" s="1967"/>
      <c r="T21" s="1974"/>
      <c r="U21" s="588"/>
      <c r="V21" s="1967"/>
      <c r="W21" s="1968"/>
      <c r="X21" s="554" t="b">
        <f t="shared" si="3"/>
        <v>0</v>
      </c>
    </row>
    <row r="22" spans="1:24" ht="15" customHeight="1">
      <c r="A22" s="589"/>
      <c r="B22" s="590"/>
      <c r="C22" s="475"/>
      <c r="D22" s="594" t="s">
        <v>560</v>
      </c>
      <c r="E22" s="475"/>
      <c r="F22" s="594" t="s">
        <v>559</v>
      </c>
      <c r="G22" s="482">
        <f t="shared" si="4"/>
        <v>0</v>
      </c>
      <c r="H22" s="595"/>
      <c r="I22" s="2095">
        <f t="shared" si="1"/>
        <v>0</v>
      </c>
      <c r="J22" s="591"/>
      <c r="K22" s="591"/>
      <c r="L22" s="591"/>
      <c r="M22" s="591"/>
      <c r="N22" s="591"/>
      <c r="O22" s="592"/>
      <c r="P22" s="1826">
        <f t="shared" si="2"/>
        <v>0</v>
      </c>
      <c r="Q22" s="1831"/>
      <c r="R22" s="593"/>
      <c r="S22" s="1969"/>
      <c r="T22" s="1975"/>
      <c r="U22" s="593"/>
      <c r="V22" s="1969"/>
      <c r="W22" s="1970"/>
      <c r="X22" s="554" t="b">
        <f t="shared" si="3"/>
        <v>0</v>
      </c>
    </row>
    <row r="23" spans="1:24" ht="15" customHeight="1">
      <c r="A23" s="589"/>
      <c r="B23" s="590"/>
      <c r="C23" s="475"/>
      <c r="D23" s="594" t="s">
        <v>560</v>
      </c>
      <c r="E23" s="475"/>
      <c r="F23" s="594" t="s">
        <v>559</v>
      </c>
      <c r="G23" s="482">
        <f t="shared" si="4"/>
        <v>0</v>
      </c>
      <c r="H23" s="595"/>
      <c r="I23" s="2095">
        <f t="shared" si="1"/>
        <v>0</v>
      </c>
      <c r="J23" s="591"/>
      <c r="K23" s="591"/>
      <c r="L23" s="591"/>
      <c r="M23" s="591"/>
      <c r="N23" s="591"/>
      <c r="O23" s="592"/>
      <c r="P23" s="1826">
        <f t="shared" si="2"/>
        <v>0</v>
      </c>
      <c r="Q23" s="1831"/>
      <c r="R23" s="593"/>
      <c r="S23" s="1969"/>
      <c r="T23" s="1975"/>
      <c r="U23" s="593"/>
      <c r="V23" s="1969"/>
      <c r="W23" s="1970"/>
      <c r="X23" s="554" t="b">
        <f t="shared" si="3"/>
        <v>0</v>
      </c>
    </row>
    <row r="24" spans="1:24" ht="15" customHeight="1">
      <c r="A24" s="589"/>
      <c r="B24" s="590"/>
      <c r="C24" s="475"/>
      <c r="D24" s="594" t="s">
        <v>560</v>
      </c>
      <c r="E24" s="475"/>
      <c r="F24" s="594" t="s">
        <v>559</v>
      </c>
      <c r="G24" s="482">
        <f t="shared" si="4"/>
        <v>0</v>
      </c>
      <c r="H24" s="595"/>
      <c r="I24" s="2095">
        <f t="shared" si="1"/>
        <v>0</v>
      </c>
      <c r="J24" s="591"/>
      <c r="K24" s="591"/>
      <c r="L24" s="591"/>
      <c r="M24" s="591"/>
      <c r="N24" s="591"/>
      <c r="O24" s="592"/>
      <c r="P24" s="1826">
        <f t="shared" si="2"/>
        <v>0</v>
      </c>
      <c r="Q24" s="1831"/>
      <c r="R24" s="593"/>
      <c r="S24" s="1969"/>
      <c r="T24" s="1975"/>
      <c r="U24" s="593"/>
      <c r="V24" s="1969"/>
      <c r="W24" s="1970"/>
      <c r="X24" s="554" t="b">
        <f t="shared" si="3"/>
        <v>0</v>
      </c>
    </row>
    <row r="25" spans="1:24" ht="15" customHeight="1">
      <c r="A25" s="589"/>
      <c r="B25" s="590"/>
      <c r="C25" s="475"/>
      <c r="D25" s="594" t="s">
        <v>560</v>
      </c>
      <c r="E25" s="475"/>
      <c r="F25" s="594" t="s">
        <v>559</v>
      </c>
      <c r="G25" s="482">
        <f t="shared" si="4"/>
        <v>0</v>
      </c>
      <c r="H25" s="595"/>
      <c r="I25" s="2095">
        <f t="shared" si="1"/>
        <v>0</v>
      </c>
      <c r="J25" s="591"/>
      <c r="K25" s="591"/>
      <c r="L25" s="591"/>
      <c r="M25" s="591"/>
      <c r="N25" s="591"/>
      <c r="O25" s="592"/>
      <c r="P25" s="1826">
        <f t="shared" si="2"/>
        <v>0</v>
      </c>
      <c r="Q25" s="1831"/>
      <c r="R25" s="593"/>
      <c r="S25" s="1969"/>
      <c r="T25" s="1975"/>
      <c r="U25" s="593"/>
      <c r="V25" s="1969"/>
      <c r="W25" s="1970"/>
      <c r="X25" s="554" t="b">
        <f t="shared" si="3"/>
        <v>0</v>
      </c>
    </row>
    <row r="26" spans="1:24" ht="15" customHeight="1">
      <c r="A26" s="589"/>
      <c r="B26" s="590"/>
      <c r="C26" s="475"/>
      <c r="D26" s="594" t="s">
        <v>560</v>
      </c>
      <c r="E26" s="475"/>
      <c r="F26" s="594" t="s">
        <v>559</v>
      </c>
      <c r="G26" s="482">
        <f t="shared" si="4"/>
        <v>0</v>
      </c>
      <c r="H26" s="595"/>
      <c r="I26" s="2095">
        <f t="shared" si="1"/>
        <v>0</v>
      </c>
      <c r="J26" s="591"/>
      <c r="K26" s="591"/>
      <c r="L26" s="591"/>
      <c r="M26" s="591"/>
      <c r="N26" s="591"/>
      <c r="O26" s="592"/>
      <c r="P26" s="1826">
        <f t="shared" si="2"/>
        <v>0</v>
      </c>
      <c r="Q26" s="1831"/>
      <c r="R26" s="593"/>
      <c r="S26" s="1969"/>
      <c r="T26" s="1975"/>
      <c r="U26" s="593"/>
      <c r="V26" s="1969"/>
      <c r="W26" s="1970"/>
      <c r="X26" s="554" t="b">
        <f t="shared" si="3"/>
        <v>0</v>
      </c>
    </row>
    <row r="27" spans="1:24" ht="15" customHeight="1">
      <c r="A27" s="589"/>
      <c r="B27" s="590"/>
      <c r="C27" s="475"/>
      <c r="D27" s="594" t="s">
        <v>560</v>
      </c>
      <c r="E27" s="475"/>
      <c r="F27" s="594" t="s">
        <v>559</v>
      </c>
      <c r="G27" s="482">
        <f t="shared" si="4"/>
        <v>0</v>
      </c>
      <c r="H27" s="595"/>
      <c r="I27" s="2095">
        <f t="shared" si="1"/>
        <v>0</v>
      </c>
      <c r="J27" s="591"/>
      <c r="K27" s="591"/>
      <c r="L27" s="591"/>
      <c r="M27" s="591"/>
      <c r="N27" s="591"/>
      <c r="O27" s="592"/>
      <c r="P27" s="1826">
        <f t="shared" si="2"/>
        <v>0</v>
      </c>
      <c r="Q27" s="1831"/>
      <c r="R27" s="593"/>
      <c r="S27" s="1969"/>
      <c r="T27" s="1975"/>
      <c r="U27" s="593"/>
      <c r="V27" s="1969"/>
      <c r="W27" s="1970"/>
      <c r="X27" s="554" t="b">
        <f t="shared" si="3"/>
        <v>0</v>
      </c>
    </row>
    <row r="28" spans="1:24" ht="15" customHeight="1">
      <c r="A28" s="589"/>
      <c r="B28" s="590"/>
      <c r="C28" s="475"/>
      <c r="D28" s="594" t="s">
        <v>560</v>
      </c>
      <c r="E28" s="475"/>
      <c r="F28" s="594" t="s">
        <v>559</v>
      </c>
      <c r="G28" s="482">
        <f t="shared" si="4"/>
        <v>0</v>
      </c>
      <c r="H28" s="595"/>
      <c r="I28" s="2095">
        <f t="shared" si="1"/>
        <v>0</v>
      </c>
      <c r="J28" s="591"/>
      <c r="K28" s="591"/>
      <c r="L28" s="591"/>
      <c r="M28" s="591"/>
      <c r="N28" s="591"/>
      <c r="O28" s="592"/>
      <c r="P28" s="1826">
        <f t="shared" si="2"/>
        <v>0</v>
      </c>
      <c r="Q28" s="1831"/>
      <c r="R28" s="593"/>
      <c r="S28" s="1969"/>
      <c r="T28" s="1975"/>
      <c r="U28" s="593"/>
      <c r="V28" s="1969"/>
      <c r="W28" s="1970"/>
      <c r="X28" s="554" t="b">
        <f t="shared" si="3"/>
        <v>0</v>
      </c>
    </row>
    <row r="29" spans="1:24" ht="15" customHeight="1">
      <c r="A29" s="589"/>
      <c r="B29" s="590"/>
      <c r="C29" s="475"/>
      <c r="D29" s="594" t="s">
        <v>560</v>
      </c>
      <c r="E29" s="475"/>
      <c r="F29" s="594" t="s">
        <v>559</v>
      </c>
      <c r="G29" s="482">
        <f t="shared" si="4"/>
        <v>0</v>
      </c>
      <c r="H29" s="595"/>
      <c r="I29" s="2095">
        <f t="shared" si="1"/>
        <v>0</v>
      </c>
      <c r="J29" s="591"/>
      <c r="K29" s="591"/>
      <c r="L29" s="591"/>
      <c r="M29" s="591"/>
      <c r="N29" s="591"/>
      <c r="O29" s="592"/>
      <c r="P29" s="1826">
        <f t="shared" si="2"/>
        <v>0</v>
      </c>
      <c r="Q29" s="1831"/>
      <c r="R29" s="593"/>
      <c r="S29" s="1969"/>
      <c r="T29" s="1975"/>
      <c r="U29" s="593"/>
      <c r="V29" s="1969"/>
      <c r="W29" s="1970"/>
      <c r="X29" s="554" t="b">
        <f t="shared" si="3"/>
        <v>0</v>
      </c>
    </row>
    <row r="30" spans="1:24" ht="15" customHeight="1">
      <c r="A30" s="589"/>
      <c r="B30" s="590"/>
      <c r="C30" s="475"/>
      <c r="D30" s="594" t="s">
        <v>560</v>
      </c>
      <c r="E30" s="475"/>
      <c r="F30" s="594" t="s">
        <v>559</v>
      </c>
      <c r="G30" s="482">
        <f t="shared" si="4"/>
        <v>0</v>
      </c>
      <c r="H30" s="595"/>
      <c r="I30" s="2095">
        <f t="shared" si="1"/>
        <v>0</v>
      </c>
      <c r="J30" s="591"/>
      <c r="K30" s="591"/>
      <c r="L30" s="591"/>
      <c r="M30" s="591"/>
      <c r="N30" s="591"/>
      <c r="O30" s="592"/>
      <c r="P30" s="1826">
        <f t="shared" si="2"/>
        <v>0</v>
      </c>
      <c r="Q30" s="1831"/>
      <c r="R30" s="593"/>
      <c r="S30" s="1969"/>
      <c r="T30" s="1975"/>
      <c r="U30" s="593"/>
      <c r="V30" s="1969"/>
      <c r="W30" s="1970"/>
      <c r="X30" s="554" t="b">
        <f t="shared" si="3"/>
        <v>0</v>
      </c>
    </row>
    <row r="31" spans="1:24" ht="15" customHeight="1">
      <c r="A31" s="589"/>
      <c r="B31" s="590"/>
      <c r="C31" s="475"/>
      <c r="D31" s="594" t="s">
        <v>560</v>
      </c>
      <c r="E31" s="475"/>
      <c r="F31" s="594" t="s">
        <v>559</v>
      </c>
      <c r="G31" s="482">
        <f t="shared" si="4"/>
        <v>0</v>
      </c>
      <c r="H31" s="595"/>
      <c r="I31" s="2095">
        <f t="shared" si="1"/>
        <v>0</v>
      </c>
      <c r="J31" s="591"/>
      <c r="K31" s="591"/>
      <c r="L31" s="591"/>
      <c r="M31" s="591"/>
      <c r="N31" s="591"/>
      <c r="O31" s="592"/>
      <c r="P31" s="1826">
        <f t="shared" si="2"/>
        <v>0</v>
      </c>
      <c r="Q31" s="1831"/>
      <c r="R31" s="593"/>
      <c r="S31" s="1969"/>
      <c r="T31" s="1975"/>
      <c r="U31" s="593"/>
      <c r="V31" s="1969"/>
      <c r="W31" s="1970"/>
      <c r="X31" s="554" t="b">
        <f t="shared" si="3"/>
        <v>0</v>
      </c>
    </row>
    <row r="32" spans="1:24" ht="15" customHeight="1">
      <c r="A32" s="589"/>
      <c r="B32" s="590"/>
      <c r="C32" s="475"/>
      <c r="D32" s="594" t="s">
        <v>560</v>
      </c>
      <c r="E32" s="475"/>
      <c r="F32" s="594" t="s">
        <v>559</v>
      </c>
      <c r="G32" s="482">
        <f t="shared" si="4"/>
        <v>0</v>
      </c>
      <c r="H32" s="595"/>
      <c r="I32" s="2095">
        <f t="shared" si="1"/>
        <v>0</v>
      </c>
      <c r="J32" s="591"/>
      <c r="K32" s="591"/>
      <c r="L32" s="591"/>
      <c r="M32" s="591"/>
      <c r="N32" s="591"/>
      <c r="O32" s="592"/>
      <c r="P32" s="1826">
        <f t="shared" si="2"/>
        <v>0</v>
      </c>
      <c r="Q32" s="1831"/>
      <c r="R32" s="593"/>
      <c r="S32" s="1969"/>
      <c r="T32" s="1975"/>
      <c r="U32" s="593"/>
      <c r="V32" s="1969"/>
      <c r="W32" s="1970"/>
      <c r="X32" s="554" t="b">
        <f t="shared" si="3"/>
        <v>0</v>
      </c>
    </row>
    <row r="33" spans="1:24" ht="15" customHeight="1">
      <c r="A33" s="589"/>
      <c r="B33" s="590"/>
      <c r="C33" s="475"/>
      <c r="D33" s="594" t="s">
        <v>560</v>
      </c>
      <c r="E33" s="475"/>
      <c r="F33" s="594" t="s">
        <v>559</v>
      </c>
      <c r="G33" s="482">
        <f t="shared" si="4"/>
        <v>0</v>
      </c>
      <c r="H33" s="595"/>
      <c r="I33" s="2095">
        <f t="shared" si="1"/>
        <v>0</v>
      </c>
      <c r="J33" s="591"/>
      <c r="K33" s="591"/>
      <c r="L33" s="591"/>
      <c r="M33" s="591"/>
      <c r="N33" s="591"/>
      <c r="O33" s="592"/>
      <c r="P33" s="1826">
        <f t="shared" si="2"/>
        <v>0</v>
      </c>
      <c r="Q33" s="1831"/>
      <c r="R33" s="593"/>
      <c r="S33" s="1969"/>
      <c r="T33" s="1975"/>
      <c r="U33" s="593"/>
      <c r="V33" s="1969"/>
      <c r="W33" s="1970"/>
      <c r="X33" s="554" t="b">
        <f t="shared" si="3"/>
        <v>0</v>
      </c>
    </row>
    <row r="34" spans="1:24" ht="15" customHeight="1">
      <c r="A34" s="589"/>
      <c r="B34" s="590"/>
      <c r="C34" s="475"/>
      <c r="D34" s="594" t="s">
        <v>560</v>
      </c>
      <c r="E34" s="475"/>
      <c r="F34" s="594" t="s">
        <v>559</v>
      </c>
      <c r="G34" s="482">
        <f t="shared" si="4"/>
        <v>0</v>
      </c>
      <c r="H34" s="595"/>
      <c r="I34" s="2095">
        <f t="shared" si="1"/>
        <v>0</v>
      </c>
      <c r="J34" s="591"/>
      <c r="K34" s="591"/>
      <c r="L34" s="591"/>
      <c r="M34" s="591"/>
      <c r="N34" s="591"/>
      <c r="O34" s="592"/>
      <c r="P34" s="1826">
        <f t="shared" si="2"/>
        <v>0</v>
      </c>
      <c r="Q34" s="1831"/>
      <c r="R34" s="593"/>
      <c r="S34" s="1969"/>
      <c r="T34" s="1975"/>
      <c r="U34" s="593"/>
      <c r="V34" s="1969"/>
      <c r="W34" s="1970"/>
      <c r="X34" s="554" t="b">
        <f t="shared" si="3"/>
        <v>0</v>
      </c>
    </row>
    <row r="35" spans="1:24" ht="15" customHeight="1">
      <c r="A35" s="596"/>
      <c r="B35" s="597" t="s">
        <v>561</v>
      </c>
      <c r="C35" s="21">
        <f>調書!Q11</f>
        <v>0</v>
      </c>
      <c r="D35" s="598" t="s">
        <v>562</v>
      </c>
      <c r="E35" s="21">
        <f>SUM(I21:I34)</f>
        <v>0</v>
      </c>
      <c r="F35" s="598" t="s">
        <v>559</v>
      </c>
      <c r="G35" s="141">
        <f>C35-E35</f>
        <v>0</v>
      </c>
      <c r="H35" s="599">
        <v>1</v>
      </c>
      <c r="I35" s="2096">
        <f t="shared" si="1"/>
        <v>0</v>
      </c>
      <c r="J35" s="600"/>
      <c r="K35" s="600"/>
      <c r="L35" s="600"/>
      <c r="M35" s="600"/>
      <c r="N35" s="600"/>
      <c r="O35" s="601"/>
      <c r="P35" s="1827" t="str">
        <f t="shared" si="2"/>
        <v>（端数処理）</v>
      </c>
      <c r="Q35" s="1832"/>
      <c r="R35" s="602"/>
      <c r="S35" s="1971"/>
      <c r="T35" s="1976"/>
      <c r="U35" s="602"/>
      <c r="V35" s="1971"/>
      <c r="W35" s="1972"/>
      <c r="X35" s="554" t="b">
        <f t="shared" si="3"/>
        <v>0</v>
      </c>
    </row>
    <row r="36" spans="1:24" ht="15" customHeight="1">
      <c r="A36" s="582" t="s">
        <v>564</v>
      </c>
      <c r="B36" s="583"/>
      <c r="C36" s="470"/>
      <c r="D36" s="584" t="s">
        <v>560</v>
      </c>
      <c r="E36" s="470"/>
      <c r="F36" s="584" t="s">
        <v>559</v>
      </c>
      <c r="G36" s="492">
        <f t="shared" ref="G36:G49" si="5">ROUNDDOWN(C36*E36,2)</f>
        <v>0</v>
      </c>
      <c r="H36" s="585"/>
      <c r="I36" s="2094">
        <f t="shared" si="1"/>
        <v>0</v>
      </c>
      <c r="J36" s="586"/>
      <c r="K36" s="586"/>
      <c r="L36" s="586"/>
      <c r="M36" s="586"/>
      <c r="N36" s="586"/>
      <c r="O36" s="587"/>
      <c r="P36" s="1825">
        <f t="shared" si="2"/>
        <v>0</v>
      </c>
      <c r="Q36" s="1830"/>
      <c r="R36" s="588"/>
      <c r="S36" s="1967"/>
      <c r="T36" s="1974"/>
      <c r="U36" s="588"/>
      <c r="V36" s="1967"/>
      <c r="W36" s="1968"/>
      <c r="X36" s="554" t="b">
        <f t="shared" si="3"/>
        <v>0</v>
      </c>
    </row>
    <row r="37" spans="1:24" ht="15" customHeight="1">
      <c r="A37" s="589"/>
      <c r="B37" s="590"/>
      <c r="C37" s="475"/>
      <c r="D37" s="594" t="s">
        <v>560</v>
      </c>
      <c r="E37" s="475"/>
      <c r="F37" s="594" t="s">
        <v>559</v>
      </c>
      <c r="G37" s="482">
        <f t="shared" si="5"/>
        <v>0</v>
      </c>
      <c r="H37" s="595"/>
      <c r="I37" s="2095">
        <f t="shared" si="1"/>
        <v>0</v>
      </c>
      <c r="J37" s="591"/>
      <c r="K37" s="591"/>
      <c r="L37" s="591"/>
      <c r="M37" s="591"/>
      <c r="N37" s="591"/>
      <c r="O37" s="592"/>
      <c r="P37" s="1826">
        <f t="shared" si="2"/>
        <v>0</v>
      </c>
      <c r="Q37" s="1831"/>
      <c r="R37" s="593"/>
      <c r="S37" s="1969"/>
      <c r="T37" s="1975"/>
      <c r="U37" s="593"/>
      <c r="V37" s="1969"/>
      <c r="W37" s="1970"/>
      <c r="X37" s="554" t="b">
        <f t="shared" si="3"/>
        <v>0</v>
      </c>
    </row>
    <row r="38" spans="1:24" ht="15" customHeight="1">
      <c r="A38" s="589"/>
      <c r="B38" s="590"/>
      <c r="C38" s="475"/>
      <c r="D38" s="594" t="s">
        <v>560</v>
      </c>
      <c r="E38" s="475"/>
      <c r="F38" s="594" t="s">
        <v>559</v>
      </c>
      <c r="G38" s="482">
        <f t="shared" si="5"/>
        <v>0</v>
      </c>
      <c r="H38" s="595"/>
      <c r="I38" s="2095">
        <f t="shared" ref="I38:I69" si="6">G38*H38</f>
        <v>0</v>
      </c>
      <c r="J38" s="591"/>
      <c r="K38" s="591"/>
      <c r="L38" s="591"/>
      <c r="M38" s="591"/>
      <c r="N38" s="591"/>
      <c r="O38" s="592"/>
      <c r="P38" s="1826">
        <f t="shared" ref="P38:P69" si="7">B38</f>
        <v>0</v>
      </c>
      <c r="Q38" s="1831"/>
      <c r="R38" s="593"/>
      <c r="S38" s="1969"/>
      <c r="T38" s="1975"/>
      <c r="U38" s="593"/>
      <c r="V38" s="1969"/>
      <c r="W38" s="1970"/>
      <c r="X38" s="554" t="b">
        <f t="shared" ref="X38:X69" si="8">G38&lt;&gt;0</f>
        <v>0</v>
      </c>
    </row>
    <row r="39" spans="1:24" ht="15" customHeight="1">
      <c r="A39" s="589"/>
      <c r="B39" s="590"/>
      <c r="C39" s="475"/>
      <c r="D39" s="594" t="s">
        <v>560</v>
      </c>
      <c r="E39" s="475"/>
      <c r="F39" s="594" t="s">
        <v>559</v>
      </c>
      <c r="G39" s="482">
        <f t="shared" si="5"/>
        <v>0</v>
      </c>
      <c r="H39" s="595"/>
      <c r="I39" s="2095">
        <f t="shared" si="6"/>
        <v>0</v>
      </c>
      <c r="J39" s="591"/>
      <c r="K39" s="591"/>
      <c r="L39" s="591"/>
      <c r="M39" s="591"/>
      <c r="N39" s="591"/>
      <c r="O39" s="592"/>
      <c r="P39" s="1826">
        <f t="shared" si="7"/>
        <v>0</v>
      </c>
      <c r="Q39" s="1831"/>
      <c r="R39" s="593"/>
      <c r="S39" s="1969"/>
      <c r="T39" s="1975"/>
      <c r="U39" s="593"/>
      <c r="V39" s="1969"/>
      <c r="W39" s="1970"/>
      <c r="X39" s="554" t="b">
        <f t="shared" si="8"/>
        <v>0</v>
      </c>
    </row>
    <row r="40" spans="1:24" ht="15" customHeight="1">
      <c r="A40" s="589"/>
      <c r="B40" s="590"/>
      <c r="C40" s="475"/>
      <c r="D40" s="594" t="s">
        <v>560</v>
      </c>
      <c r="E40" s="475"/>
      <c r="F40" s="594" t="s">
        <v>559</v>
      </c>
      <c r="G40" s="482">
        <f t="shared" si="5"/>
        <v>0</v>
      </c>
      <c r="H40" s="595"/>
      <c r="I40" s="2095">
        <f t="shared" si="6"/>
        <v>0</v>
      </c>
      <c r="J40" s="591"/>
      <c r="K40" s="591"/>
      <c r="L40" s="591"/>
      <c r="M40" s="591"/>
      <c r="N40" s="591"/>
      <c r="O40" s="592"/>
      <c r="P40" s="1826">
        <f t="shared" si="7"/>
        <v>0</v>
      </c>
      <c r="Q40" s="1831"/>
      <c r="R40" s="593"/>
      <c r="S40" s="1969"/>
      <c r="T40" s="1975"/>
      <c r="U40" s="593"/>
      <c r="V40" s="1969"/>
      <c r="W40" s="1970"/>
      <c r="X40" s="554" t="b">
        <f t="shared" si="8"/>
        <v>0</v>
      </c>
    </row>
    <row r="41" spans="1:24" ht="15" customHeight="1">
      <c r="A41" s="589"/>
      <c r="B41" s="590"/>
      <c r="C41" s="475"/>
      <c r="D41" s="594" t="s">
        <v>560</v>
      </c>
      <c r="E41" s="475"/>
      <c r="F41" s="594" t="s">
        <v>559</v>
      </c>
      <c r="G41" s="482">
        <f t="shared" si="5"/>
        <v>0</v>
      </c>
      <c r="H41" s="595"/>
      <c r="I41" s="2095">
        <f t="shared" si="6"/>
        <v>0</v>
      </c>
      <c r="J41" s="591"/>
      <c r="K41" s="591"/>
      <c r="L41" s="591"/>
      <c r="M41" s="591"/>
      <c r="N41" s="591"/>
      <c r="O41" s="592"/>
      <c r="P41" s="1826">
        <f t="shared" si="7"/>
        <v>0</v>
      </c>
      <c r="Q41" s="1831"/>
      <c r="R41" s="593"/>
      <c r="S41" s="1969"/>
      <c r="T41" s="1975"/>
      <c r="U41" s="593"/>
      <c r="V41" s="1969"/>
      <c r="W41" s="1970"/>
      <c r="X41" s="554" t="b">
        <f t="shared" si="8"/>
        <v>0</v>
      </c>
    </row>
    <row r="42" spans="1:24" ht="15" customHeight="1">
      <c r="A42" s="589"/>
      <c r="B42" s="590"/>
      <c r="C42" s="475"/>
      <c r="D42" s="594" t="s">
        <v>560</v>
      </c>
      <c r="E42" s="475"/>
      <c r="F42" s="594" t="s">
        <v>559</v>
      </c>
      <c r="G42" s="482">
        <f t="shared" si="5"/>
        <v>0</v>
      </c>
      <c r="H42" s="595"/>
      <c r="I42" s="2095">
        <f t="shared" si="6"/>
        <v>0</v>
      </c>
      <c r="J42" s="591"/>
      <c r="K42" s="591"/>
      <c r="L42" s="591"/>
      <c r="M42" s="591"/>
      <c r="N42" s="591"/>
      <c r="O42" s="592"/>
      <c r="P42" s="1826">
        <f t="shared" si="7"/>
        <v>0</v>
      </c>
      <c r="Q42" s="1831"/>
      <c r="R42" s="593"/>
      <c r="S42" s="1969"/>
      <c r="T42" s="1975"/>
      <c r="U42" s="593"/>
      <c r="V42" s="1969"/>
      <c r="W42" s="1970"/>
      <c r="X42" s="554" t="b">
        <f t="shared" si="8"/>
        <v>0</v>
      </c>
    </row>
    <row r="43" spans="1:24" ht="15" customHeight="1">
      <c r="A43" s="589"/>
      <c r="B43" s="590"/>
      <c r="C43" s="475"/>
      <c r="D43" s="594" t="s">
        <v>560</v>
      </c>
      <c r="E43" s="475"/>
      <c r="F43" s="594" t="s">
        <v>559</v>
      </c>
      <c r="G43" s="482">
        <f t="shared" si="5"/>
        <v>0</v>
      </c>
      <c r="H43" s="595"/>
      <c r="I43" s="2095">
        <f t="shared" si="6"/>
        <v>0</v>
      </c>
      <c r="J43" s="591"/>
      <c r="K43" s="591"/>
      <c r="L43" s="591"/>
      <c r="M43" s="591"/>
      <c r="N43" s="591"/>
      <c r="O43" s="592"/>
      <c r="P43" s="1826">
        <f t="shared" si="7"/>
        <v>0</v>
      </c>
      <c r="Q43" s="1831"/>
      <c r="R43" s="593"/>
      <c r="S43" s="1969"/>
      <c r="T43" s="1975"/>
      <c r="U43" s="593"/>
      <c r="V43" s="1969"/>
      <c r="W43" s="1970"/>
      <c r="X43" s="554" t="b">
        <f t="shared" si="8"/>
        <v>0</v>
      </c>
    </row>
    <row r="44" spans="1:24" ht="15" customHeight="1">
      <c r="A44" s="589"/>
      <c r="B44" s="590"/>
      <c r="C44" s="475"/>
      <c r="D44" s="594" t="s">
        <v>560</v>
      </c>
      <c r="E44" s="475"/>
      <c r="F44" s="594" t="s">
        <v>559</v>
      </c>
      <c r="G44" s="482">
        <f t="shared" si="5"/>
        <v>0</v>
      </c>
      <c r="H44" s="595"/>
      <c r="I44" s="2095">
        <f t="shared" si="6"/>
        <v>0</v>
      </c>
      <c r="J44" s="591"/>
      <c r="K44" s="591"/>
      <c r="L44" s="591"/>
      <c r="M44" s="591"/>
      <c r="N44" s="591"/>
      <c r="O44" s="592"/>
      <c r="P44" s="1826">
        <f t="shared" si="7"/>
        <v>0</v>
      </c>
      <c r="Q44" s="1831"/>
      <c r="R44" s="593"/>
      <c r="S44" s="1969"/>
      <c r="T44" s="1975"/>
      <c r="U44" s="593"/>
      <c r="V44" s="1969"/>
      <c r="W44" s="1970"/>
      <c r="X44" s="554" t="b">
        <f t="shared" si="8"/>
        <v>0</v>
      </c>
    </row>
    <row r="45" spans="1:24" ht="15" customHeight="1">
      <c r="A45" s="589"/>
      <c r="B45" s="590"/>
      <c r="C45" s="475"/>
      <c r="D45" s="594" t="s">
        <v>560</v>
      </c>
      <c r="E45" s="475"/>
      <c r="F45" s="594" t="s">
        <v>559</v>
      </c>
      <c r="G45" s="482">
        <f t="shared" si="5"/>
        <v>0</v>
      </c>
      <c r="H45" s="595"/>
      <c r="I45" s="2095">
        <f t="shared" si="6"/>
        <v>0</v>
      </c>
      <c r="J45" s="591"/>
      <c r="K45" s="591"/>
      <c r="L45" s="591"/>
      <c r="M45" s="591"/>
      <c r="N45" s="591"/>
      <c r="O45" s="592"/>
      <c r="P45" s="1826">
        <f t="shared" si="7"/>
        <v>0</v>
      </c>
      <c r="Q45" s="1831"/>
      <c r="R45" s="593"/>
      <c r="S45" s="1969"/>
      <c r="T45" s="1975"/>
      <c r="U45" s="593"/>
      <c r="V45" s="1969"/>
      <c r="W45" s="1970"/>
      <c r="X45" s="554" t="b">
        <f t="shared" si="8"/>
        <v>0</v>
      </c>
    </row>
    <row r="46" spans="1:24" ht="15" customHeight="1">
      <c r="A46" s="589"/>
      <c r="B46" s="590"/>
      <c r="C46" s="475"/>
      <c r="D46" s="594" t="s">
        <v>560</v>
      </c>
      <c r="E46" s="475"/>
      <c r="F46" s="594" t="s">
        <v>559</v>
      </c>
      <c r="G46" s="482">
        <f t="shared" si="5"/>
        <v>0</v>
      </c>
      <c r="H46" s="595"/>
      <c r="I46" s="2095">
        <f t="shared" si="6"/>
        <v>0</v>
      </c>
      <c r="J46" s="591"/>
      <c r="K46" s="591"/>
      <c r="L46" s="591"/>
      <c r="M46" s="591"/>
      <c r="N46" s="591"/>
      <c r="O46" s="592"/>
      <c r="P46" s="1826">
        <f t="shared" si="7"/>
        <v>0</v>
      </c>
      <c r="Q46" s="1831"/>
      <c r="R46" s="593"/>
      <c r="S46" s="1969"/>
      <c r="T46" s="1975"/>
      <c r="U46" s="593"/>
      <c r="V46" s="1969"/>
      <c r="W46" s="1970"/>
      <c r="X46" s="554" t="b">
        <f t="shared" si="8"/>
        <v>0</v>
      </c>
    </row>
    <row r="47" spans="1:24" ht="15" customHeight="1">
      <c r="A47" s="589"/>
      <c r="B47" s="590"/>
      <c r="C47" s="475"/>
      <c r="D47" s="594" t="s">
        <v>560</v>
      </c>
      <c r="E47" s="475"/>
      <c r="F47" s="594" t="s">
        <v>559</v>
      </c>
      <c r="G47" s="482">
        <f t="shared" si="5"/>
        <v>0</v>
      </c>
      <c r="H47" s="595"/>
      <c r="I47" s="2095">
        <f t="shared" si="6"/>
        <v>0</v>
      </c>
      <c r="J47" s="591"/>
      <c r="K47" s="591"/>
      <c r="L47" s="591"/>
      <c r="M47" s="591"/>
      <c r="N47" s="591"/>
      <c r="O47" s="592"/>
      <c r="P47" s="1826">
        <f t="shared" si="7"/>
        <v>0</v>
      </c>
      <c r="Q47" s="1831"/>
      <c r="R47" s="593"/>
      <c r="S47" s="1969"/>
      <c r="T47" s="1975"/>
      <c r="U47" s="593"/>
      <c r="V47" s="1969"/>
      <c r="W47" s="1970"/>
      <c r="X47" s="554" t="b">
        <f t="shared" si="8"/>
        <v>0</v>
      </c>
    </row>
    <row r="48" spans="1:24" ht="15" customHeight="1">
      <c r="A48" s="589"/>
      <c r="B48" s="590"/>
      <c r="C48" s="475"/>
      <c r="D48" s="594" t="s">
        <v>560</v>
      </c>
      <c r="E48" s="475"/>
      <c r="F48" s="594" t="s">
        <v>559</v>
      </c>
      <c r="G48" s="482">
        <f t="shared" si="5"/>
        <v>0</v>
      </c>
      <c r="H48" s="595"/>
      <c r="I48" s="2095">
        <f t="shared" si="6"/>
        <v>0</v>
      </c>
      <c r="J48" s="591"/>
      <c r="K48" s="591"/>
      <c r="L48" s="591"/>
      <c r="M48" s="591"/>
      <c r="N48" s="591"/>
      <c r="O48" s="592"/>
      <c r="P48" s="1826">
        <f t="shared" si="7"/>
        <v>0</v>
      </c>
      <c r="Q48" s="1831"/>
      <c r="R48" s="593"/>
      <c r="S48" s="1969"/>
      <c r="T48" s="1975"/>
      <c r="U48" s="593"/>
      <c r="V48" s="1969"/>
      <c r="W48" s="1970"/>
      <c r="X48" s="554" t="b">
        <f t="shared" si="8"/>
        <v>0</v>
      </c>
    </row>
    <row r="49" spans="1:24" ht="15" customHeight="1">
      <c r="A49" s="589"/>
      <c r="B49" s="590"/>
      <c r="C49" s="475"/>
      <c r="D49" s="594" t="s">
        <v>560</v>
      </c>
      <c r="E49" s="475"/>
      <c r="F49" s="594" t="s">
        <v>559</v>
      </c>
      <c r="G49" s="482">
        <f t="shared" si="5"/>
        <v>0</v>
      </c>
      <c r="H49" s="595"/>
      <c r="I49" s="2095">
        <f t="shared" si="6"/>
        <v>0</v>
      </c>
      <c r="J49" s="591"/>
      <c r="K49" s="591"/>
      <c r="L49" s="591"/>
      <c r="M49" s="591"/>
      <c r="N49" s="591"/>
      <c r="O49" s="592"/>
      <c r="P49" s="1826">
        <f t="shared" si="7"/>
        <v>0</v>
      </c>
      <c r="Q49" s="1831"/>
      <c r="R49" s="593"/>
      <c r="S49" s="1969"/>
      <c r="T49" s="1975"/>
      <c r="U49" s="593"/>
      <c r="V49" s="1969"/>
      <c r="W49" s="1970"/>
      <c r="X49" s="554" t="b">
        <f t="shared" si="8"/>
        <v>0</v>
      </c>
    </row>
    <row r="50" spans="1:24" ht="15" customHeight="1">
      <c r="A50" s="596"/>
      <c r="B50" s="597" t="s">
        <v>561</v>
      </c>
      <c r="C50" s="21">
        <f>調書!U11</f>
        <v>0</v>
      </c>
      <c r="D50" s="598" t="s">
        <v>562</v>
      </c>
      <c r="E50" s="21">
        <f>SUM(I36:I49)</f>
        <v>0</v>
      </c>
      <c r="F50" s="598" t="s">
        <v>559</v>
      </c>
      <c r="G50" s="141">
        <f>C50-E50</f>
        <v>0</v>
      </c>
      <c r="H50" s="599">
        <v>1</v>
      </c>
      <c r="I50" s="2096">
        <f t="shared" si="6"/>
        <v>0</v>
      </c>
      <c r="J50" s="600"/>
      <c r="K50" s="600"/>
      <c r="L50" s="600"/>
      <c r="M50" s="600"/>
      <c r="N50" s="600"/>
      <c r="O50" s="601"/>
      <c r="P50" s="1827" t="str">
        <f t="shared" si="7"/>
        <v>（端数処理）</v>
      </c>
      <c r="Q50" s="1832"/>
      <c r="R50" s="602"/>
      <c r="S50" s="1971"/>
      <c r="T50" s="1976"/>
      <c r="U50" s="602"/>
      <c r="V50" s="1971"/>
      <c r="W50" s="1972"/>
      <c r="X50" s="554" t="b">
        <f t="shared" si="8"/>
        <v>0</v>
      </c>
    </row>
    <row r="51" spans="1:24" ht="15" customHeight="1">
      <c r="A51" s="582" t="s">
        <v>565</v>
      </c>
      <c r="B51" s="583"/>
      <c r="C51" s="470"/>
      <c r="D51" s="584" t="s">
        <v>560</v>
      </c>
      <c r="E51" s="470"/>
      <c r="F51" s="584" t="s">
        <v>559</v>
      </c>
      <c r="G51" s="492">
        <f>ROUNDDOWN(C51*E51,2)</f>
        <v>0</v>
      </c>
      <c r="H51" s="585"/>
      <c r="I51" s="2094">
        <f t="shared" si="6"/>
        <v>0</v>
      </c>
      <c r="J51" s="586"/>
      <c r="K51" s="586"/>
      <c r="L51" s="586"/>
      <c r="M51" s="586"/>
      <c r="N51" s="586"/>
      <c r="O51" s="587"/>
      <c r="P51" s="1825">
        <f t="shared" si="7"/>
        <v>0</v>
      </c>
      <c r="Q51" s="1830"/>
      <c r="R51" s="588"/>
      <c r="S51" s="1967"/>
      <c r="T51" s="1974"/>
      <c r="U51" s="588"/>
      <c r="V51" s="1967"/>
      <c r="W51" s="1968"/>
      <c r="X51" s="554" t="b">
        <f t="shared" si="8"/>
        <v>0</v>
      </c>
    </row>
    <row r="52" spans="1:24" ht="15" customHeight="1">
      <c r="A52" s="589"/>
      <c r="B52" s="590"/>
      <c r="C52" s="475"/>
      <c r="D52" s="594" t="s">
        <v>560</v>
      </c>
      <c r="E52" s="475"/>
      <c r="F52" s="594" t="s">
        <v>559</v>
      </c>
      <c r="G52" s="482">
        <f>ROUNDDOWN(C52*E52,2)</f>
        <v>0</v>
      </c>
      <c r="H52" s="595"/>
      <c r="I52" s="2095">
        <f t="shared" si="6"/>
        <v>0</v>
      </c>
      <c r="J52" s="591"/>
      <c r="K52" s="591"/>
      <c r="L52" s="591"/>
      <c r="M52" s="591"/>
      <c r="N52" s="591"/>
      <c r="O52" s="592"/>
      <c r="P52" s="1826">
        <f t="shared" si="7"/>
        <v>0</v>
      </c>
      <c r="Q52" s="1831"/>
      <c r="R52" s="593"/>
      <c r="S52" s="1969"/>
      <c r="T52" s="1975"/>
      <c r="U52" s="593"/>
      <c r="V52" s="1969"/>
      <c r="W52" s="1970"/>
      <c r="X52" s="554" t="b">
        <f t="shared" si="8"/>
        <v>0</v>
      </c>
    </row>
    <row r="53" spans="1:24" ht="15" customHeight="1">
      <c r="A53" s="596"/>
      <c r="B53" s="597" t="s">
        <v>561</v>
      </c>
      <c r="C53" s="21">
        <f>調書!Y11</f>
        <v>0</v>
      </c>
      <c r="D53" s="598" t="s">
        <v>562</v>
      </c>
      <c r="E53" s="21">
        <f>SUM(I51:I52)</f>
        <v>0</v>
      </c>
      <c r="F53" s="598" t="s">
        <v>559</v>
      </c>
      <c r="G53" s="141">
        <f>C53-E53</f>
        <v>0</v>
      </c>
      <c r="H53" s="599">
        <v>1</v>
      </c>
      <c r="I53" s="2096">
        <f t="shared" si="6"/>
        <v>0</v>
      </c>
      <c r="J53" s="600"/>
      <c r="K53" s="600"/>
      <c r="L53" s="600"/>
      <c r="M53" s="600"/>
      <c r="N53" s="600"/>
      <c r="O53" s="601"/>
      <c r="P53" s="1827" t="str">
        <f t="shared" si="7"/>
        <v>（端数処理）</v>
      </c>
      <c r="Q53" s="1832"/>
      <c r="R53" s="602"/>
      <c r="S53" s="1971"/>
      <c r="T53" s="1976"/>
      <c r="U53" s="602"/>
      <c r="V53" s="1971"/>
      <c r="W53" s="1972"/>
      <c r="X53" s="554" t="b">
        <f t="shared" si="8"/>
        <v>0</v>
      </c>
    </row>
    <row r="54" spans="1:24" ht="15" customHeight="1">
      <c r="A54" s="582" t="s">
        <v>740</v>
      </c>
      <c r="B54" s="583"/>
      <c r="C54" s="470"/>
      <c r="D54" s="584" t="s">
        <v>560</v>
      </c>
      <c r="E54" s="470"/>
      <c r="F54" s="584" t="s">
        <v>559</v>
      </c>
      <c r="G54" s="492">
        <f>ROUNDDOWN(C54*E54,2)</f>
        <v>0</v>
      </c>
      <c r="H54" s="585"/>
      <c r="I54" s="2094">
        <f t="shared" si="6"/>
        <v>0</v>
      </c>
      <c r="J54" s="586"/>
      <c r="K54" s="586"/>
      <c r="L54" s="586"/>
      <c r="M54" s="586"/>
      <c r="N54" s="586"/>
      <c r="O54" s="587"/>
      <c r="P54" s="1825">
        <f t="shared" si="7"/>
        <v>0</v>
      </c>
      <c r="Q54" s="1830"/>
      <c r="R54" s="588"/>
      <c r="S54" s="1967"/>
      <c r="T54" s="1974"/>
      <c r="U54" s="588"/>
      <c r="V54" s="1967"/>
      <c r="W54" s="1968"/>
      <c r="X54" s="554" t="b">
        <f t="shared" si="8"/>
        <v>0</v>
      </c>
    </row>
    <row r="55" spans="1:24" ht="15" customHeight="1">
      <c r="A55" s="589"/>
      <c r="B55" s="590"/>
      <c r="C55" s="475"/>
      <c r="D55" s="594" t="s">
        <v>560</v>
      </c>
      <c r="E55" s="475"/>
      <c r="F55" s="594" t="s">
        <v>559</v>
      </c>
      <c r="G55" s="482">
        <f>ROUNDDOWN(C55*E55,2)</f>
        <v>0</v>
      </c>
      <c r="H55" s="595"/>
      <c r="I55" s="2095">
        <f t="shared" si="6"/>
        <v>0</v>
      </c>
      <c r="J55" s="591"/>
      <c r="K55" s="591"/>
      <c r="L55" s="591"/>
      <c r="M55" s="591"/>
      <c r="N55" s="591"/>
      <c r="O55" s="592"/>
      <c r="P55" s="1826">
        <f t="shared" si="7"/>
        <v>0</v>
      </c>
      <c r="Q55" s="1831"/>
      <c r="R55" s="593"/>
      <c r="S55" s="1969"/>
      <c r="T55" s="1975"/>
      <c r="U55" s="593"/>
      <c r="V55" s="1969"/>
      <c r="W55" s="1970"/>
      <c r="X55" s="554" t="b">
        <f t="shared" si="8"/>
        <v>0</v>
      </c>
    </row>
    <row r="56" spans="1:24" ht="15" customHeight="1">
      <c r="A56" s="596"/>
      <c r="B56" s="597" t="s">
        <v>561</v>
      </c>
      <c r="C56" s="21">
        <f>調書!AC11</f>
        <v>0</v>
      </c>
      <c r="D56" s="598" t="s">
        <v>562</v>
      </c>
      <c r="E56" s="21">
        <f>SUM(I54:I55)</f>
        <v>0</v>
      </c>
      <c r="F56" s="598" t="s">
        <v>559</v>
      </c>
      <c r="G56" s="141">
        <f>C56-E56</f>
        <v>0</v>
      </c>
      <c r="H56" s="599">
        <v>1</v>
      </c>
      <c r="I56" s="2096">
        <f t="shared" si="6"/>
        <v>0</v>
      </c>
      <c r="J56" s="600"/>
      <c r="K56" s="600"/>
      <c r="L56" s="600"/>
      <c r="M56" s="600"/>
      <c r="N56" s="600"/>
      <c r="O56" s="601"/>
      <c r="P56" s="1827" t="str">
        <f t="shared" si="7"/>
        <v>（端数処理）</v>
      </c>
      <c r="Q56" s="1832"/>
      <c r="R56" s="602"/>
      <c r="S56" s="1971"/>
      <c r="T56" s="1976"/>
      <c r="U56" s="602"/>
      <c r="V56" s="1971"/>
      <c r="W56" s="1972"/>
      <c r="X56" s="554" t="b">
        <f t="shared" si="8"/>
        <v>0</v>
      </c>
    </row>
    <row r="57" spans="1:24" ht="15" customHeight="1">
      <c r="A57" s="582" t="s">
        <v>741</v>
      </c>
      <c r="B57" s="583"/>
      <c r="C57" s="470"/>
      <c r="D57" s="584" t="s">
        <v>560</v>
      </c>
      <c r="E57" s="470"/>
      <c r="F57" s="584" t="s">
        <v>559</v>
      </c>
      <c r="G57" s="492">
        <f>ROUNDDOWN(C57*E57,2)</f>
        <v>0</v>
      </c>
      <c r="H57" s="585"/>
      <c r="I57" s="2094">
        <f t="shared" si="6"/>
        <v>0</v>
      </c>
      <c r="J57" s="586"/>
      <c r="K57" s="586"/>
      <c r="L57" s="586"/>
      <c r="M57" s="586"/>
      <c r="N57" s="586"/>
      <c r="O57" s="587"/>
      <c r="P57" s="1825">
        <f t="shared" si="7"/>
        <v>0</v>
      </c>
      <c r="Q57" s="1830"/>
      <c r="R57" s="588"/>
      <c r="S57" s="1967"/>
      <c r="T57" s="1974"/>
      <c r="U57" s="588"/>
      <c r="V57" s="1967"/>
      <c r="W57" s="1968"/>
      <c r="X57" s="554" t="b">
        <f t="shared" si="8"/>
        <v>0</v>
      </c>
    </row>
    <row r="58" spans="1:24" ht="15" customHeight="1">
      <c r="A58" s="589"/>
      <c r="B58" s="590"/>
      <c r="C58" s="475"/>
      <c r="D58" s="594" t="s">
        <v>560</v>
      </c>
      <c r="E58" s="475"/>
      <c r="F58" s="594" t="s">
        <v>559</v>
      </c>
      <c r="G58" s="482">
        <f>ROUNDDOWN(C58*E58,2)</f>
        <v>0</v>
      </c>
      <c r="H58" s="595"/>
      <c r="I58" s="2095">
        <f t="shared" si="6"/>
        <v>0</v>
      </c>
      <c r="J58" s="591"/>
      <c r="K58" s="591"/>
      <c r="L58" s="591"/>
      <c r="M58" s="591"/>
      <c r="N58" s="591"/>
      <c r="O58" s="592"/>
      <c r="P58" s="1826">
        <f t="shared" si="7"/>
        <v>0</v>
      </c>
      <c r="Q58" s="1831"/>
      <c r="R58" s="593"/>
      <c r="S58" s="1969"/>
      <c r="T58" s="1975"/>
      <c r="U58" s="593"/>
      <c r="V58" s="1969"/>
      <c r="W58" s="1970"/>
      <c r="X58" s="554" t="b">
        <f t="shared" si="8"/>
        <v>0</v>
      </c>
    </row>
    <row r="59" spans="1:24" ht="15" customHeight="1">
      <c r="A59" s="596"/>
      <c r="B59" s="597" t="s">
        <v>561</v>
      </c>
      <c r="C59" s="21">
        <f>調書!AG11</f>
        <v>0</v>
      </c>
      <c r="D59" s="598" t="s">
        <v>562</v>
      </c>
      <c r="E59" s="21">
        <f>SUM(I57:I58)</f>
        <v>0</v>
      </c>
      <c r="F59" s="598" t="s">
        <v>559</v>
      </c>
      <c r="G59" s="141">
        <f>C59-E59</f>
        <v>0</v>
      </c>
      <c r="H59" s="599">
        <v>1</v>
      </c>
      <c r="I59" s="2096">
        <f t="shared" si="6"/>
        <v>0</v>
      </c>
      <c r="J59" s="600"/>
      <c r="K59" s="600"/>
      <c r="L59" s="600"/>
      <c r="M59" s="600"/>
      <c r="N59" s="600"/>
      <c r="O59" s="601"/>
      <c r="P59" s="1827" t="str">
        <f t="shared" si="7"/>
        <v>（端数処理）</v>
      </c>
      <c r="Q59" s="1832"/>
      <c r="R59" s="602"/>
      <c r="S59" s="1971"/>
      <c r="T59" s="1976"/>
      <c r="U59" s="602"/>
      <c r="V59" s="1971"/>
      <c r="W59" s="1972"/>
      <c r="X59" s="554" t="b">
        <f t="shared" si="8"/>
        <v>0</v>
      </c>
    </row>
    <row r="60" spans="1:24" ht="15" customHeight="1">
      <c r="A60" s="582" t="s">
        <v>742</v>
      </c>
      <c r="B60" s="583"/>
      <c r="C60" s="470"/>
      <c r="D60" s="584" t="s">
        <v>560</v>
      </c>
      <c r="E60" s="470"/>
      <c r="F60" s="584" t="s">
        <v>559</v>
      </c>
      <c r="G60" s="492">
        <f>ROUNDDOWN(C60*E60,2)</f>
        <v>0</v>
      </c>
      <c r="H60" s="585"/>
      <c r="I60" s="2094">
        <f t="shared" si="6"/>
        <v>0</v>
      </c>
      <c r="J60" s="586"/>
      <c r="K60" s="586"/>
      <c r="L60" s="586"/>
      <c r="M60" s="586"/>
      <c r="N60" s="586"/>
      <c r="O60" s="587"/>
      <c r="P60" s="1825">
        <f t="shared" si="7"/>
        <v>0</v>
      </c>
      <c r="Q60" s="1830"/>
      <c r="R60" s="588"/>
      <c r="S60" s="1967"/>
      <c r="T60" s="1974"/>
      <c r="U60" s="588"/>
      <c r="V60" s="1967"/>
      <c r="W60" s="1968"/>
      <c r="X60" s="554" t="b">
        <f t="shared" si="8"/>
        <v>0</v>
      </c>
    </row>
    <row r="61" spans="1:24" ht="15" customHeight="1">
      <c r="A61" s="589"/>
      <c r="B61" s="590"/>
      <c r="C61" s="475"/>
      <c r="D61" s="594" t="s">
        <v>560</v>
      </c>
      <c r="E61" s="475"/>
      <c r="F61" s="594" t="s">
        <v>559</v>
      </c>
      <c r="G61" s="482">
        <f>ROUNDDOWN(C61*E61,2)</f>
        <v>0</v>
      </c>
      <c r="H61" s="595"/>
      <c r="I61" s="2095">
        <f t="shared" si="6"/>
        <v>0</v>
      </c>
      <c r="J61" s="591"/>
      <c r="K61" s="591"/>
      <c r="L61" s="591"/>
      <c r="M61" s="591"/>
      <c r="N61" s="591"/>
      <c r="O61" s="592"/>
      <c r="P61" s="1826">
        <f t="shared" si="7"/>
        <v>0</v>
      </c>
      <c r="Q61" s="1831"/>
      <c r="R61" s="593"/>
      <c r="S61" s="1969"/>
      <c r="T61" s="1975"/>
      <c r="U61" s="593"/>
      <c r="V61" s="1969"/>
      <c r="W61" s="1970"/>
      <c r="X61" s="554" t="b">
        <f t="shared" si="8"/>
        <v>0</v>
      </c>
    </row>
    <row r="62" spans="1:24" ht="15" customHeight="1">
      <c r="A62" s="596"/>
      <c r="B62" s="597" t="s">
        <v>561</v>
      </c>
      <c r="C62" s="21">
        <f>調書!AK11</f>
        <v>0</v>
      </c>
      <c r="D62" s="598" t="s">
        <v>562</v>
      </c>
      <c r="E62" s="21">
        <f>SUM(I60:I61)</f>
        <v>0</v>
      </c>
      <c r="F62" s="598" t="s">
        <v>559</v>
      </c>
      <c r="G62" s="141">
        <f>C62-E62</f>
        <v>0</v>
      </c>
      <c r="H62" s="599">
        <v>1</v>
      </c>
      <c r="I62" s="2096">
        <f t="shared" si="6"/>
        <v>0</v>
      </c>
      <c r="J62" s="600"/>
      <c r="K62" s="600"/>
      <c r="L62" s="600"/>
      <c r="M62" s="600"/>
      <c r="N62" s="600"/>
      <c r="O62" s="601"/>
      <c r="P62" s="1827" t="str">
        <f t="shared" si="7"/>
        <v>（端数処理）</v>
      </c>
      <c r="Q62" s="1832"/>
      <c r="R62" s="602"/>
      <c r="S62" s="1971"/>
      <c r="T62" s="1976"/>
      <c r="U62" s="602"/>
      <c r="V62" s="1971"/>
      <c r="W62" s="1972"/>
      <c r="X62" s="554" t="b">
        <f t="shared" si="8"/>
        <v>0</v>
      </c>
    </row>
    <row r="63" spans="1:24" ht="15" customHeight="1">
      <c r="A63" s="582" t="s">
        <v>743</v>
      </c>
      <c r="B63" s="583"/>
      <c r="C63" s="470"/>
      <c r="D63" s="584" t="s">
        <v>560</v>
      </c>
      <c r="E63" s="470"/>
      <c r="F63" s="584" t="s">
        <v>559</v>
      </c>
      <c r="G63" s="492">
        <f>ROUNDDOWN(C63*E63,2)</f>
        <v>0</v>
      </c>
      <c r="H63" s="585"/>
      <c r="I63" s="2094">
        <f t="shared" si="6"/>
        <v>0</v>
      </c>
      <c r="J63" s="586"/>
      <c r="K63" s="586"/>
      <c r="L63" s="586"/>
      <c r="M63" s="586"/>
      <c r="N63" s="586"/>
      <c r="O63" s="587"/>
      <c r="P63" s="1825">
        <f t="shared" si="7"/>
        <v>0</v>
      </c>
      <c r="Q63" s="1830"/>
      <c r="R63" s="588"/>
      <c r="S63" s="1967"/>
      <c r="T63" s="1974"/>
      <c r="U63" s="588"/>
      <c r="V63" s="1967"/>
      <c r="W63" s="1968"/>
      <c r="X63" s="554" t="b">
        <f t="shared" si="8"/>
        <v>0</v>
      </c>
    </row>
    <row r="64" spans="1:24" ht="15" customHeight="1">
      <c r="A64" s="589"/>
      <c r="B64" s="590"/>
      <c r="C64" s="475"/>
      <c r="D64" s="594" t="s">
        <v>560</v>
      </c>
      <c r="E64" s="475"/>
      <c r="F64" s="594" t="s">
        <v>559</v>
      </c>
      <c r="G64" s="482">
        <f>ROUNDDOWN(C64*E64,2)</f>
        <v>0</v>
      </c>
      <c r="H64" s="595"/>
      <c r="I64" s="2095">
        <f t="shared" si="6"/>
        <v>0</v>
      </c>
      <c r="J64" s="591"/>
      <c r="K64" s="591"/>
      <c r="L64" s="591"/>
      <c r="M64" s="591"/>
      <c r="N64" s="591"/>
      <c r="O64" s="592"/>
      <c r="P64" s="1826">
        <f t="shared" si="7"/>
        <v>0</v>
      </c>
      <c r="Q64" s="1831"/>
      <c r="R64" s="593"/>
      <c r="S64" s="1969"/>
      <c r="T64" s="1975"/>
      <c r="U64" s="593"/>
      <c r="V64" s="1969"/>
      <c r="W64" s="1970"/>
      <c r="X64" s="554" t="b">
        <f t="shared" si="8"/>
        <v>0</v>
      </c>
    </row>
    <row r="65" spans="1:24" ht="15" customHeight="1">
      <c r="A65" s="596"/>
      <c r="B65" s="597" t="s">
        <v>561</v>
      </c>
      <c r="C65" s="21">
        <f>調書!AO11</f>
        <v>0</v>
      </c>
      <c r="D65" s="598" t="s">
        <v>562</v>
      </c>
      <c r="E65" s="21">
        <f>SUM(I63:I64)</f>
        <v>0</v>
      </c>
      <c r="F65" s="598" t="s">
        <v>559</v>
      </c>
      <c r="G65" s="141">
        <f>C65-E65</f>
        <v>0</v>
      </c>
      <c r="H65" s="599">
        <v>1</v>
      </c>
      <c r="I65" s="2096">
        <f t="shared" si="6"/>
        <v>0</v>
      </c>
      <c r="J65" s="600"/>
      <c r="K65" s="600"/>
      <c r="L65" s="600"/>
      <c r="M65" s="600"/>
      <c r="N65" s="600"/>
      <c r="O65" s="601"/>
      <c r="P65" s="1827" t="str">
        <f t="shared" si="7"/>
        <v>（端数処理）</v>
      </c>
      <c r="Q65" s="1832"/>
      <c r="R65" s="602"/>
      <c r="S65" s="1971"/>
      <c r="T65" s="1976"/>
      <c r="U65" s="602"/>
      <c r="V65" s="1971"/>
      <c r="W65" s="1972"/>
      <c r="X65" s="554" t="b">
        <f t="shared" si="8"/>
        <v>0</v>
      </c>
    </row>
    <row r="66" spans="1:24" ht="15" customHeight="1">
      <c r="A66" s="582" t="s">
        <v>744</v>
      </c>
      <c r="B66" s="583"/>
      <c r="C66" s="470"/>
      <c r="D66" s="584" t="s">
        <v>560</v>
      </c>
      <c r="E66" s="470"/>
      <c r="F66" s="584" t="s">
        <v>559</v>
      </c>
      <c r="G66" s="492">
        <f>ROUNDDOWN(C66*E66,2)</f>
        <v>0</v>
      </c>
      <c r="H66" s="585"/>
      <c r="I66" s="2094">
        <f t="shared" si="6"/>
        <v>0</v>
      </c>
      <c r="J66" s="586"/>
      <c r="K66" s="586"/>
      <c r="L66" s="586"/>
      <c r="M66" s="586"/>
      <c r="N66" s="586"/>
      <c r="O66" s="587"/>
      <c r="P66" s="1825">
        <f t="shared" si="7"/>
        <v>0</v>
      </c>
      <c r="Q66" s="1830"/>
      <c r="R66" s="588"/>
      <c r="S66" s="1967"/>
      <c r="T66" s="1974"/>
      <c r="U66" s="588"/>
      <c r="V66" s="1967"/>
      <c r="W66" s="1968"/>
      <c r="X66" s="554" t="b">
        <f t="shared" si="8"/>
        <v>0</v>
      </c>
    </row>
    <row r="67" spans="1:24" ht="15" customHeight="1">
      <c r="A67" s="589"/>
      <c r="B67" s="590"/>
      <c r="C67" s="475"/>
      <c r="D67" s="594" t="s">
        <v>560</v>
      </c>
      <c r="E67" s="475"/>
      <c r="F67" s="594" t="s">
        <v>559</v>
      </c>
      <c r="G67" s="482">
        <f>ROUNDDOWN(C67*E67,2)</f>
        <v>0</v>
      </c>
      <c r="H67" s="595"/>
      <c r="I67" s="2095">
        <f t="shared" si="6"/>
        <v>0</v>
      </c>
      <c r="J67" s="591"/>
      <c r="K67" s="591"/>
      <c r="L67" s="591"/>
      <c r="M67" s="591"/>
      <c r="N67" s="591"/>
      <c r="O67" s="592"/>
      <c r="P67" s="1828">
        <f t="shared" si="7"/>
        <v>0</v>
      </c>
      <c r="Q67" s="1831"/>
      <c r="R67" s="593"/>
      <c r="S67" s="1969"/>
      <c r="T67" s="1975"/>
      <c r="U67" s="593"/>
      <c r="V67" s="1969"/>
      <c r="W67" s="1970"/>
      <c r="X67" s="554" t="b">
        <f t="shared" si="8"/>
        <v>0</v>
      </c>
    </row>
    <row r="68" spans="1:24" ht="15" customHeight="1">
      <c r="A68" s="596"/>
      <c r="B68" s="597" t="s">
        <v>561</v>
      </c>
      <c r="C68" s="21">
        <f>調書!AS11</f>
        <v>0</v>
      </c>
      <c r="D68" s="598" t="s">
        <v>562</v>
      </c>
      <c r="E68" s="21">
        <f>SUM(I66:I67)</f>
        <v>0</v>
      </c>
      <c r="F68" s="598" t="s">
        <v>559</v>
      </c>
      <c r="G68" s="141">
        <f>C68-E68</f>
        <v>0</v>
      </c>
      <c r="H68" s="599">
        <v>1</v>
      </c>
      <c r="I68" s="2096">
        <f t="shared" si="6"/>
        <v>0</v>
      </c>
      <c r="J68" s="600"/>
      <c r="K68" s="600"/>
      <c r="L68" s="600"/>
      <c r="M68" s="600"/>
      <c r="N68" s="600"/>
      <c r="O68" s="601"/>
      <c r="P68" s="1827" t="str">
        <f t="shared" si="7"/>
        <v>（端数処理）</v>
      </c>
      <c r="Q68" s="1832"/>
      <c r="R68" s="602"/>
      <c r="S68" s="1971"/>
      <c r="T68" s="1976"/>
      <c r="U68" s="602"/>
      <c r="V68" s="1971"/>
      <c r="W68" s="1972"/>
      <c r="X68" s="554" t="b">
        <f t="shared" si="8"/>
        <v>0</v>
      </c>
    </row>
    <row r="69" spans="1:24" ht="15" customHeight="1">
      <c r="A69" s="582" t="s">
        <v>745</v>
      </c>
      <c r="B69" s="583"/>
      <c r="C69" s="470"/>
      <c r="D69" s="584" t="s">
        <v>560</v>
      </c>
      <c r="E69" s="470"/>
      <c r="F69" s="584" t="s">
        <v>559</v>
      </c>
      <c r="G69" s="492">
        <f>ROUNDDOWN(C69*E69,2)</f>
        <v>0</v>
      </c>
      <c r="H69" s="585"/>
      <c r="I69" s="2094">
        <f t="shared" si="6"/>
        <v>0</v>
      </c>
      <c r="J69" s="586"/>
      <c r="K69" s="586"/>
      <c r="L69" s="586"/>
      <c r="M69" s="586"/>
      <c r="N69" s="586"/>
      <c r="O69" s="587"/>
      <c r="P69" s="1825">
        <f t="shared" si="7"/>
        <v>0</v>
      </c>
      <c r="Q69" s="1830"/>
      <c r="R69" s="588"/>
      <c r="S69" s="1967"/>
      <c r="T69" s="1974"/>
      <c r="U69" s="588"/>
      <c r="V69" s="1967"/>
      <c r="W69" s="1968"/>
      <c r="X69" s="554" t="b">
        <f t="shared" si="8"/>
        <v>0</v>
      </c>
    </row>
    <row r="70" spans="1:24" ht="15" customHeight="1">
      <c r="A70" s="589"/>
      <c r="B70" s="590"/>
      <c r="C70" s="475"/>
      <c r="D70" s="594" t="s">
        <v>560</v>
      </c>
      <c r="E70" s="475"/>
      <c r="F70" s="594" t="s">
        <v>559</v>
      </c>
      <c r="G70" s="482">
        <f>ROUNDDOWN(C70*E70,2)</f>
        <v>0</v>
      </c>
      <c r="H70" s="595"/>
      <c r="I70" s="2095">
        <f t="shared" ref="I70:I89" si="9">G70*H70</f>
        <v>0</v>
      </c>
      <c r="J70" s="591"/>
      <c r="K70" s="591"/>
      <c r="L70" s="591"/>
      <c r="M70" s="591"/>
      <c r="N70" s="591"/>
      <c r="O70" s="592"/>
      <c r="P70" s="1826">
        <f t="shared" ref="P70:P89" si="10">B70</f>
        <v>0</v>
      </c>
      <c r="Q70" s="1831"/>
      <c r="R70" s="593"/>
      <c r="S70" s="1969"/>
      <c r="T70" s="1975"/>
      <c r="U70" s="593"/>
      <c r="V70" s="1969"/>
      <c r="W70" s="1970"/>
      <c r="X70" s="554" t="b">
        <f t="shared" ref="X70:X89" si="11">G70&lt;&gt;0</f>
        <v>0</v>
      </c>
    </row>
    <row r="71" spans="1:24" ht="15" customHeight="1">
      <c r="A71" s="596"/>
      <c r="B71" s="597" t="s">
        <v>561</v>
      </c>
      <c r="C71" s="21">
        <f>調書!AW11</f>
        <v>0</v>
      </c>
      <c r="D71" s="598" t="s">
        <v>562</v>
      </c>
      <c r="E71" s="21">
        <f>SUM(I69:I70)</f>
        <v>0</v>
      </c>
      <c r="F71" s="598" t="s">
        <v>559</v>
      </c>
      <c r="G71" s="141">
        <f>C71-E71</f>
        <v>0</v>
      </c>
      <c r="H71" s="599">
        <v>1</v>
      </c>
      <c r="I71" s="2096">
        <f t="shared" si="9"/>
        <v>0</v>
      </c>
      <c r="J71" s="600"/>
      <c r="K71" s="600"/>
      <c r="L71" s="600"/>
      <c r="M71" s="600"/>
      <c r="N71" s="600"/>
      <c r="O71" s="601"/>
      <c r="P71" s="1827" t="str">
        <f t="shared" si="10"/>
        <v>（端数処理）</v>
      </c>
      <c r="Q71" s="1832"/>
      <c r="R71" s="602"/>
      <c r="S71" s="1971"/>
      <c r="T71" s="1976"/>
      <c r="U71" s="602"/>
      <c r="V71" s="1971"/>
      <c r="W71" s="1972"/>
      <c r="X71" s="554" t="b">
        <f t="shared" si="11"/>
        <v>0</v>
      </c>
    </row>
    <row r="72" spans="1:24" ht="15" customHeight="1">
      <c r="A72" s="582" t="s">
        <v>566</v>
      </c>
      <c r="B72" s="583"/>
      <c r="C72" s="470"/>
      <c r="D72" s="584" t="s">
        <v>560</v>
      </c>
      <c r="E72" s="470"/>
      <c r="F72" s="584" t="s">
        <v>559</v>
      </c>
      <c r="G72" s="492">
        <f>ROUNDDOWN(C72*E72,2)</f>
        <v>0</v>
      </c>
      <c r="H72" s="585"/>
      <c r="I72" s="2094">
        <f t="shared" si="9"/>
        <v>0</v>
      </c>
      <c r="J72" s="586"/>
      <c r="K72" s="586"/>
      <c r="L72" s="586"/>
      <c r="M72" s="586"/>
      <c r="N72" s="586"/>
      <c r="O72" s="587"/>
      <c r="P72" s="1825">
        <f t="shared" si="10"/>
        <v>0</v>
      </c>
      <c r="Q72" s="1830"/>
      <c r="R72" s="588"/>
      <c r="S72" s="1967"/>
      <c r="T72" s="1974"/>
      <c r="U72" s="588"/>
      <c r="V72" s="1967"/>
      <c r="W72" s="1968"/>
      <c r="X72" s="554" t="b">
        <f t="shared" si="11"/>
        <v>0</v>
      </c>
    </row>
    <row r="73" spans="1:24" ht="15" customHeight="1">
      <c r="A73" s="589"/>
      <c r="B73" s="590"/>
      <c r="C73" s="475"/>
      <c r="D73" s="594" t="s">
        <v>560</v>
      </c>
      <c r="E73" s="475"/>
      <c r="F73" s="594" t="s">
        <v>559</v>
      </c>
      <c r="G73" s="482">
        <f>ROUNDDOWN(C73*E73,2)</f>
        <v>0</v>
      </c>
      <c r="H73" s="595"/>
      <c r="I73" s="2095">
        <f t="shared" si="9"/>
        <v>0</v>
      </c>
      <c r="J73" s="591"/>
      <c r="K73" s="591"/>
      <c r="L73" s="591"/>
      <c r="M73" s="591"/>
      <c r="N73" s="591"/>
      <c r="O73" s="592"/>
      <c r="P73" s="1826">
        <f t="shared" si="10"/>
        <v>0</v>
      </c>
      <c r="Q73" s="1831"/>
      <c r="R73" s="593"/>
      <c r="S73" s="1969"/>
      <c r="T73" s="1975"/>
      <c r="U73" s="593"/>
      <c r="V73" s="1969"/>
      <c r="W73" s="1970"/>
      <c r="X73" s="554" t="b">
        <f t="shared" si="11"/>
        <v>0</v>
      </c>
    </row>
    <row r="74" spans="1:24" ht="15" customHeight="1">
      <c r="A74" s="596"/>
      <c r="B74" s="597" t="s">
        <v>561</v>
      </c>
      <c r="C74" s="21">
        <f>調書!M13</f>
        <v>0</v>
      </c>
      <c r="D74" s="598" t="s">
        <v>562</v>
      </c>
      <c r="E74" s="21">
        <f>SUM(I72:I73)</f>
        <v>0</v>
      </c>
      <c r="F74" s="598" t="s">
        <v>559</v>
      </c>
      <c r="G74" s="141">
        <f>C74-E74</f>
        <v>0</v>
      </c>
      <c r="H74" s="599">
        <v>1</v>
      </c>
      <c r="I74" s="2096">
        <f t="shared" si="9"/>
        <v>0</v>
      </c>
      <c r="J74" s="600"/>
      <c r="K74" s="600"/>
      <c r="L74" s="600"/>
      <c r="M74" s="600"/>
      <c r="N74" s="600"/>
      <c r="O74" s="601"/>
      <c r="P74" s="1827" t="str">
        <f t="shared" si="10"/>
        <v>（端数処理）</v>
      </c>
      <c r="Q74" s="1832"/>
      <c r="R74" s="602"/>
      <c r="S74" s="1971"/>
      <c r="T74" s="1976"/>
      <c r="U74" s="602"/>
      <c r="V74" s="1971"/>
      <c r="W74" s="1972"/>
      <c r="X74" s="554" t="b">
        <f t="shared" si="11"/>
        <v>0</v>
      </c>
    </row>
    <row r="75" spans="1:24" ht="15" customHeight="1">
      <c r="A75" s="582" t="s">
        <v>567</v>
      </c>
      <c r="B75" s="583"/>
      <c r="C75" s="470"/>
      <c r="D75" s="584" t="s">
        <v>560</v>
      </c>
      <c r="E75" s="470"/>
      <c r="F75" s="584" t="s">
        <v>559</v>
      </c>
      <c r="G75" s="492">
        <f>ROUNDDOWN(C75*E75,2)</f>
        <v>0</v>
      </c>
      <c r="H75" s="585"/>
      <c r="I75" s="2094">
        <f t="shared" si="9"/>
        <v>0</v>
      </c>
      <c r="J75" s="586"/>
      <c r="K75" s="586"/>
      <c r="L75" s="586"/>
      <c r="M75" s="586"/>
      <c r="N75" s="586"/>
      <c r="O75" s="587"/>
      <c r="P75" s="1825">
        <f t="shared" si="10"/>
        <v>0</v>
      </c>
      <c r="Q75" s="1830"/>
      <c r="R75" s="588"/>
      <c r="S75" s="1967"/>
      <c r="T75" s="1974"/>
      <c r="U75" s="588"/>
      <c r="V75" s="1967"/>
      <c r="W75" s="1968"/>
      <c r="X75" s="554" t="b">
        <f t="shared" si="11"/>
        <v>0</v>
      </c>
    </row>
    <row r="76" spans="1:24" ht="15" customHeight="1">
      <c r="A76" s="589"/>
      <c r="B76" s="590"/>
      <c r="C76" s="475"/>
      <c r="D76" s="594" t="s">
        <v>560</v>
      </c>
      <c r="E76" s="475"/>
      <c r="F76" s="594" t="s">
        <v>559</v>
      </c>
      <c r="G76" s="482">
        <f>ROUNDDOWN(C76*E76,2)</f>
        <v>0</v>
      </c>
      <c r="H76" s="595"/>
      <c r="I76" s="2095">
        <f t="shared" si="9"/>
        <v>0</v>
      </c>
      <c r="J76" s="591"/>
      <c r="K76" s="591"/>
      <c r="L76" s="591"/>
      <c r="M76" s="591"/>
      <c r="N76" s="591"/>
      <c r="O76" s="592"/>
      <c r="P76" s="1826">
        <f t="shared" si="10"/>
        <v>0</v>
      </c>
      <c r="Q76" s="1831"/>
      <c r="R76" s="593"/>
      <c r="S76" s="1969"/>
      <c r="T76" s="1975"/>
      <c r="U76" s="593"/>
      <c r="V76" s="1969"/>
      <c r="W76" s="1970"/>
      <c r="X76" s="554" t="b">
        <f t="shared" si="11"/>
        <v>0</v>
      </c>
    </row>
    <row r="77" spans="1:24" ht="15" customHeight="1">
      <c r="A77" s="596"/>
      <c r="B77" s="597" t="s">
        <v>561</v>
      </c>
      <c r="C77" s="21">
        <f>調書!Q13</f>
        <v>0</v>
      </c>
      <c r="D77" s="598" t="s">
        <v>562</v>
      </c>
      <c r="E77" s="21">
        <f>SUM(I75:I76)</f>
        <v>0</v>
      </c>
      <c r="F77" s="598" t="s">
        <v>559</v>
      </c>
      <c r="G77" s="141">
        <f>C77-E77</f>
        <v>0</v>
      </c>
      <c r="H77" s="599">
        <v>1</v>
      </c>
      <c r="I77" s="2096">
        <f t="shared" si="9"/>
        <v>0</v>
      </c>
      <c r="J77" s="600"/>
      <c r="K77" s="600"/>
      <c r="L77" s="600"/>
      <c r="M77" s="600"/>
      <c r="N77" s="600"/>
      <c r="O77" s="601"/>
      <c r="P77" s="1827" t="str">
        <f t="shared" si="10"/>
        <v>（端数処理）</v>
      </c>
      <c r="Q77" s="1832"/>
      <c r="R77" s="602"/>
      <c r="S77" s="1971"/>
      <c r="T77" s="1976"/>
      <c r="U77" s="602"/>
      <c r="V77" s="1971"/>
      <c r="W77" s="1972"/>
      <c r="X77" s="554" t="b">
        <f t="shared" si="11"/>
        <v>0</v>
      </c>
    </row>
    <row r="78" spans="1:24" ht="15" customHeight="1">
      <c r="A78" s="582" t="s">
        <v>568</v>
      </c>
      <c r="B78" s="583"/>
      <c r="C78" s="470"/>
      <c r="D78" s="584" t="s">
        <v>560</v>
      </c>
      <c r="E78" s="470"/>
      <c r="F78" s="584" t="s">
        <v>559</v>
      </c>
      <c r="G78" s="492">
        <f>ROUNDDOWN(C78*E78,2)</f>
        <v>0</v>
      </c>
      <c r="H78" s="585"/>
      <c r="I78" s="2094">
        <f t="shared" si="9"/>
        <v>0</v>
      </c>
      <c r="J78" s="586"/>
      <c r="K78" s="586"/>
      <c r="L78" s="586"/>
      <c r="M78" s="586"/>
      <c r="N78" s="586"/>
      <c r="O78" s="587"/>
      <c r="P78" s="1825">
        <f t="shared" si="10"/>
        <v>0</v>
      </c>
      <c r="Q78" s="1830"/>
      <c r="R78" s="588"/>
      <c r="S78" s="1967"/>
      <c r="T78" s="1974"/>
      <c r="U78" s="588"/>
      <c r="V78" s="1967"/>
      <c r="W78" s="1968"/>
      <c r="X78" s="554" t="b">
        <f t="shared" si="11"/>
        <v>0</v>
      </c>
    </row>
    <row r="79" spans="1:24" ht="15" customHeight="1">
      <c r="A79" s="589"/>
      <c r="B79" s="590"/>
      <c r="C79" s="475"/>
      <c r="D79" s="594" t="s">
        <v>560</v>
      </c>
      <c r="E79" s="475"/>
      <c r="F79" s="594" t="s">
        <v>559</v>
      </c>
      <c r="G79" s="482">
        <f>ROUNDDOWN(C79*E79,2)</f>
        <v>0</v>
      </c>
      <c r="H79" s="595"/>
      <c r="I79" s="2095">
        <f t="shared" si="9"/>
        <v>0</v>
      </c>
      <c r="J79" s="591"/>
      <c r="K79" s="591"/>
      <c r="L79" s="591"/>
      <c r="M79" s="591"/>
      <c r="N79" s="591"/>
      <c r="O79" s="592"/>
      <c r="P79" s="1826">
        <f t="shared" si="10"/>
        <v>0</v>
      </c>
      <c r="Q79" s="1831"/>
      <c r="R79" s="593"/>
      <c r="S79" s="1969"/>
      <c r="T79" s="1975"/>
      <c r="U79" s="593"/>
      <c r="V79" s="1969"/>
      <c r="W79" s="1970"/>
      <c r="X79" s="554" t="b">
        <f t="shared" si="11"/>
        <v>0</v>
      </c>
    </row>
    <row r="80" spans="1:24" ht="15" customHeight="1">
      <c r="A80" s="596"/>
      <c r="B80" s="597" t="s">
        <v>561</v>
      </c>
      <c r="C80" s="21">
        <f>調書!U13</f>
        <v>0</v>
      </c>
      <c r="D80" s="598" t="s">
        <v>562</v>
      </c>
      <c r="E80" s="21">
        <f>SUM(I78:I79)</f>
        <v>0</v>
      </c>
      <c r="F80" s="598" t="s">
        <v>559</v>
      </c>
      <c r="G80" s="141">
        <f>C80-E80</f>
        <v>0</v>
      </c>
      <c r="H80" s="599">
        <v>1</v>
      </c>
      <c r="I80" s="2096">
        <f t="shared" si="9"/>
        <v>0</v>
      </c>
      <c r="J80" s="600"/>
      <c r="K80" s="600"/>
      <c r="L80" s="600"/>
      <c r="M80" s="600"/>
      <c r="N80" s="600"/>
      <c r="O80" s="601"/>
      <c r="P80" s="1827" t="str">
        <f t="shared" si="10"/>
        <v>（端数処理）</v>
      </c>
      <c r="Q80" s="1832"/>
      <c r="R80" s="602"/>
      <c r="S80" s="1971"/>
      <c r="T80" s="1976"/>
      <c r="U80" s="602"/>
      <c r="V80" s="1971"/>
      <c r="W80" s="1972"/>
      <c r="X80" s="554" t="b">
        <f t="shared" si="11"/>
        <v>0</v>
      </c>
    </row>
    <row r="81" spans="1:24" ht="15" customHeight="1">
      <c r="A81" s="582" t="s">
        <v>569</v>
      </c>
      <c r="B81" s="583"/>
      <c r="C81" s="470"/>
      <c r="D81" s="584" t="s">
        <v>560</v>
      </c>
      <c r="E81" s="470"/>
      <c r="F81" s="584" t="s">
        <v>559</v>
      </c>
      <c r="G81" s="492">
        <f>ROUNDDOWN(C81*E81,2)</f>
        <v>0</v>
      </c>
      <c r="H81" s="585"/>
      <c r="I81" s="2094">
        <f t="shared" si="9"/>
        <v>0</v>
      </c>
      <c r="J81" s="586"/>
      <c r="K81" s="586"/>
      <c r="L81" s="586"/>
      <c r="M81" s="586"/>
      <c r="N81" s="586"/>
      <c r="O81" s="587"/>
      <c r="P81" s="1825">
        <f t="shared" si="10"/>
        <v>0</v>
      </c>
      <c r="Q81" s="1830"/>
      <c r="R81" s="588"/>
      <c r="S81" s="1967"/>
      <c r="T81" s="1974"/>
      <c r="U81" s="588"/>
      <c r="V81" s="1967"/>
      <c r="W81" s="1968"/>
      <c r="X81" s="554" t="b">
        <f t="shared" si="11"/>
        <v>0</v>
      </c>
    </row>
    <row r="82" spans="1:24" ht="15" customHeight="1">
      <c r="A82" s="589"/>
      <c r="B82" s="590"/>
      <c r="C82" s="475"/>
      <c r="D82" s="594" t="s">
        <v>560</v>
      </c>
      <c r="E82" s="475"/>
      <c r="F82" s="594" t="s">
        <v>559</v>
      </c>
      <c r="G82" s="482">
        <f>ROUNDDOWN(C82*E82,2)</f>
        <v>0</v>
      </c>
      <c r="H82" s="595"/>
      <c r="I82" s="2095">
        <f t="shared" si="9"/>
        <v>0</v>
      </c>
      <c r="J82" s="591"/>
      <c r="K82" s="591"/>
      <c r="L82" s="591"/>
      <c r="M82" s="591"/>
      <c r="N82" s="591"/>
      <c r="O82" s="592"/>
      <c r="P82" s="1826">
        <f t="shared" si="10"/>
        <v>0</v>
      </c>
      <c r="Q82" s="1831"/>
      <c r="R82" s="593"/>
      <c r="S82" s="1969"/>
      <c r="T82" s="1975"/>
      <c r="U82" s="593"/>
      <c r="V82" s="1969"/>
      <c r="W82" s="1970"/>
      <c r="X82" s="554" t="b">
        <f t="shared" si="11"/>
        <v>0</v>
      </c>
    </row>
    <row r="83" spans="1:24" ht="15" customHeight="1">
      <c r="A83" s="596"/>
      <c r="B83" s="597" t="s">
        <v>561</v>
      </c>
      <c r="C83" s="21">
        <f>調書!Y13</f>
        <v>0</v>
      </c>
      <c r="D83" s="598" t="s">
        <v>562</v>
      </c>
      <c r="E83" s="21">
        <f>SUM(I81:I82)</f>
        <v>0</v>
      </c>
      <c r="F83" s="598" t="s">
        <v>559</v>
      </c>
      <c r="G83" s="141">
        <f>C83-E83</f>
        <v>0</v>
      </c>
      <c r="H83" s="599">
        <v>1</v>
      </c>
      <c r="I83" s="2096">
        <f t="shared" si="9"/>
        <v>0</v>
      </c>
      <c r="J83" s="600"/>
      <c r="K83" s="600"/>
      <c r="L83" s="600"/>
      <c r="M83" s="600"/>
      <c r="N83" s="600"/>
      <c r="O83" s="601"/>
      <c r="P83" s="1827" t="str">
        <f t="shared" si="10"/>
        <v>（端数処理）</v>
      </c>
      <c r="Q83" s="1832"/>
      <c r="R83" s="602"/>
      <c r="S83" s="1971"/>
      <c r="T83" s="1976"/>
      <c r="U83" s="602"/>
      <c r="V83" s="1971"/>
      <c r="W83" s="1972"/>
      <c r="X83" s="554" t="b">
        <f t="shared" si="11"/>
        <v>0</v>
      </c>
    </row>
    <row r="84" spans="1:24" ht="15" customHeight="1">
      <c r="A84" s="582" t="s">
        <v>570</v>
      </c>
      <c r="B84" s="583"/>
      <c r="C84" s="470"/>
      <c r="D84" s="584" t="s">
        <v>560</v>
      </c>
      <c r="E84" s="470"/>
      <c r="F84" s="584" t="s">
        <v>559</v>
      </c>
      <c r="G84" s="492">
        <f>ROUNDDOWN(C84*E84,2)</f>
        <v>0</v>
      </c>
      <c r="H84" s="585"/>
      <c r="I84" s="2094">
        <f t="shared" si="9"/>
        <v>0</v>
      </c>
      <c r="J84" s="586"/>
      <c r="K84" s="586"/>
      <c r="L84" s="586"/>
      <c r="M84" s="586"/>
      <c r="N84" s="586"/>
      <c r="O84" s="587"/>
      <c r="P84" s="1825">
        <f t="shared" si="10"/>
        <v>0</v>
      </c>
      <c r="Q84" s="1830"/>
      <c r="R84" s="588"/>
      <c r="S84" s="1967"/>
      <c r="T84" s="1974"/>
      <c r="U84" s="588"/>
      <c r="V84" s="1967"/>
      <c r="W84" s="1968"/>
      <c r="X84" s="554" t="b">
        <f t="shared" si="11"/>
        <v>0</v>
      </c>
    </row>
    <row r="85" spans="1:24" ht="15" customHeight="1">
      <c r="A85" s="589"/>
      <c r="B85" s="590"/>
      <c r="C85" s="475"/>
      <c r="D85" s="594" t="s">
        <v>560</v>
      </c>
      <c r="E85" s="475"/>
      <c r="F85" s="594" t="s">
        <v>559</v>
      </c>
      <c r="G85" s="482">
        <f>ROUNDDOWN(C85*E85,2)</f>
        <v>0</v>
      </c>
      <c r="H85" s="595"/>
      <c r="I85" s="2095">
        <f t="shared" si="9"/>
        <v>0</v>
      </c>
      <c r="J85" s="591"/>
      <c r="K85" s="591"/>
      <c r="L85" s="591"/>
      <c r="M85" s="591"/>
      <c r="N85" s="591"/>
      <c r="O85" s="592"/>
      <c r="P85" s="1826">
        <f t="shared" si="10"/>
        <v>0</v>
      </c>
      <c r="Q85" s="1831"/>
      <c r="R85" s="593"/>
      <c r="S85" s="1969"/>
      <c r="T85" s="1975"/>
      <c r="U85" s="593"/>
      <c r="V85" s="1969"/>
      <c r="W85" s="1970"/>
      <c r="X85" s="554" t="b">
        <f t="shared" si="11"/>
        <v>0</v>
      </c>
    </row>
    <row r="86" spans="1:24" ht="15" customHeight="1">
      <c r="A86" s="596"/>
      <c r="B86" s="597" t="s">
        <v>561</v>
      </c>
      <c r="C86" s="21">
        <f>調書!AC13</f>
        <v>0</v>
      </c>
      <c r="D86" s="598" t="s">
        <v>562</v>
      </c>
      <c r="E86" s="21">
        <f>SUM(I84:I85)</f>
        <v>0</v>
      </c>
      <c r="F86" s="598" t="s">
        <v>559</v>
      </c>
      <c r="G86" s="141">
        <f>C86-E86</f>
        <v>0</v>
      </c>
      <c r="H86" s="599">
        <v>1</v>
      </c>
      <c r="I86" s="2096">
        <f t="shared" si="9"/>
        <v>0</v>
      </c>
      <c r="J86" s="600"/>
      <c r="K86" s="600"/>
      <c r="L86" s="600"/>
      <c r="M86" s="600"/>
      <c r="N86" s="600"/>
      <c r="O86" s="601"/>
      <c r="P86" s="1827" t="str">
        <f t="shared" si="10"/>
        <v>（端数処理）</v>
      </c>
      <c r="Q86" s="1832"/>
      <c r="R86" s="602"/>
      <c r="S86" s="1971"/>
      <c r="T86" s="1976"/>
      <c r="U86" s="602"/>
      <c r="V86" s="1971"/>
      <c r="W86" s="1972"/>
      <c r="X86" s="554" t="b">
        <f t="shared" si="11"/>
        <v>0</v>
      </c>
    </row>
    <row r="87" spans="1:24" ht="15" customHeight="1">
      <c r="A87" s="582" t="s">
        <v>571</v>
      </c>
      <c r="B87" s="583"/>
      <c r="C87" s="470"/>
      <c r="D87" s="584" t="s">
        <v>560</v>
      </c>
      <c r="E87" s="470"/>
      <c r="F87" s="584" t="s">
        <v>559</v>
      </c>
      <c r="G87" s="492">
        <f>ROUNDDOWN(C87*E87,2)</f>
        <v>0</v>
      </c>
      <c r="H87" s="585"/>
      <c r="I87" s="2094">
        <f t="shared" si="9"/>
        <v>0</v>
      </c>
      <c r="J87" s="586"/>
      <c r="K87" s="586"/>
      <c r="L87" s="586"/>
      <c r="M87" s="586"/>
      <c r="N87" s="586"/>
      <c r="O87" s="587"/>
      <c r="P87" s="1825">
        <f t="shared" si="10"/>
        <v>0</v>
      </c>
      <c r="Q87" s="1830"/>
      <c r="R87" s="588"/>
      <c r="S87" s="1967"/>
      <c r="T87" s="1974"/>
      <c r="U87" s="588"/>
      <c r="V87" s="1967"/>
      <c r="W87" s="1968"/>
      <c r="X87" s="554" t="b">
        <f t="shared" si="11"/>
        <v>0</v>
      </c>
    </row>
    <row r="88" spans="1:24" ht="15" customHeight="1">
      <c r="A88" s="589"/>
      <c r="B88" s="590"/>
      <c r="C88" s="475"/>
      <c r="D88" s="594" t="s">
        <v>560</v>
      </c>
      <c r="E88" s="475"/>
      <c r="F88" s="594" t="s">
        <v>559</v>
      </c>
      <c r="G88" s="482">
        <f>ROUNDDOWN(C88*E88,2)</f>
        <v>0</v>
      </c>
      <c r="H88" s="595"/>
      <c r="I88" s="2095">
        <f t="shared" si="9"/>
        <v>0</v>
      </c>
      <c r="J88" s="591"/>
      <c r="K88" s="591"/>
      <c r="L88" s="591"/>
      <c r="M88" s="591"/>
      <c r="N88" s="591"/>
      <c r="O88" s="592"/>
      <c r="P88" s="1826">
        <f t="shared" si="10"/>
        <v>0</v>
      </c>
      <c r="Q88" s="1831"/>
      <c r="R88" s="593"/>
      <c r="S88" s="1969"/>
      <c r="T88" s="1975"/>
      <c r="U88" s="593"/>
      <c r="V88" s="1969"/>
      <c r="W88" s="1970"/>
      <c r="X88" s="554" t="b">
        <f t="shared" si="11"/>
        <v>0</v>
      </c>
    </row>
    <row r="89" spans="1:24" ht="15" customHeight="1">
      <c r="A89" s="596"/>
      <c r="B89" s="597" t="s">
        <v>561</v>
      </c>
      <c r="C89" s="21">
        <f>調書!AG13</f>
        <v>0</v>
      </c>
      <c r="D89" s="598" t="s">
        <v>562</v>
      </c>
      <c r="E89" s="21">
        <f>SUM(I87:I88)</f>
        <v>0</v>
      </c>
      <c r="F89" s="598" t="s">
        <v>559</v>
      </c>
      <c r="G89" s="141">
        <f>C89-E89</f>
        <v>0</v>
      </c>
      <c r="H89" s="599">
        <v>1</v>
      </c>
      <c r="I89" s="2096">
        <f t="shared" si="9"/>
        <v>0</v>
      </c>
      <c r="J89" s="600"/>
      <c r="K89" s="600"/>
      <c r="L89" s="600"/>
      <c r="M89" s="600"/>
      <c r="N89" s="600"/>
      <c r="O89" s="601"/>
      <c r="P89" s="1827" t="str">
        <f t="shared" si="10"/>
        <v>（端数処理）</v>
      </c>
      <c r="Q89" s="1832"/>
      <c r="R89" s="602"/>
      <c r="S89" s="1971"/>
      <c r="T89" s="1976"/>
      <c r="U89" s="602"/>
      <c r="V89" s="1971"/>
      <c r="W89" s="1972"/>
      <c r="X89" s="554" t="b">
        <f t="shared" si="11"/>
        <v>0</v>
      </c>
    </row>
    <row r="90" spans="1:24" ht="15" customHeight="1">
      <c r="A90" s="603"/>
      <c r="B90" s="604"/>
      <c r="C90" s="605"/>
      <c r="D90" s="604"/>
      <c r="E90" s="605"/>
      <c r="F90" s="604"/>
      <c r="G90" s="606"/>
      <c r="H90" s="573"/>
      <c r="I90" s="2097" t="s">
        <v>572</v>
      </c>
      <c r="J90" s="607" t="str">
        <f t="shared" ref="J90:O90" si="12">+J5</f>
        <v>拡声器</v>
      </c>
      <c r="K90" s="607" t="str">
        <f t="shared" si="12"/>
        <v>空調</v>
      </c>
      <c r="L90" s="2237" t="s">
        <v>2308</v>
      </c>
      <c r="M90" s="607" t="str">
        <f t="shared" si="12"/>
        <v>換気設備</v>
      </c>
      <c r="N90" s="1535" t="str">
        <f t="shared" si="12"/>
        <v>火災報知</v>
      </c>
      <c r="O90" s="608" t="str">
        <f t="shared" si="12"/>
        <v>ｽﾌﾟﾘﾝｸﾗ</v>
      </c>
      <c r="P90" s="3353" t="s">
        <v>573</v>
      </c>
      <c r="Q90" s="1833" t="s">
        <v>555</v>
      </c>
      <c r="R90" s="609" t="s">
        <v>556</v>
      </c>
      <c r="S90" s="3347" t="s">
        <v>1980</v>
      </c>
      <c r="T90" s="3348"/>
      <c r="U90" s="609" t="s">
        <v>557</v>
      </c>
      <c r="V90" s="3347" t="s">
        <v>1981</v>
      </c>
      <c r="W90" s="3351"/>
      <c r="X90" s="554" t="b">
        <v>1</v>
      </c>
    </row>
    <row r="91" spans="1:24" ht="15" customHeight="1" thickBot="1">
      <c r="A91" s="610"/>
      <c r="B91" s="578"/>
      <c r="C91" s="611"/>
      <c r="D91" s="578"/>
      <c r="E91" s="611"/>
      <c r="F91" s="578"/>
      <c r="G91" s="612"/>
      <c r="H91" s="580"/>
      <c r="I91" s="2098">
        <f>SUM(I4:I90)</f>
        <v>0</v>
      </c>
      <c r="J91" s="613">
        <f t="shared" ref="J91:O91" si="13">SUMIF(J$4:J$90,"○",$I$4:$I$90)</f>
        <v>0</v>
      </c>
      <c r="K91" s="613">
        <f t="shared" si="13"/>
        <v>0</v>
      </c>
      <c r="L91" s="613">
        <f t="shared" si="13"/>
        <v>0</v>
      </c>
      <c r="M91" s="613">
        <f>SUMIFS($I$4:$I$89,M$4:M$89,"○",K$4:K$89,"&lt;&gt;○")</f>
        <v>0</v>
      </c>
      <c r="N91" s="613">
        <f t="shared" si="13"/>
        <v>0</v>
      </c>
      <c r="O91" s="614">
        <f t="shared" si="13"/>
        <v>0</v>
      </c>
      <c r="P91" s="3354"/>
      <c r="Q91" s="1834">
        <f>SUMIF(Q4:Q90,"*",$I4:$I90)-SUMIF(Q4:Q90,"無し",$I4:$I90)</f>
        <v>0</v>
      </c>
      <c r="R91" s="615">
        <f>SUMIF(R4:R90,"*",$I4:$I90)-SUMIF(R4:R90,"無し",$I4:$I90)</f>
        <v>0</v>
      </c>
      <c r="S91" s="3349">
        <f>SUMIF(S4:S90,"*",$I4:$I90)-SUMIF(S4:S90,"無し",$I4:$I90)+SUMIF(T4:T90,"*",$I4:$I90)-SUMIF(T4:T90,"無し",$I4:$I90)</f>
        <v>0</v>
      </c>
      <c r="T91" s="3350"/>
      <c r="U91" s="615">
        <f>SUMIF(U4:U90,"*",$I4:$I90)-SUMIF(U4:U90,"無し",$I4:$I90)</f>
        <v>0</v>
      </c>
      <c r="V91" s="3349">
        <f>SUMIF(V4:V90,"*",$I4:$I90)-SUMIF(V4:V90,"無し",$I4:$I90)+SUMIF(W4:W90,"*",$I4:$I90)-SUMIF(W4:W90,"無し",$I4:$I90)</f>
        <v>0</v>
      </c>
      <c r="W91" s="3352"/>
      <c r="X91" s="554" t="b">
        <v>1</v>
      </c>
    </row>
    <row r="100" spans="11:12" ht="15" customHeight="1">
      <c r="K100"/>
      <c r="L100" s="2100"/>
    </row>
  </sheetData>
  <autoFilter ref="X2:X93"/>
  <mergeCells count="10">
    <mergeCell ref="P4:P5"/>
    <mergeCell ref="B4:B5"/>
    <mergeCell ref="A4:A5"/>
    <mergeCell ref="I4:I5"/>
    <mergeCell ref="H4:H5"/>
    <mergeCell ref="S90:T90"/>
    <mergeCell ref="S91:T91"/>
    <mergeCell ref="V90:W90"/>
    <mergeCell ref="V91:W91"/>
    <mergeCell ref="P90:P91"/>
  </mergeCells>
  <phoneticPr fontId="19"/>
  <dataValidations count="6">
    <dataValidation type="list" allowBlank="1" showInputMessage="1" showErrorMessage="1" error="調書シートで追加（又は修正）した後、再度選択してくだい。" sqref="R6:R89">
      <formula1>床名称</formula1>
    </dataValidation>
    <dataValidation type="list" allowBlank="1" showInputMessage="1" showErrorMessage="1" sqref="S6:T89 V6:W89">
      <formula1>断熱名称</formula1>
    </dataValidation>
    <dataValidation type="list" allowBlank="1" showInputMessage="1" showErrorMessage="1" error="調書シートで追加（又は修正）した後、再度選択してくだい。" sqref="U6:U89">
      <formula1>天井名称</formula1>
    </dataValidation>
    <dataValidation type="list" allowBlank="1" showInputMessage="1" showErrorMessage="1" error="調書シートで追加（又は修正）した後、再度選択してくだい。" sqref="Q6:Q89">
      <formula1>床構造名称</formula1>
    </dataValidation>
    <dataValidation type="list" allowBlank="1" showInputMessage="1" showErrorMessage="1" sqref="J6:O89">
      <formula1>"○,×"</formula1>
    </dataValidation>
    <dataValidation imeMode="off" allowBlank="1" showInputMessage="1" showErrorMessage="1" sqref="C6:C19 E6:E19 H6:H19 C21:C34 E21:E34 H21:H34 C51:C52 E51:E52 H51:H52 C54:C55 E54:E55 H54:H55 C57:C58 E57:E58 H57:H58 C60:C61 E60:E61 H60:H61 C63:C64 E63:E64 H63:H64 C66:C67 E66:E67 H66:H67 C69:C70 E69:E70 H69:H70 C72:C73 E72:E73 H72:H73 C75:C76 E75:E76 H75:H76 C78:C79 E78:E79 H78:H79 C81:C82 E81 H81:H82 E82 C84:C85 E84:E85 H84:H85 C87:C88 E87:E88 H87:H88"/>
  </dataValidations>
  <pageMargins left="0.78740157480314965" right="0.19685039370078741" top="0.59055118110236227" bottom="0.39370078740157483" header="0.51181102362204722" footer="0.19685039370078741"/>
  <pageSetup paperSize="9" scale="67" orientation="landscape" r:id="rId1"/>
  <headerFooter alignWithMargins="0">
    <oddFooter>&amp;R&amp;"ＭＳ ゴシック,標準"&amp;D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12"/>
  </sheetPr>
  <dimension ref="A1:BR975"/>
  <sheetViews>
    <sheetView zoomScaleNormal="100" workbookViewId="0">
      <selection activeCell="B126" sqref="B126"/>
    </sheetView>
  </sheetViews>
  <sheetFormatPr defaultColWidth="12" defaultRowHeight="15" customHeight="1"/>
  <cols>
    <col min="1" max="1" width="1.33203125" style="616" customWidth="1"/>
    <col min="2" max="2" width="33" style="626" bestFit="1" customWidth="1"/>
    <col min="3" max="3" width="4.5" style="694" customWidth="1"/>
    <col min="4" max="4" width="11.6640625" style="635" customWidth="1"/>
    <col min="5" max="6" width="8.1640625" style="635" customWidth="1"/>
    <col min="7" max="7" width="8.1640625" style="626" customWidth="1"/>
    <col min="8" max="8" width="10.83203125" style="626" customWidth="1"/>
    <col min="9" max="9" width="10" style="626" customWidth="1"/>
    <col min="10" max="10" width="13.33203125" style="635" customWidth="1"/>
    <col min="11" max="11" width="11.6640625" style="635" customWidth="1"/>
    <col min="12" max="12" width="8" style="635" bestFit="1" customWidth="1"/>
    <col min="13" max="13" width="20.6640625" style="636" customWidth="1"/>
    <col min="14" max="14" width="7.33203125" style="635" customWidth="1"/>
    <col min="15" max="15" width="13" style="635" customWidth="1"/>
    <col min="16" max="17" width="7.33203125" style="635" customWidth="1"/>
    <col min="18" max="18" width="48" style="616" customWidth="1"/>
    <col min="19" max="19" width="12" style="616" customWidth="1"/>
    <col min="20" max="20" width="12" style="621" customWidth="1"/>
    <col min="21" max="22" width="10.33203125" style="621" customWidth="1"/>
    <col min="23" max="23" width="10.83203125" style="616" customWidth="1"/>
    <col min="24" max="26" width="13.5" style="616" customWidth="1"/>
    <col min="27" max="27" width="16.1640625" style="621" customWidth="1"/>
    <col min="28" max="28" width="13.33203125" style="616" bestFit="1" customWidth="1"/>
    <col min="29" max="29" width="4.83203125" style="616" customWidth="1"/>
    <col min="30" max="30" width="6.6640625" style="616" bestFit="1" customWidth="1"/>
    <col min="31" max="31" width="17.1640625" style="616" customWidth="1"/>
    <col min="32" max="32" width="16.1640625" style="621" bestFit="1" customWidth="1"/>
    <col min="33" max="33" width="13.33203125" style="616" bestFit="1" customWidth="1"/>
    <col min="34" max="34" width="4.83203125" style="616" customWidth="1"/>
    <col min="35" max="35" width="6.6640625" style="616" bestFit="1" customWidth="1"/>
    <col min="36" max="36" width="13.83203125" style="616" customWidth="1"/>
    <col min="37" max="37" width="16.1640625" style="621" bestFit="1" customWidth="1"/>
    <col min="38" max="38" width="4.83203125" style="616" customWidth="1"/>
    <col min="39" max="39" width="6.6640625" style="616" bestFit="1" customWidth="1"/>
    <col min="40" max="40" width="60.6640625" style="616" bestFit="1" customWidth="1"/>
    <col min="41" max="41" width="16.1640625" style="621" bestFit="1" customWidth="1"/>
    <col min="42" max="42" width="4.83203125" style="616" customWidth="1"/>
    <col min="43" max="43" width="6.6640625" style="616" bestFit="1" customWidth="1"/>
    <col min="44" max="44" width="72.83203125" style="616" bestFit="1" customWidth="1"/>
    <col min="45" max="45" width="16.1640625" style="621" bestFit="1" customWidth="1"/>
    <col min="46" max="46" width="13.33203125" style="616" bestFit="1" customWidth="1"/>
    <col min="47" max="47" width="4.83203125" style="616" customWidth="1"/>
    <col min="48" max="48" width="5.33203125" style="616" bestFit="1" customWidth="1"/>
    <col min="49" max="49" width="46.83203125" style="616" bestFit="1" customWidth="1"/>
    <col min="50" max="50" width="16.1640625" style="616" bestFit="1" customWidth="1"/>
    <col min="51" max="51" width="4.83203125" style="616" customWidth="1"/>
    <col min="52" max="52" width="5.33203125" style="616" bestFit="1" customWidth="1"/>
    <col min="53" max="53" width="34.6640625" style="616" bestFit="1" customWidth="1"/>
    <col min="54" max="54" width="16.1640625" style="621" bestFit="1" customWidth="1"/>
    <col min="55" max="55" width="4.83203125" style="616" customWidth="1"/>
    <col min="56" max="56" width="6.6640625" style="616" bestFit="1" customWidth="1"/>
    <col min="57" max="57" width="59" style="616" bestFit="1" customWidth="1"/>
    <col min="58" max="58" width="16.1640625" style="621" bestFit="1" customWidth="1"/>
    <col min="59" max="59" width="4.83203125" style="616" customWidth="1"/>
    <col min="60" max="60" width="5.33203125" style="616" bestFit="1" customWidth="1"/>
    <col min="61" max="61" width="25.5" style="616" bestFit="1" customWidth="1"/>
    <col min="62" max="62" width="28.33203125" style="616" bestFit="1" customWidth="1"/>
    <col min="63" max="63" width="16.1640625" style="621" bestFit="1" customWidth="1"/>
    <col min="64" max="64" width="52.83203125" style="616" bestFit="1" customWidth="1"/>
    <col min="65" max="65" width="12" style="616" customWidth="1"/>
    <col min="66" max="68" width="12" style="621" customWidth="1"/>
    <col min="69" max="16384" width="12" style="616"/>
  </cols>
  <sheetData>
    <row r="1" spans="1:70" ht="11.25" customHeight="1">
      <c r="B1" s="617"/>
      <c r="C1" s="618"/>
      <c r="D1" s="619"/>
      <c r="E1" s="619"/>
      <c r="F1" s="619"/>
      <c r="G1" s="617"/>
      <c r="H1" s="617"/>
      <c r="I1" s="617"/>
      <c r="J1" s="619"/>
      <c r="K1" s="619"/>
      <c r="L1" s="619"/>
      <c r="M1" s="620"/>
      <c r="N1" s="617"/>
      <c r="O1" s="617"/>
      <c r="P1" s="617"/>
      <c r="Q1" s="617"/>
    </row>
    <row r="2" spans="1:70" ht="3.75" customHeight="1">
      <c r="B2" s="622"/>
      <c r="C2" s="623"/>
      <c r="D2" s="624"/>
      <c r="E2" s="624"/>
      <c r="F2" s="624"/>
      <c r="G2" s="622"/>
      <c r="H2" s="622"/>
      <c r="I2" s="622"/>
      <c r="J2" s="624"/>
      <c r="K2" s="624"/>
      <c r="L2" s="624"/>
      <c r="M2" s="625"/>
      <c r="N2" s="626"/>
      <c r="O2" s="626"/>
      <c r="P2" s="626"/>
      <c r="Q2" s="626"/>
    </row>
    <row r="3" spans="1:70" ht="12.75" customHeight="1">
      <c r="B3" s="622"/>
      <c r="C3" s="623"/>
      <c r="D3" s="627"/>
      <c r="E3" s="1431" t="str">
        <f>HYPERLINK("#B"&amp;A10,"サッシ")</f>
        <v>サッシ</v>
      </c>
      <c r="F3" s="1431" t="str">
        <f>HYPERLINK("#B"&amp;A35,"ドア")</f>
        <v>ドア</v>
      </c>
      <c r="G3" s="1431" t="str">
        <f>HYPERLINK("#B"&amp;A53,"ｼｬｯﾀｰ")</f>
        <v>ｼｬｯﾀｰ</v>
      </c>
      <c r="H3" s="1431" t="str">
        <f>HYPERLINK("#B"&amp;A61,"その他")</f>
        <v>その他</v>
      </c>
      <c r="I3" s="1431" t="str">
        <f>HYPERLINK("#B"&amp;A96,"自由作成")</f>
        <v>自由作成</v>
      </c>
      <c r="J3" s="1431" t="str">
        <f>HYPERLINK("#B"&amp;A119,"ｶﾞﾗｽ")</f>
        <v>ｶﾞﾗｽ</v>
      </c>
      <c r="K3" s="1431" t="str">
        <f>HYPERLINK("#B"&amp;A155,"特殊設備")</f>
        <v>特殊設備</v>
      </c>
      <c r="L3" s="625"/>
      <c r="M3" s="622"/>
      <c r="N3" s="616"/>
      <c r="O3" s="616"/>
      <c r="P3" s="616"/>
      <c r="Q3" s="616"/>
      <c r="R3" s="621"/>
      <c r="S3" s="621"/>
      <c r="T3" s="616"/>
      <c r="Z3" s="621"/>
      <c r="AA3" s="616"/>
      <c r="AE3" s="621"/>
      <c r="AF3" s="616"/>
      <c r="AJ3" s="621"/>
      <c r="AK3" s="616"/>
      <c r="AN3" s="621"/>
      <c r="AO3" s="616"/>
      <c r="AR3" s="621"/>
      <c r="AS3" s="616"/>
      <c r="BA3" s="621"/>
      <c r="BB3" s="616"/>
      <c r="BE3" s="621"/>
      <c r="BF3" s="616"/>
      <c r="BJ3" s="621"/>
      <c r="BK3" s="616"/>
      <c r="BM3" s="621"/>
      <c r="BP3" s="616"/>
    </row>
    <row r="4" spans="1:70" ht="3.75" customHeight="1">
      <c r="B4" s="628"/>
      <c r="C4" s="629"/>
      <c r="D4" s="630"/>
      <c r="E4" s="630"/>
      <c r="F4" s="630"/>
      <c r="G4" s="631"/>
      <c r="H4" s="631"/>
      <c r="I4" s="631"/>
      <c r="J4" s="631"/>
      <c r="K4" s="631"/>
      <c r="L4" s="631"/>
      <c r="M4" s="632"/>
      <c r="N4" s="626"/>
      <c r="O4" s="626"/>
      <c r="P4" s="626"/>
      <c r="Q4" s="626"/>
    </row>
    <row r="5" spans="1:70" ht="15" customHeight="1" thickBot="1">
      <c r="B5" s="633" t="s">
        <v>574</v>
      </c>
      <c r="C5" s="634"/>
      <c r="N5" s="626" t="b">
        <v>1</v>
      </c>
      <c r="O5" s="626"/>
      <c r="P5" s="626"/>
      <c r="Q5" s="626"/>
    </row>
    <row r="6" spans="1:70" ht="12" customHeight="1">
      <c r="B6" s="3397" t="s">
        <v>575</v>
      </c>
      <c r="C6" s="3399" t="s">
        <v>1194</v>
      </c>
      <c r="D6" s="3401" t="s">
        <v>1118</v>
      </c>
      <c r="E6" s="3394" t="s">
        <v>1191</v>
      </c>
      <c r="F6" s="3395"/>
      <c r="G6" s="3396"/>
      <c r="H6" s="3403" t="s">
        <v>1119</v>
      </c>
      <c r="I6" s="3405" t="s">
        <v>1205</v>
      </c>
      <c r="J6" s="3407" t="s">
        <v>786</v>
      </c>
      <c r="K6" s="3388" t="s">
        <v>762</v>
      </c>
      <c r="L6" s="3390" t="s">
        <v>1120</v>
      </c>
      <c r="M6" s="3391"/>
      <c r="N6" s="626" t="b">
        <v>1</v>
      </c>
      <c r="O6" s="626"/>
      <c r="P6" s="626"/>
      <c r="Q6" s="626"/>
      <c r="R6" s="3384" t="s">
        <v>1255</v>
      </c>
    </row>
    <row r="7" spans="1:70" ht="12" customHeight="1">
      <c r="B7" s="3398"/>
      <c r="C7" s="3400"/>
      <c r="D7" s="3402"/>
      <c r="E7" s="1419" t="s">
        <v>1189</v>
      </c>
      <c r="F7" s="1419" t="s">
        <v>1190</v>
      </c>
      <c r="G7" s="1420" t="s">
        <v>765</v>
      </c>
      <c r="H7" s="3404"/>
      <c r="I7" s="3406"/>
      <c r="J7" s="3408"/>
      <c r="K7" s="3389"/>
      <c r="L7" s="3392"/>
      <c r="M7" s="3393"/>
      <c r="N7" s="626" t="b">
        <v>1</v>
      </c>
      <c r="O7" s="626"/>
      <c r="P7" s="626"/>
      <c r="Q7" s="626"/>
      <c r="R7" s="3384"/>
    </row>
    <row r="8" spans="1:70" ht="15" customHeight="1">
      <c r="B8" s="637" t="s">
        <v>577</v>
      </c>
      <c r="C8" s="638"/>
      <c r="D8" s="639"/>
      <c r="E8" s="1400"/>
      <c r="F8" s="1400"/>
      <c r="G8" s="640"/>
      <c r="H8" s="639"/>
      <c r="I8" s="641"/>
      <c r="J8" s="642"/>
      <c r="K8" s="643"/>
      <c r="L8" s="644"/>
      <c r="M8" s="643"/>
      <c r="N8" s="626" t="b">
        <f t="shared" ref="N8:N17" si="0">I8&lt;&gt;0</f>
        <v>0</v>
      </c>
      <c r="O8" s="626"/>
      <c r="P8" s="626"/>
      <c r="Q8" s="626"/>
    </row>
    <row r="9" spans="1:70" ht="15" customHeight="1">
      <c r="B9" s="645" t="s">
        <v>578</v>
      </c>
      <c r="C9" s="646"/>
      <c r="D9" s="647"/>
      <c r="E9" s="1401"/>
      <c r="F9" s="1401"/>
      <c r="G9" s="648"/>
      <c r="H9" s="647"/>
      <c r="I9" s="649"/>
      <c r="J9" s="650"/>
      <c r="K9" s="651"/>
      <c r="L9" s="652"/>
      <c r="M9" s="653"/>
      <c r="N9" s="626" t="b">
        <f t="shared" si="0"/>
        <v>0</v>
      </c>
      <c r="O9" s="626"/>
      <c r="P9" s="626"/>
      <c r="Q9" s="626"/>
    </row>
    <row r="10" spans="1:70" ht="15" customHeight="1">
      <c r="A10" s="616">
        <f>ROW()</f>
        <v>10</v>
      </c>
      <c r="B10" s="654" t="s">
        <v>1251</v>
      </c>
      <c r="C10" s="638"/>
      <c r="D10" s="639"/>
      <c r="E10" s="1400"/>
      <c r="F10" s="1400"/>
      <c r="G10" s="640"/>
      <c r="H10" s="639"/>
      <c r="I10" s="641"/>
      <c r="J10" s="642"/>
      <c r="K10" s="643"/>
      <c r="L10" s="644"/>
      <c r="M10" s="643"/>
      <c r="N10" s="626" t="b">
        <f t="shared" si="0"/>
        <v>0</v>
      </c>
      <c r="O10" s="626"/>
      <c r="P10" s="626"/>
      <c r="Q10" s="626"/>
      <c r="T10" s="616"/>
      <c r="U10" s="616"/>
      <c r="V10" s="616"/>
      <c r="W10" s="621"/>
      <c r="Y10" s="621"/>
      <c r="AA10" s="616"/>
      <c r="AC10" s="621"/>
      <c r="AF10" s="616"/>
      <c r="AH10" s="621"/>
      <c r="AK10" s="616"/>
      <c r="AM10" s="621"/>
      <c r="AO10" s="616"/>
      <c r="AQ10" s="621"/>
      <c r="AS10" s="616"/>
      <c r="AU10" s="621"/>
      <c r="BB10" s="616"/>
      <c r="BD10" s="621"/>
      <c r="BF10" s="616"/>
      <c r="BH10" s="621"/>
      <c r="BK10" s="616"/>
      <c r="BM10" s="621"/>
      <c r="BN10" s="616"/>
      <c r="BO10" s="616"/>
      <c r="BQ10" s="621"/>
      <c r="BR10" s="621"/>
    </row>
    <row r="11" spans="1:70" ht="15" customHeight="1">
      <c r="B11" s="655" t="s">
        <v>1855</v>
      </c>
      <c r="C11" s="656" t="s">
        <v>579</v>
      </c>
      <c r="D11" s="647">
        <f t="shared" ref="D11:D16" si="1">ROUNDDOWN(K11,-1)</f>
        <v>23740</v>
      </c>
      <c r="E11" s="1737">
        <v>1</v>
      </c>
      <c r="F11" s="1401">
        <v>1</v>
      </c>
      <c r="G11" s="648">
        <f t="shared" ref="G11:G17" si="2">+ROUNDDOWN(E11*F11,2)</f>
        <v>1</v>
      </c>
      <c r="H11" s="647">
        <f t="shared" ref="H11:H16" si="3">INT(D11*G11)</f>
        <v>23740</v>
      </c>
      <c r="I11" s="649">
        <f>SUMIF(建具の明細!B$5:B$51,建具!B11,建具の明細!K$5:K$51)</f>
        <v>0</v>
      </c>
      <c r="J11" s="650">
        <f t="shared" ref="J11:J16" si="4">INT(I11*H11)</f>
        <v>0</v>
      </c>
      <c r="K11" s="651">
        <v>23749</v>
      </c>
      <c r="L11" s="658"/>
      <c r="M11" s="659"/>
      <c r="N11" s="626" t="b">
        <f t="shared" ref="N11:N16" si="5">I11&lt;&gt;0</f>
        <v>0</v>
      </c>
      <c r="O11" s="626"/>
      <c r="P11" s="626"/>
      <c r="Q11" s="626"/>
      <c r="R11" s="1418" t="s">
        <v>1532</v>
      </c>
      <c r="T11" s="616"/>
      <c r="U11" s="616"/>
      <c r="V11" s="616"/>
      <c r="W11" s="621"/>
      <c r="Y11" s="621"/>
      <c r="AA11" s="616"/>
      <c r="AC11" s="621"/>
      <c r="AF11" s="616"/>
      <c r="AH11" s="621"/>
      <c r="AK11" s="616"/>
      <c r="AM11" s="621"/>
      <c r="AO11" s="616"/>
      <c r="AQ11" s="621"/>
      <c r="AS11" s="616"/>
      <c r="AU11" s="621"/>
      <c r="BB11" s="616"/>
      <c r="BD11" s="621"/>
      <c r="BF11" s="616"/>
      <c r="BH11" s="621"/>
      <c r="BK11" s="616"/>
      <c r="BM11" s="621"/>
      <c r="BN11" s="616"/>
      <c r="BO11" s="616"/>
      <c r="BQ11" s="621"/>
      <c r="BR11" s="621"/>
    </row>
    <row r="12" spans="1:70" ht="15" customHeight="1">
      <c r="B12" s="655" t="s">
        <v>1867</v>
      </c>
      <c r="C12" s="656" t="s">
        <v>579</v>
      </c>
      <c r="D12" s="647">
        <f t="shared" si="1"/>
        <v>15560</v>
      </c>
      <c r="E12" s="1737">
        <v>1</v>
      </c>
      <c r="F12" s="1401">
        <v>1</v>
      </c>
      <c r="G12" s="648">
        <f t="shared" si="2"/>
        <v>1</v>
      </c>
      <c r="H12" s="647">
        <f t="shared" si="3"/>
        <v>15560</v>
      </c>
      <c r="I12" s="649">
        <f>SUMIF(建具の明細!B$5:B$51,建具!B12,建具の明細!K$5:K$51)</f>
        <v>0</v>
      </c>
      <c r="J12" s="650">
        <f t="shared" si="4"/>
        <v>0</v>
      </c>
      <c r="K12" s="651">
        <v>15560</v>
      </c>
      <c r="L12" s="658"/>
      <c r="M12" s="659"/>
      <c r="N12" s="626" t="b">
        <f t="shared" si="5"/>
        <v>0</v>
      </c>
      <c r="O12" s="626"/>
      <c r="P12" s="626"/>
      <c r="Q12" s="626"/>
      <c r="T12" s="616"/>
      <c r="U12" s="616"/>
      <c r="V12" s="616"/>
      <c r="W12" s="621"/>
      <c r="Y12" s="621"/>
      <c r="AA12" s="616"/>
      <c r="AC12" s="621"/>
      <c r="AF12" s="616"/>
      <c r="AH12" s="621"/>
      <c r="AK12" s="616"/>
      <c r="AM12" s="621"/>
      <c r="AO12" s="616"/>
      <c r="AQ12" s="621"/>
      <c r="AS12" s="616"/>
      <c r="AU12" s="621"/>
      <c r="BB12" s="616"/>
      <c r="BD12" s="621"/>
      <c r="BF12" s="616"/>
      <c r="BH12" s="621"/>
      <c r="BK12" s="616"/>
      <c r="BM12" s="621"/>
      <c r="BN12" s="616"/>
      <c r="BO12" s="616"/>
      <c r="BQ12" s="621"/>
      <c r="BR12" s="621"/>
    </row>
    <row r="13" spans="1:70" ht="15" customHeight="1">
      <c r="B13" s="655" t="s">
        <v>1856</v>
      </c>
      <c r="C13" s="656" t="s">
        <v>579</v>
      </c>
      <c r="D13" s="647">
        <f t="shared" si="1"/>
        <v>19450</v>
      </c>
      <c r="E13" s="1737">
        <v>1</v>
      </c>
      <c r="F13" s="1401">
        <v>1</v>
      </c>
      <c r="G13" s="648">
        <f t="shared" si="2"/>
        <v>1</v>
      </c>
      <c r="H13" s="647">
        <f t="shared" si="3"/>
        <v>19450</v>
      </c>
      <c r="I13" s="649">
        <f>SUMIF(建具の明細!B$5:B$51,建具!B13,建具の明細!K$5:K$51)</f>
        <v>0</v>
      </c>
      <c r="J13" s="650">
        <f t="shared" si="4"/>
        <v>0</v>
      </c>
      <c r="K13" s="651">
        <v>19457</v>
      </c>
      <c r="L13" s="658"/>
      <c r="M13" s="659"/>
      <c r="N13" s="626" t="b">
        <f t="shared" si="5"/>
        <v>0</v>
      </c>
      <c r="O13" s="626"/>
      <c r="P13" s="626"/>
      <c r="Q13" s="626"/>
      <c r="T13" s="616"/>
      <c r="U13" s="616"/>
      <c r="V13" s="616"/>
      <c r="W13" s="621"/>
      <c r="Y13" s="621"/>
      <c r="AA13" s="616"/>
      <c r="AC13" s="621"/>
      <c r="AF13" s="616"/>
      <c r="AH13" s="621"/>
      <c r="AK13" s="616"/>
      <c r="AM13" s="621"/>
      <c r="AO13" s="616"/>
      <c r="AQ13" s="621"/>
      <c r="AS13" s="616"/>
      <c r="AU13" s="621"/>
      <c r="BB13" s="616"/>
      <c r="BD13" s="621"/>
      <c r="BF13" s="616"/>
      <c r="BH13" s="621"/>
      <c r="BK13" s="616"/>
      <c r="BM13" s="621"/>
      <c r="BN13" s="616"/>
      <c r="BO13" s="616"/>
      <c r="BQ13" s="621"/>
      <c r="BR13" s="621"/>
    </row>
    <row r="14" spans="1:70" ht="15" customHeight="1">
      <c r="B14" s="655" t="s">
        <v>1868</v>
      </c>
      <c r="C14" s="656" t="s">
        <v>579</v>
      </c>
      <c r="D14" s="647">
        <f t="shared" si="1"/>
        <v>13400</v>
      </c>
      <c r="E14" s="1737">
        <v>1</v>
      </c>
      <c r="F14" s="1401">
        <v>1</v>
      </c>
      <c r="G14" s="648">
        <f t="shared" si="2"/>
        <v>1</v>
      </c>
      <c r="H14" s="647">
        <f t="shared" si="3"/>
        <v>13400</v>
      </c>
      <c r="I14" s="649">
        <f>SUMIF(建具の明細!B$5:B$51,建具!B14,建具の明細!K$5:K$51)</f>
        <v>0</v>
      </c>
      <c r="J14" s="650">
        <f t="shared" si="4"/>
        <v>0</v>
      </c>
      <c r="K14" s="651">
        <v>13405</v>
      </c>
      <c r="L14" s="658"/>
      <c r="M14" s="659"/>
      <c r="N14" s="626" t="b">
        <f t="shared" si="5"/>
        <v>0</v>
      </c>
      <c r="O14" s="626"/>
      <c r="P14" s="626"/>
      <c r="Q14" s="626"/>
      <c r="T14" s="616"/>
      <c r="U14" s="616"/>
      <c r="V14" s="616"/>
      <c r="W14" s="621"/>
      <c r="Y14" s="621"/>
      <c r="AA14" s="616"/>
      <c r="AC14" s="621"/>
      <c r="AF14" s="616"/>
      <c r="AH14" s="621"/>
      <c r="AK14" s="616"/>
      <c r="AM14" s="621"/>
      <c r="AO14" s="616"/>
      <c r="AQ14" s="621"/>
      <c r="AS14" s="616"/>
      <c r="AU14" s="621"/>
      <c r="BB14" s="616"/>
      <c r="BD14" s="621"/>
      <c r="BF14" s="616"/>
      <c r="BH14" s="621"/>
      <c r="BK14" s="616"/>
      <c r="BM14" s="621"/>
      <c r="BN14" s="616"/>
      <c r="BO14" s="616"/>
      <c r="BQ14" s="621"/>
      <c r="BR14" s="621"/>
    </row>
    <row r="15" spans="1:70" ht="15" customHeight="1">
      <c r="B15" s="655" t="s">
        <v>1857</v>
      </c>
      <c r="C15" s="656" t="s">
        <v>579</v>
      </c>
      <c r="D15" s="647">
        <f t="shared" si="1"/>
        <v>32620</v>
      </c>
      <c r="E15" s="1737">
        <v>1</v>
      </c>
      <c r="F15" s="1401">
        <v>1</v>
      </c>
      <c r="G15" s="648">
        <f t="shared" si="2"/>
        <v>1</v>
      </c>
      <c r="H15" s="647">
        <f t="shared" si="3"/>
        <v>32620</v>
      </c>
      <c r="I15" s="649">
        <f>SUMIF(建具の明細!B$5:B$51,建具!B15,建具の明細!K$5:K$51)</f>
        <v>0</v>
      </c>
      <c r="J15" s="650">
        <f t="shared" si="4"/>
        <v>0</v>
      </c>
      <c r="K15" s="651">
        <v>32623</v>
      </c>
      <c r="L15" s="658"/>
      <c r="M15" s="659"/>
      <c r="N15" s="626" t="b">
        <f t="shared" si="5"/>
        <v>0</v>
      </c>
      <c r="O15" s="626"/>
      <c r="P15" s="626"/>
      <c r="Q15" s="626"/>
      <c r="T15" s="616"/>
      <c r="U15" s="616"/>
      <c r="V15" s="616"/>
      <c r="W15" s="621"/>
      <c r="Y15" s="621"/>
      <c r="AA15" s="616"/>
      <c r="AC15" s="621"/>
      <c r="AF15" s="616"/>
      <c r="AH15" s="621"/>
      <c r="AK15" s="616"/>
      <c r="AM15" s="621"/>
      <c r="AO15" s="616"/>
      <c r="AQ15" s="621"/>
      <c r="AS15" s="616"/>
      <c r="AU15" s="621"/>
      <c r="BB15" s="616"/>
      <c r="BD15" s="621"/>
      <c r="BF15" s="616"/>
      <c r="BH15" s="621"/>
      <c r="BK15" s="616"/>
      <c r="BM15" s="621"/>
      <c r="BN15" s="616"/>
      <c r="BO15" s="616"/>
      <c r="BQ15" s="621"/>
      <c r="BR15" s="621"/>
    </row>
    <row r="16" spans="1:70" ht="15" customHeight="1">
      <c r="B16" s="655" t="s">
        <v>1869</v>
      </c>
      <c r="C16" s="656" t="s">
        <v>579</v>
      </c>
      <c r="D16" s="647">
        <f t="shared" si="1"/>
        <v>20650</v>
      </c>
      <c r="E16" s="1737">
        <v>1</v>
      </c>
      <c r="F16" s="1401">
        <v>1</v>
      </c>
      <c r="G16" s="648">
        <f t="shared" si="2"/>
        <v>1</v>
      </c>
      <c r="H16" s="647">
        <f t="shared" si="3"/>
        <v>20650</v>
      </c>
      <c r="I16" s="649">
        <f>SUMIF(建具の明細!B$5:B$51,建具!B16,建具の明細!K$5:K$51)</f>
        <v>0</v>
      </c>
      <c r="J16" s="650">
        <f t="shared" si="4"/>
        <v>0</v>
      </c>
      <c r="K16" s="651">
        <v>20651</v>
      </c>
      <c r="L16" s="658"/>
      <c r="M16" s="659"/>
      <c r="N16" s="626" t="b">
        <f t="shared" si="5"/>
        <v>0</v>
      </c>
      <c r="O16" s="626"/>
      <c r="P16" s="626"/>
      <c r="Q16" s="626"/>
      <c r="T16" s="616"/>
      <c r="U16" s="616"/>
      <c r="V16" s="616"/>
      <c r="W16" s="621"/>
      <c r="Y16" s="621"/>
      <c r="AA16" s="616"/>
      <c r="AC16" s="621"/>
      <c r="AF16" s="616"/>
      <c r="AH16" s="621"/>
      <c r="AK16" s="616"/>
      <c r="AM16" s="621"/>
      <c r="AO16" s="616"/>
      <c r="AQ16" s="621"/>
      <c r="AS16" s="616"/>
      <c r="AU16" s="621"/>
      <c r="BB16" s="616"/>
      <c r="BD16" s="621"/>
      <c r="BF16" s="616"/>
      <c r="BH16" s="621"/>
      <c r="BK16" s="616"/>
      <c r="BM16" s="621"/>
      <c r="BN16" s="616"/>
      <c r="BO16" s="616"/>
      <c r="BQ16" s="621"/>
      <c r="BR16" s="621"/>
    </row>
    <row r="17" spans="2:70" ht="15" customHeight="1">
      <c r="B17" s="655" t="s">
        <v>1858</v>
      </c>
      <c r="C17" s="656" t="s">
        <v>579</v>
      </c>
      <c r="D17" s="647">
        <f t="shared" ref="D17" si="6">ROUNDDOWN(K17,-1)</f>
        <v>23740</v>
      </c>
      <c r="E17" s="1737">
        <v>1</v>
      </c>
      <c r="F17" s="1401">
        <v>2.2000000000000002</v>
      </c>
      <c r="G17" s="648">
        <f t="shared" si="2"/>
        <v>2.2000000000000002</v>
      </c>
      <c r="H17" s="647">
        <f t="shared" ref="H17" si="7">INT(D17*G17)</f>
        <v>52228</v>
      </c>
      <c r="I17" s="649">
        <f>SUMIF(建具の明細!B$5:B$51,建具!B17,建具の明細!K$5:K$51)</f>
        <v>0</v>
      </c>
      <c r="J17" s="650">
        <f t="shared" ref="J17" si="8">INT(I17*H17)</f>
        <v>0</v>
      </c>
      <c r="K17" s="651">
        <v>23749</v>
      </c>
      <c r="L17" s="658"/>
      <c r="M17" s="659"/>
      <c r="N17" s="626" t="b">
        <f t="shared" si="0"/>
        <v>0</v>
      </c>
      <c r="O17" s="626"/>
      <c r="P17" s="626"/>
      <c r="Q17" s="626"/>
      <c r="R17" s="1418" t="s">
        <v>1533</v>
      </c>
      <c r="T17" s="616"/>
      <c r="U17" s="616"/>
      <c r="V17" s="616"/>
      <c r="W17" s="621"/>
      <c r="Y17" s="621"/>
      <c r="AA17" s="616"/>
      <c r="AC17" s="621"/>
      <c r="AF17" s="616"/>
      <c r="AH17" s="621"/>
      <c r="AK17" s="616"/>
      <c r="AM17" s="621"/>
      <c r="AO17" s="616"/>
      <c r="AQ17" s="621"/>
      <c r="AS17" s="616"/>
      <c r="AU17" s="621"/>
      <c r="BB17" s="616"/>
      <c r="BD17" s="621"/>
      <c r="BF17" s="616"/>
      <c r="BH17" s="621"/>
      <c r="BK17" s="616"/>
      <c r="BM17" s="621"/>
      <c r="BN17" s="616"/>
      <c r="BO17" s="616"/>
      <c r="BQ17" s="621"/>
      <c r="BR17" s="621"/>
    </row>
    <row r="18" spans="2:70" ht="15" customHeight="1">
      <c r="B18" s="655" t="s">
        <v>1870</v>
      </c>
      <c r="C18" s="656" t="s">
        <v>579</v>
      </c>
      <c r="D18" s="647">
        <f t="shared" ref="D18:D87" si="9">ROUNDDOWN(K18,-1)</f>
        <v>15560</v>
      </c>
      <c r="E18" s="1737">
        <v>1</v>
      </c>
      <c r="F18" s="1401">
        <v>2.2000000000000002</v>
      </c>
      <c r="G18" s="648">
        <f t="shared" ref="G18:G87" si="10">+ROUNDDOWN(E18*F18,2)</f>
        <v>2.2000000000000002</v>
      </c>
      <c r="H18" s="647">
        <f t="shared" ref="H18:H87" si="11">INT(D18*G18)</f>
        <v>34232</v>
      </c>
      <c r="I18" s="649">
        <f>SUMIF(建具の明細!B$5:B$51,建具!B18,建具の明細!K$5:K$51)</f>
        <v>0</v>
      </c>
      <c r="J18" s="650">
        <f t="shared" ref="J18:J87" si="12">INT(I18*H18)</f>
        <v>0</v>
      </c>
      <c r="K18" s="651">
        <v>15560</v>
      </c>
      <c r="L18" s="658"/>
      <c r="M18" s="659"/>
      <c r="N18" s="626" t="b">
        <f t="shared" ref="N18:N87" si="13">I18&lt;&gt;0</f>
        <v>0</v>
      </c>
      <c r="O18" s="626"/>
      <c r="P18" s="626"/>
      <c r="Q18" s="626"/>
      <c r="T18" s="616"/>
      <c r="U18" s="616"/>
      <c r="V18" s="616"/>
      <c r="W18" s="621"/>
      <c r="Y18" s="621"/>
      <c r="AA18" s="616"/>
      <c r="AC18" s="621"/>
      <c r="AF18" s="616"/>
      <c r="AH18" s="621"/>
      <c r="AK18" s="616"/>
      <c r="AM18" s="621"/>
      <c r="AO18" s="616"/>
      <c r="AQ18" s="621"/>
      <c r="AS18" s="616"/>
      <c r="AU18" s="621"/>
      <c r="BB18" s="616"/>
      <c r="BD18" s="621"/>
      <c r="BF18" s="616"/>
      <c r="BH18" s="621"/>
      <c r="BK18" s="616"/>
      <c r="BM18" s="621"/>
      <c r="BN18" s="616"/>
      <c r="BO18" s="616"/>
      <c r="BQ18" s="621"/>
      <c r="BR18" s="621"/>
    </row>
    <row r="19" spans="2:70" ht="15" customHeight="1">
      <c r="B19" s="655" t="s">
        <v>1859</v>
      </c>
      <c r="C19" s="656" t="s">
        <v>579</v>
      </c>
      <c r="D19" s="647">
        <f t="shared" si="9"/>
        <v>19450</v>
      </c>
      <c r="E19" s="1737">
        <v>1</v>
      </c>
      <c r="F19" s="1401">
        <v>2.2000000000000002</v>
      </c>
      <c r="G19" s="648">
        <f t="shared" si="10"/>
        <v>2.2000000000000002</v>
      </c>
      <c r="H19" s="647">
        <f t="shared" si="11"/>
        <v>42790</v>
      </c>
      <c r="I19" s="649">
        <f>SUMIF(建具の明細!B$5:B$51,建具!B19,建具の明細!K$5:K$51)</f>
        <v>0</v>
      </c>
      <c r="J19" s="650">
        <f t="shared" si="12"/>
        <v>0</v>
      </c>
      <c r="K19" s="651">
        <v>19457</v>
      </c>
      <c r="L19" s="658"/>
      <c r="M19" s="659"/>
      <c r="N19" s="626" t="b">
        <f t="shared" si="13"/>
        <v>0</v>
      </c>
      <c r="O19" s="626"/>
      <c r="P19" s="626"/>
      <c r="Q19" s="626"/>
      <c r="T19" s="616"/>
      <c r="U19" s="616"/>
      <c r="V19" s="616"/>
      <c r="W19" s="621"/>
      <c r="Y19" s="621"/>
      <c r="AA19" s="616"/>
      <c r="AC19" s="621"/>
      <c r="AF19" s="616"/>
      <c r="AH19" s="621"/>
      <c r="AK19" s="616"/>
      <c r="AM19" s="621"/>
      <c r="AO19" s="616"/>
      <c r="AQ19" s="621"/>
      <c r="AS19" s="616"/>
      <c r="AU19" s="621"/>
      <c r="BB19" s="616"/>
      <c r="BD19" s="621"/>
      <c r="BF19" s="616"/>
      <c r="BH19" s="621"/>
      <c r="BK19" s="616"/>
      <c r="BM19" s="621"/>
      <c r="BN19" s="616"/>
      <c r="BO19" s="616"/>
      <c r="BQ19" s="621"/>
      <c r="BR19" s="621"/>
    </row>
    <row r="20" spans="2:70" ht="15" customHeight="1">
      <c r="B20" s="655" t="s">
        <v>1871</v>
      </c>
      <c r="C20" s="656" t="s">
        <v>579</v>
      </c>
      <c r="D20" s="647">
        <f t="shared" si="9"/>
        <v>13400</v>
      </c>
      <c r="E20" s="1737">
        <v>1</v>
      </c>
      <c r="F20" s="1401">
        <v>2.2000000000000002</v>
      </c>
      <c r="G20" s="648">
        <f t="shared" si="10"/>
        <v>2.2000000000000002</v>
      </c>
      <c r="H20" s="647">
        <f t="shared" si="11"/>
        <v>29480</v>
      </c>
      <c r="I20" s="649">
        <f>SUMIF(建具の明細!B$5:B$51,建具!B20,建具の明細!K$5:K$51)</f>
        <v>0</v>
      </c>
      <c r="J20" s="650">
        <f t="shared" si="12"/>
        <v>0</v>
      </c>
      <c r="K20" s="651">
        <v>13405</v>
      </c>
      <c r="L20" s="658"/>
      <c r="M20" s="659"/>
      <c r="N20" s="626" t="b">
        <f t="shared" si="13"/>
        <v>0</v>
      </c>
      <c r="O20" s="626"/>
      <c r="P20" s="626"/>
      <c r="Q20" s="626"/>
      <c r="T20" s="616"/>
      <c r="U20" s="616"/>
      <c r="V20" s="616"/>
      <c r="W20" s="621"/>
      <c r="Y20" s="621"/>
      <c r="AA20" s="616"/>
      <c r="AC20" s="621"/>
      <c r="AF20" s="616"/>
      <c r="AH20" s="621"/>
      <c r="AK20" s="616"/>
      <c r="AM20" s="621"/>
      <c r="AO20" s="616"/>
      <c r="AQ20" s="621"/>
      <c r="AS20" s="616"/>
      <c r="AU20" s="621"/>
      <c r="BB20" s="616"/>
      <c r="BD20" s="621"/>
      <c r="BF20" s="616"/>
      <c r="BH20" s="621"/>
      <c r="BK20" s="616"/>
      <c r="BM20" s="621"/>
      <c r="BN20" s="616"/>
      <c r="BO20" s="616"/>
      <c r="BQ20" s="621"/>
      <c r="BR20" s="621"/>
    </row>
    <row r="21" spans="2:70" ht="15" customHeight="1">
      <c r="B21" s="655" t="s">
        <v>1860</v>
      </c>
      <c r="C21" s="656" t="s">
        <v>579</v>
      </c>
      <c r="D21" s="647">
        <f t="shared" si="9"/>
        <v>32620</v>
      </c>
      <c r="E21" s="1737">
        <v>1</v>
      </c>
      <c r="F21" s="1401">
        <v>2.2000000000000002</v>
      </c>
      <c r="G21" s="648">
        <f t="shared" si="10"/>
        <v>2.2000000000000002</v>
      </c>
      <c r="H21" s="647">
        <f t="shared" si="11"/>
        <v>71764</v>
      </c>
      <c r="I21" s="649">
        <f>SUMIF(建具の明細!B$5:B$51,建具!B21,建具の明細!K$5:K$51)</f>
        <v>0</v>
      </c>
      <c r="J21" s="650">
        <f t="shared" si="12"/>
        <v>0</v>
      </c>
      <c r="K21" s="651">
        <v>32623</v>
      </c>
      <c r="L21" s="658"/>
      <c r="M21" s="659"/>
      <c r="N21" s="626" t="b">
        <f t="shared" si="13"/>
        <v>0</v>
      </c>
      <c r="O21" s="626"/>
      <c r="P21" s="626"/>
      <c r="Q21" s="626"/>
      <c r="T21" s="616"/>
      <c r="U21" s="616"/>
      <c r="V21" s="616"/>
      <c r="W21" s="621"/>
      <c r="Y21" s="621"/>
      <c r="AA21" s="616"/>
      <c r="AC21" s="621"/>
      <c r="AF21" s="616"/>
      <c r="AH21" s="621"/>
      <c r="AK21" s="616"/>
      <c r="AM21" s="621"/>
      <c r="AO21" s="616"/>
      <c r="AQ21" s="621"/>
      <c r="AS21" s="616"/>
      <c r="AU21" s="621"/>
      <c r="BB21" s="616"/>
      <c r="BD21" s="621"/>
      <c r="BF21" s="616"/>
      <c r="BH21" s="621"/>
      <c r="BK21" s="616"/>
      <c r="BM21" s="621"/>
      <c r="BN21" s="616"/>
      <c r="BO21" s="616"/>
      <c r="BQ21" s="621"/>
      <c r="BR21" s="621"/>
    </row>
    <row r="22" spans="2:70" ht="15" customHeight="1">
      <c r="B22" s="655" t="s">
        <v>1872</v>
      </c>
      <c r="C22" s="656" t="s">
        <v>579</v>
      </c>
      <c r="D22" s="647">
        <f t="shared" si="9"/>
        <v>20650</v>
      </c>
      <c r="E22" s="1737">
        <v>1</v>
      </c>
      <c r="F22" s="1401">
        <v>2.2000000000000002</v>
      </c>
      <c r="G22" s="648">
        <f t="shared" si="10"/>
        <v>2.2000000000000002</v>
      </c>
      <c r="H22" s="647">
        <f t="shared" si="11"/>
        <v>45430</v>
      </c>
      <c r="I22" s="649">
        <f>SUMIF(建具の明細!B$5:B$51,建具!B22,建具の明細!K$5:K$51)</f>
        <v>0</v>
      </c>
      <c r="J22" s="650">
        <f t="shared" si="12"/>
        <v>0</v>
      </c>
      <c r="K22" s="651">
        <v>20651</v>
      </c>
      <c r="L22" s="658"/>
      <c r="M22" s="659"/>
      <c r="N22" s="626" t="b">
        <f t="shared" si="13"/>
        <v>0</v>
      </c>
      <c r="O22" s="626"/>
      <c r="P22" s="626"/>
      <c r="Q22" s="626"/>
      <c r="T22" s="616"/>
      <c r="U22" s="616"/>
      <c r="V22" s="616"/>
      <c r="W22" s="621"/>
      <c r="Y22" s="621"/>
      <c r="AA22" s="616"/>
      <c r="AC22" s="621"/>
      <c r="AF22" s="616"/>
      <c r="AH22" s="621"/>
      <c r="AK22" s="616"/>
      <c r="AM22" s="621"/>
      <c r="AO22" s="616"/>
      <c r="AQ22" s="621"/>
      <c r="AS22" s="616"/>
      <c r="AU22" s="621"/>
      <c r="BB22" s="616"/>
      <c r="BD22" s="621"/>
      <c r="BF22" s="616"/>
      <c r="BH22" s="621"/>
      <c r="BK22" s="616"/>
      <c r="BM22" s="621"/>
      <c r="BN22" s="616"/>
      <c r="BO22" s="616"/>
      <c r="BQ22" s="621"/>
      <c r="BR22" s="621"/>
    </row>
    <row r="23" spans="2:70" ht="15" customHeight="1">
      <c r="B23" s="655" t="s">
        <v>1861</v>
      </c>
      <c r="C23" s="656" t="s">
        <v>579</v>
      </c>
      <c r="D23" s="647">
        <f t="shared" si="9"/>
        <v>23740</v>
      </c>
      <c r="E23" s="1737">
        <v>1</v>
      </c>
      <c r="F23" s="1401">
        <v>1.7</v>
      </c>
      <c r="G23" s="648">
        <f t="shared" si="10"/>
        <v>1.7</v>
      </c>
      <c r="H23" s="647">
        <f t="shared" si="11"/>
        <v>40358</v>
      </c>
      <c r="I23" s="649">
        <f>SUMIF(建具の明細!B$5:B$51,建具!B23,建具の明細!K$5:K$51)</f>
        <v>0</v>
      </c>
      <c r="J23" s="650">
        <f t="shared" si="12"/>
        <v>0</v>
      </c>
      <c r="K23" s="651">
        <v>23749</v>
      </c>
      <c r="L23" s="658"/>
      <c r="M23" s="659"/>
      <c r="N23" s="626" t="b">
        <f t="shared" si="13"/>
        <v>0</v>
      </c>
      <c r="O23" s="626"/>
      <c r="P23" s="626"/>
      <c r="Q23" s="626"/>
      <c r="R23" s="1418" t="s">
        <v>1534</v>
      </c>
      <c r="T23" s="616"/>
      <c r="U23" s="616"/>
      <c r="V23" s="616"/>
      <c r="W23" s="621"/>
      <c r="Y23" s="621"/>
      <c r="AA23" s="616"/>
      <c r="AC23" s="621"/>
      <c r="AF23" s="616"/>
      <c r="AH23" s="621"/>
      <c r="AK23" s="616"/>
      <c r="AM23" s="621"/>
      <c r="AO23" s="616"/>
      <c r="AQ23" s="621"/>
      <c r="AS23" s="616"/>
      <c r="AU23" s="621"/>
      <c r="BB23" s="616"/>
      <c r="BD23" s="621"/>
      <c r="BF23" s="616"/>
      <c r="BH23" s="621"/>
      <c r="BK23" s="616"/>
      <c r="BM23" s="621"/>
      <c r="BN23" s="616"/>
      <c r="BO23" s="616"/>
      <c r="BQ23" s="621"/>
      <c r="BR23" s="621"/>
    </row>
    <row r="24" spans="2:70" ht="15" customHeight="1">
      <c r="B24" s="655" t="s">
        <v>1873</v>
      </c>
      <c r="C24" s="656" t="s">
        <v>579</v>
      </c>
      <c r="D24" s="647">
        <f t="shared" si="9"/>
        <v>15560</v>
      </c>
      <c r="E24" s="1737">
        <v>1</v>
      </c>
      <c r="F24" s="1401">
        <v>1.7</v>
      </c>
      <c r="G24" s="648">
        <f t="shared" si="10"/>
        <v>1.7</v>
      </c>
      <c r="H24" s="647">
        <f t="shared" si="11"/>
        <v>26452</v>
      </c>
      <c r="I24" s="649">
        <f>SUMIF(建具の明細!B$5:B$51,建具!B24,建具の明細!K$5:K$51)</f>
        <v>0</v>
      </c>
      <c r="J24" s="650">
        <f t="shared" si="12"/>
        <v>0</v>
      </c>
      <c r="K24" s="651">
        <v>15560</v>
      </c>
      <c r="L24" s="658"/>
      <c r="M24" s="659"/>
      <c r="N24" s="626" t="b">
        <f t="shared" si="13"/>
        <v>0</v>
      </c>
      <c r="O24" s="626"/>
      <c r="P24" s="626"/>
      <c r="Q24" s="626"/>
      <c r="T24" s="616"/>
      <c r="U24" s="616"/>
      <c r="V24" s="616"/>
      <c r="W24" s="621"/>
      <c r="Y24" s="621"/>
      <c r="AA24" s="616"/>
      <c r="AC24" s="621"/>
      <c r="AF24" s="616"/>
      <c r="AH24" s="621"/>
      <c r="AK24" s="616"/>
      <c r="AM24" s="621"/>
      <c r="AO24" s="616"/>
      <c r="AQ24" s="621"/>
      <c r="AS24" s="616"/>
      <c r="AU24" s="621"/>
      <c r="BB24" s="616"/>
      <c r="BD24" s="621"/>
      <c r="BF24" s="616"/>
      <c r="BH24" s="621"/>
      <c r="BK24" s="616"/>
      <c r="BM24" s="621"/>
      <c r="BN24" s="616"/>
      <c r="BO24" s="616"/>
      <c r="BQ24" s="621"/>
      <c r="BR24" s="621"/>
    </row>
    <row r="25" spans="2:70" ht="15" customHeight="1">
      <c r="B25" s="655" t="s">
        <v>1862</v>
      </c>
      <c r="C25" s="656" t="s">
        <v>579</v>
      </c>
      <c r="D25" s="647">
        <f t="shared" si="9"/>
        <v>19450</v>
      </c>
      <c r="E25" s="1737">
        <v>1</v>
      </c>
      <c r="F25" s="1401">
        <v>1.7</v>
      </c>
      <c r="G25" s="648">
        <f t="shared" si="10"/>
        <v>1.7</v>
      </c>
      <c r="H25" s="647">
        <f t="shared" si="11"/>
        <v>33065</v>
      </c>
      <c r="I25" s="649">
        <f>SUMIF(建具の明細!B$5:B$51,建具!B25,建具の明細!K$5:K$51)</f>
        <v>0</v>
      </c>
      <c r="J25" s="650">
        <f t="shared" si="12"/>
        <v>0</v>
      </c>
      <c r="K25" s="651">
        <v>19457</v>
      </c>
      <c r="L25" s="658"/>
      <c r="M25" s="659"/>
      <c r="N25" s="626" t="b">
        <f t="shared" si="13"/>
        <v>0</v>
      </c>
      <c r="O25" s="626"/>
      <c r="P25" s="626"/>
      <c r="Q25" s="626"/>
      <c r="T25" s="616"/>
      <c r="U25" s="616"/>
      <c r="V25" s="616"/>
      <c r="W25" s="621"/>
      <c r="Y25" s="621"/>
      <c r="AA25" s="616"/>
      <c r="AC25" s="621"/>
      <c r="AF25" s="616"/>
      <c r="AH25" s="621"/>
      <c r="AK25" s="616"/>
      <c r="AM25" s="621"/>
      <c r="AO25" s="616"/>
      <c r="AQ25" s="621"/>
      <c r="AS25" s="616"/>
      <c r="AU25" s="621"/>
      <c r="BB25" s="616"/>
      <c r="BD25" s="621"/>
      <c r="BF25" s="616"/>
      <c r="BH25" s="621"/>
      <c r="BK25" s="616"/>
      <c r="BM25" s="621"/>
      <c r="BN25" s="616"/>
      <c r="BO25" s="616"/>
      <c r="BQ25" s="621"/>
      <c r="BR25" s="621"/>
    </row>
    <row r="26" spans="2:70" ht="15" customHeight="1">
      <c r="B26" s="655" t="s">
        <v>1874</v>
      </c>
      <c r="C26" s="656" t="s">
        <v>579</v>
      </c>
      <c r="D26" s="647">
        <f t="shared" si="9"/>
        <v>13400</v>
      </c>
      <c r="E26" s="1737">
        <v>1</v>
      </c>
      <c r="F26" s="1401">
        <v>1.7</v>
      </c>
      <c r="G26" s="648">
        <f t="shared" si="10"/>
        <v>1.7</v>
      </c>
      <c r="H26" s="647">
        <f t="shared" si="11"/>
        <v>22780</v>
      </c>
      <c r="I26" s="649">
        <f>SUMIF(建具の明細!B$5:B$51,建具!B26,建具の明細!K$5:K$51)</f>
        <v>0</v>
      </c>
      <c r="J26" s="650">
        <f t="shared" si="12"/>
        <v>0</v>
      </c>
      <c r="K26" s="651">
        <v>13405</v>
      </c>
      <c r="L26" s="658"/>
      <c r="M26" s="659"/>
      <c r="N26" s="626" t="b">
        <f t="shared" si="13"/>
        <v>0</v>
      </c>
      <c r="O26" s="626"/>
      <c r="P26" s="626"/>
      <c r="Q26" s="626"/>
      <c r="T26" s="616"/>
      <c r="U26" s="616"/>
      <c r="V26" s="616"/>
      <c r="W26" s="621"/>
      <c r="Y26" s="621"/>
      <c r="AA26" s="616"/>
      <c r="AC26" s="621"/>
      <c r="AF26" s="616"/>
      <c r="AH26" s="621"/>
      <c r="AK26" s="616"/>
      <c r="AM26" s="621"/>
      <c r="AO26" s="616"/>
      <c r="AQ26" s="621"/>
      <c r="AS26" s="616"/>
      <c r="AU26" s="621"/>
      <c r="BB26" s="616"/>
      <c r="BD26" s="621"/>
      <c r="BF26" s="616"/>
      <c r="BH26" s="621"/>
      <c r="BK26" s="616"/>
      <c r="BM26" s="621"/>
      <c r="BN26" s="616"/>
      <c r="BO26" s="616"/>
      <c r="BQ26" s="621"/>
      <c r="BR26" s="621"/>
    </row>
    <row r="27" spans="2:70" ht="15" customHeight="1">
      <c r="B27" s="655" t="s">
        <v>1863</v>
      </c>
      <c r="C27" s="656" t="s">
        <v>579</v>
      </c>
      <c r="D27" s="647">
        <f t="shared" si="9"/>
        <v>32620</v>
      </c>
      <c r="E27" s="1737">
        <v>1</v>
      </c>
      <c r="F27" s="1401">
        <v>1.7</v>
      </c>
      <c r="G27" s="648">
        <f t="shared" si="10"/>
        <v>1.7</v>
      </c>
      <c r="H27" s="647">
        <f t="shared" si="11"/>
        <v>55454</v>
      </c>
      <c r="I27" s="649">
        <f>SUMIF(建具の明細!B$5:B$51,建具!B27,建具の明細!K$5:K$51)</f>
        <v>0</v>
      </c>
      <c r="J27" s="650">
        <f t="shared" si="12"/>
        <v>0</v>
      </c>
      <c r="K27" s="651">
        <v>32623</v>
      </c>
      <c r="L27" s="658"/>
      <c r="M27" s="659"/>
      <c r="N27" s="626" t="b">
        <f t="shared" si="13"/>
        <v>0</v>
      </c>
      <c r="O27" s="626"/>
      <c r="P27" s="626"/>
      <c r="Q27" s="626"/>
      <c r="T27" s="616"/>
      <c r="U27" s="616"/>
      <c r="V27" s="616"/>
      <c r="W27" s="621"/>
      <c r="Y27" s="621"/>
      <c r="AA27" s="616"/>
      <c r="AC27" s="621"/>
      <c r="AF27" s="616"/>
      <c r="AH27" s="621"/>
      <c r="AK27" s="616"/>
      <c r="AM27" s="621"/>
      <c r="AO27" s="616"/>
      <c r="AQ27" s="621"/>
      <c r="AS27" s="616"/>
      <c r="AU27" s="621"/>
      <c r="BB27" s="616"/>
      <c r="BD27" s="621"/>
      <c r="BF27" s="616"/>
      <c r="BH27" s="621"/>
      <c r="BK27" s="616"/>
      <c r="BM27" s="621"/>
      <c r="BN27" s="616"/>
      <c r="BO27" s="616"/>
      <c r="BQ27" s="621"/>
      <c r="BR27" s="621"/>
    </row>
    <row r="28" spans="2:70" ht="15" customHeight="1">
      <c r="B28" s="655" t="s">
        <v>1875</v>
      </c>
      <c r="C28" s="656" t="s">
        <v>579</v>
      </c>
      <c r="D28" s="647">
        <f t="shared" si="9"/>
        <v>20650</v>
      </c>
      <c r="E28" s="1737">
        <v>1</v>
      </c>
      <c r="F28" s="1401">
        <v>1.7</v>
      </c>
      <c r="G28" s="648">
        <f t="shared" si="10"/>
        <v>1.7</v>
      </c>
      <c r="H28" s="647">
        <f t="shared" si="11"/>
        <v>35105</v>
      </c>
      <c r="I28" s="649">
        <f>SUMIF(建具の明細!B$5:B$51,建具!B28,建具の明細!K$5:K$51)</f>
        <v>0</v>
      </c>
      <c r="J28" s="650">
        <f t="shared" si="12"/>
        <v>0</v>
      </c>
      <c r="K28" s="651">
        <v>20651</v>
      </c>
      <c r="L28" s="658"/>
      <c r="M28" s="659"/>
      <c r="N28" s="626" t="b">
        <f t="shared" si="13"/>
        <v>0</v>
      </c>
      <c r="O28" s="626"/>
      <c r="P28" s="626"/>
      <c r="Q28" s="626"/>
      <c r="T28" s="616"/>
      <c r="U28" s="616"/>
      <c r="V28" s="616"/>
      <c r="W28" s="621"/>
      <c r="Y28" s="621"/>
      <c r="AA28" s="616"/>
      <c r="AC28" s="621"/>
      <c r="AF28" s="616"/>
      <c r="AH28" s="621"/>
      <c r="AK28" s="616"/>
      <c r="AM28" s="621"/>
      <c r="AO28" s="616"/>
      <c r="AQ28" s="621"/>
      <c r="AS28" s="616"/>
      <c r="AU28" s="621"/>
      <c r="BB28" s="616"/>
      <c r="BD28" s="621"/>
      <c r="BF28" s="616"/>
      <c r="BH28" s="621"/>
      <c r="BK28" s="616"/>
      <c r="BM28" s="621"/>
      <c r="BN28" s="616"/>
      <c r="BO28" s="616"/>
      <c r="BQ28" s="621"/>
      <c r="BR28" s="621"/>
    </row>
    <row r="29" spans="2:70" ht="15" customHeight="1">
      <c r="B29" s="655" t="s">
        <v>1864</v>
      </c>
      <c r="C29" s="656" t="s">
        <v>579</v>
      </c>
      <c r="D29" s="647">
        <f t="shared" si="9"/>
        <v>23740</v>
      </c>
      <c r="E29" s="1737">
        <v>1</v>
      </c>
      <c r="F29" s="1401">
        <v>0.65</v>
      </c>
      <c r="G29" s="648">
        <f t="shared" si="10"/>
        <v>0.65</v>
      </c>
      <c r="H29" s="647">
        <f t="shared" si="11"/>
        <v>15431</v>
      </c>
      <c r="I29" s="649">
        <f>SUMIF(建具の明細!B$5:B$51,建具!B29,建具の明細!K$5:K$51)</f>
        <v>0</v>
      </c>
      <c r="J29" s="650">
        <f t="shared" si="12"/>
        <v>0</v>
      </c>
      <c r="K29" s="651">
        <v>23749</v>
      </c>
      <c r="L29" s="658"/>
      <c r="M29" s="659"/>
      <c r="N29" s="626" t="b">
        <f t="shared" si="13"/>
        <v>0</v>
      </c>
      <c r="O29" s="626"/>
      <c r="P29" s="626"/>
      <c r="Q29" s="626"/>
      <c r="R29" s="1418" t="s">
        <v>1535</v>
      </c>
      <c r="T29" s="616"/>
      <c r="U29" s="616"/>
      <c r="V29" s="616"/>
      <c r="W29" s="621"/>
      <c r="Y29" s="621"/>
      <c r="AA29" s="616"/>
      <c r="AC29" s="621"/>
      <c r="AF29" s="616"/>
      <c r="AH29" s="621"/>
      <c r="AK29" s="616"/>
      <c r="AM29" s="621"/>
      <c r="AO29" s="616"/>
      <c r="AQ29" s="621"/>
      <c r="AS29" s="616"/>
      <c r="AU29" s="621"/>
      <c r="BB29" s="616"/>
      <c r="BD29" s="621"/>
      <c r="BF29" s="616"/>
      <c r="BH29" s="621"/>
      <c r="BK29" s="616"/>
      <c r="BM29" s="621"/>
      <c r="BN29" s="616"/>
      <c r="BO29" s="616"/>
      <c r="BQ29" s="621"/>
      <c r="BR29" s="621"/>
    </row>
    <row r="30" spans="2:70" ht="15" customHeight="1">
      <c r="B30" s="655" t="s">
        <v>1876</v>
      </c>
      <c r="C30" s="656" t="s">
        <v>579</v>
      </c>
      <c r="D30" s="647">
        <f t="shared" si="9"/>
        <v>15560</v>
      </c>
      <c r="E30" s="1737">
        <v>1</v>
      </c>
      <c r="F30" s="1401">
        <v>0.65</v>
      </c>
      <c r="G30" s="648">
        <f t="shared" si="10"/>
        <v>0.65</v>
      </c>
      <c r="H30" s="647">
        <f t="shared" si="11"/>
        <v>10114</v>
      </c>
      <c r="I30" s="649">
        <f>SUMIF(建具の明細!B$5:B$51,建具!B30,建具の明細!K$5:K$51)</f>
        <v>0</v>
      </c>
      <c r="J30" s="650">
        <f t="shared" si="12"/>
        <v>0</v>
      </c>
      <c r="K30" s="651">
        <v>15560</v>
      </c>
      <c r="L30" s="658"/>
      <c r="M30" s="659"/>
      <c r="N30" s="626" t="b">
        <f t="shared" si="13"/>
        <v>0</v>
      </c>
      <c r="O30" s="626"/>
      <c r="P30" s="626"/>
      <c r="Q30" s="626"/>
      <c r="T30" s="616"/>
      <c r="U30" s="616"/>
      <c r="V30" s="616"/>
      <c r="W30" s="621"/>
      <c r="Y30" s="621"/>
      <c r="AA30" s="616"/>
      <c r="AC30" s="621"/>
      <c r="AF30" s="616"/>
      <c r="AH30" s="621"/>
      <c r="AK30" s="616"/>
      <c r="AM30" s="621"/>
      <c r="AO30" s="616"/>
      <c r="AQ30" s="621"/>
      <c r="AS30" s="616"/>
      <c r="AU30" s="621"/>
      <c r="BB30" s="616"/>
      <c r="BD30" s="621"/>
      <c r="BF30" s="616"/>
      <c r="BH30" s="621"/>
      <c r="BK30" s="616"/>
      <c r="BM30" s="621"/>
      <c r="BN30" s="616"/>
      <c r="BO30" s="616"/>
      <c r="BQ30" s="621"/>
      <c r="BR30" s="621"/>
    </row>
    <row r="31" spans="2:70" ht="15" customHeight="1">
      <c r="B31" s="655" t="s">
        <v>1865</v>
      </c>
      <c r="C31" s="656" t="s">
        <v>579</v>
      </c>
      <c r="D31" s="647">
        <f t="shared" si="9"/>
        <v>19450</v>
      </c>
      <c r="E31" s="1737">
        <v>1</v>
      </c>
      <c r="F31" s="1401">
        <v>0.65</v>
      </c>
      <c r="G31" s="648">
        <f t="shared" si="10"/>
        <v>0.65</v>
      </c>
      <c r="H31" s="647">
        <f t="shared" si="11"/>
        <v>12642</v>
      </c>
      <c r="I31" s="649">
        <f>SUMIF(建具の明細!B$5:B$51,建具!B31,建具の明細!K$5:K$51)</f>
        <v>0</v>
      </c>
      <c r="J31" s="650">
        <f t="shared" si="12"/>
        <v>0</v>
      </c>
      <c r="K31" s="651">
        <v>19457</v>
      </c>
      <c r="L31" s="658"/>
      <c r="M31" s="659"/>
      <c r="N31" s="626" t="b">
        <f t="shared" si="13"/>
        <v>0</v>
      </c>
      <c r="O31" s="626"/>
      <c r="P31" s="626"/>
      <c r="Q31" s="626"/>
      <c r="T31" s="616"/>
      <c r="U31" s="616"/>
      <c r="V31" s="616"/>
      <c r="W31" s="621"/>
      <c r="Y31" s="621"/>
      <c r="AA31" s="616"/>
      <c r="AC31" s="621"/>
      <c r="AF31" s="616"/>
      <c r="AH31" s="621"/>
      <c r="AK31" s="616"/>
      <c r="AM31" s="621"/>
      <c r="AO31" s="616"/>
      <c r="AQ31" s="621"/>
      <c r="AS31" s="616"/>
      <c r="AU31" s="621"/>
      <c r="BB31" s="616"/>
      <c r="BD31" s="621"/>
      <c r="BF31" s="616"/>
      <c r="BH31" s="621"/>
      <c r="BK31" s="616"/>
      <c r="BM31" s="621"/>
      <c r="BN31" s="616"/>
      <c r="BO31" s="616"/>
      <c r="BQ31" s="621"/>
      <c r="BR31" s="621"/>
    </row>
    <row r="32" spans="2:70" ht="15" customHeight="1">
      <c r="B32" s="655" t="s">
        <v>1877</v>
      </c>
      <c r="C32" s="656" t="s">
        <v>579</v>
      </c>
      <c r="D32" s="647">
        <f t="shared" si="9"/>
        <v>13400</v>
      </c>
      <c r="E32" s="1737">
        <v>1</v>
      </c>
      <c r="F32" s="1401">
        <v>0.65</v>
      </c>
      <c r="G32" s="648">
        <f t="shared" si="10"/>
        <v>0.65</v>
      </c>
      <c r="H32" s="647">
        <f t="shared" si="11"/>
        <v>8710</v>
      </c>
      <c r="I32" s="649">
        <f>SUMIF(建具の明細!B$5:B$51,建具!B32,建具の明細!K$5:K$51)</f>
        <v>0</v>
      </c>
      <c r="J32" s="650">
        <f t="shared" si="12"/>
        <v>0</v>
      </c>
      <c r="K32" s="651">
        <v>13405</v>
      </c>
      <c r="L32" s="658"/>
      <c r="M32" s="659"/>
      <c r="N32" s="626" t="b">
        <f t="shared" si="13"/>
        <v>0</v>
      </c>
      <c r="O32" s="626"/>
      <c r="P32" s="626"/>
      <c r="Q32" s="626"/>
      <c r="T32" s="616"/>
      <c r="U32" s="616"/>
      <c r="V32" s="616"/>
      <c r="W32" s="621"/>
      <c r="Y32" s="621"/>
      <c r="AA32" s="616"/>
      <c r="AC32" s="621"/>
      <c r="AF32" s="616"/>
      <c r="AH32" s="621"/>
      <c r="AK32" s="616"/>
      <c r="AM32" s="621"/>
      <c r="AO32" s="616"/>
      <c r="AQ32" s="621"/>
      <c r="AS32" s="616"/>
      <c r="AU32" s="621"/>
      <c r="BB32" s="616"/>
      <c r="BD32" s="621"/>
      <c r="BF32" s="616"/>
      <c r="BH32" s="621"/>
      <c r="BK32" s="616"/>
      <c r="BM32" s="621"/>
      <c r="BN32" s="616"/>
      <c r="BO32" s="616"/>
      <c r="BQ32" s="621"/>
      <c r="BR32" s="621"/>
    </row>
    <row r="33" spans="1:70" ht="15" customHeight="1">
      <c r="B33" s="655" t="s">
        <v>1866</v>
      </c>
      <c r="C33" s="656" t="s">
        <v>579</v>
      </c>
      <c r="D33" s="647">
        <f t="shared" si="9"/>
        <v>32620</v>
      </c>
      <c r="E33" s="1737">
        <v>1</v>
      </c>
      <c r="F33" s="1401">
        <v>0.65</v>
      </c>
      <c r="G33" s="648">
        <f t="shared" si="10"/>
        <v>0.65</v>
      </c>
      <c r="H33" s="647">
        <f t="shared" si="11"/>
        <v>21203</v>
      </c>
      <c r="I33" s="649">
        <f>SUMIF(建具の明細!B$5:B$51,建具!B33,建具の明細!K$5:K$51)</f>
        <v>0</v>
      </c>
      <c r="J33" s="650">
        <f t="shared" si="12"/>
        <v>0</v>
      </c>
      <c r="K33" s="651">
        <v>32623</v>
      </c>
      <c r="L33" s="658"/>
      <c r="M33" s="659"/>
      <c r="N33" s="626" t="b">
        <f t="shared" si="13"/>
        <v>0</v>
      </c>
      <c r="O33" s="626"/>
      <c r="P33" s="626"/>
      <c r="Q33" s="626"/>
      <c r="T33" s="616"/>
      <c r="U33" s="616"/>
      <c r="V33" s="616"/>
      <c r="W33" s="621"/>
      <c r="Y33" s="621"/>
      <c r="AA33" s="616"/>
      <c r="AC33" s="621"/>
      <c r="AF33" s="616"/>
      <c r="AH33" s="621"/>
      <c r="AK33" s="616"/>
      <c r="AM33" s="621"/>
      <c r="AO33" s="616"/>
      <c r="AQ33" s="621"/>
      <c r="AS33" s="616"/>
      <c r="AU33" s="621"/>
      <c r="BB33" s="616"/>
      <c r="BD33" s="621"/>
      <c r="BF33" s="616"/>
      <c r="BH33" s="621"/>
      <c r="BK33" s="616"/>
      <c r="BM33" s="621"/>
      <c r="BN33" s="616"/>
      <c r="BO33" s="616"/>
      <c r="BQ33" s="621"/>
      <c r="BR33" s="621"/>
    </row>
    <row r="34" spans="1:70" ht="15" customHeight="1">
      <c r="B34" s="655" t="s">
        <v>1878</v>
      </c>
      <c r="C34" s="656" t="s">
        <v>579</v>
      </c>
      <c r="D34" s="647">
        <f t="shared" si="9"/>
        <v>20650</v>
      </c>
      <c r="E34" s="1737">
        <v>1</v>
      </c>
      <c r="F34" s="1401">
        <v>0.65</v>
      </c>
      <c r="G34" s="648">
        <f t="shared" si="10"/>
        <v>0.65</v>
      </c>
      <c r="H34" s="647">
        <f t="shared" si="11"/>
        <v>13422</v>
      </c>
      <c r="I34" s="649">
        <f>SUMIF(建具の明細!B$5:B$51,建具!B34,建具の明細!K$5:K$51)</f>
        <v>0</v>
      </c>
      <c r="J34" s="650">
        <f t="shared" si="12"/>
        <v>0</v>
      </c>
      <c r="K34" s="651">
        <v>20651</v>
      </c>
      <c r="L34" s="658"/>
      <c r="M34" s="659"/>
      <c r="N34" s="626" t="b">
        <f t="shared" si="13"/>
        <v>0</v>
      </c>
      <c r="O34" s="626"/>
      <c r="P34" s="626"/>
      <c r="Q34" s="626"/>
      <c r="S34" s="1742" t="s">
        <v>1531</v>
      </c>
      <c r="T34" s="1743"/>
      <c r="U34" s="1743"/>
      <c r="V34" s="1743"/>
      <c r="W34" s="1744"/>
      <c r="Y34" s="621"/>
      <c r="AA34" s="616"/>
      <c r="AC34" s="621"/>
      <c r="AF34" s="616"/>
      <c r="AH34" s="621"/>
      <c r="AK34" s="616"/>
      <c r="AM34" s="621"/>
      <c r="AO34" s="616"/>
      <c r="AQ34" s="621"/>
      <c r="AS34" s="616"/>
      <c r="AU34" s="621"/>
      <c r="BB34" s="616"/>
      <c r="BD34" s="621"/>
      <c r="BF34" s="616"/>
      <c r="BH34" s="621"/>
      <c r="BK34" s="616"/>
      <c r="BM34" s="621"/>
      <c r="BN34" s="616"/>
      <c r="BO34" s="616"/>
      <c r="BQ34" s="621"/>
      <c r="BR34" s="621"/>
    </row>
    <row r="35" spans="1:70" ht="15" customHeight="1">
      <c r="A35" s="616">
        <f>ROW()</f>
        <v>35</v>
      </c>
      <c r="B35" s="655" t="s">
        <v>1252</v>
      </c>
      <c r="C35" s="656"/>
      <c r="D35" s="647"/>
      <c r="E35" s="1401"/>
      <c r="F35" s="1401"/>
      <c r="G35" s="648"/>
      <c r="H35" s="647"/>
      <c r="I35" s="649"/>
      <c r="J35" s="650"/>
      <c r="K35" s="651"/>
      <c r="L35" s="658"/>
      <c r="M35" s="659"/>
      <c r="N35" s="626" t="b">
        <f t="shared" si="13"/>
        <v>0</v>
      </c>
      <c r="O35" s="626"/>
      <c r="P35" s="626"/>
      <c r="Q35" s="626"/>
      <c r="R35" s="1418" t="s">
        <v>1537</v>
      </c>
      <c r="T35" s="616"/>
      <c r="U35" s="616"/>
      <c r="V35" s="616"/>
      <c r="W35" s="621"/>
      <c r="Y35" s="621"/>
      <c r="AA35" s="616"/>
      <c r="AC35" s="621"/>
      <c r="AF35" s="616"/>
      <c r="AH35" s="621"/>
      <c r="AK35" s="616"/>
      <c r="AM35" s="621"/>
      <c r="AO35" s="616"/>
      <c r="AQ35" s="621"/>
      <c r="AS35" s="616"/>
      <c r="AU35" s="621"/>
      <c r="BB35" s="616"/>
      <c r="BD35" s="621"/>
      <c r="BF35" s="616"/>
      <c r="BH35" s="621"/>
      <c r="BK35" s="616"/>
      <c r="BM35" s="621"/>
      <c r="BN35" s="616"/>
      <c r="BO35" s="616"/>
      <c r="BQ35" s="621"/>
      <c r="BR35" s="621"/>
    </row>
    <row r="36" spans="1:70" ht="15" customHeight="1">
      <c r="B36" s="655" t="s">
        <v>1879</v>
      </c>
      <c r="C36" s="656"/>
      <c r="D36" s="647">
        <f t="shared" si="9"/>
        <v>39510</v>
      </c>
      <c r="E36" s="1737">
        <v>1</v>
      </c>
      <c r="F36" s="1401">
        <v>1</v>
      </c>
      <c r="G36" s="648">
        <f t="shared" si="10"/>
        <v>1</v>
      </c>
      <c r="H36" s="647">
        <f t="shared" si="11"/>
        <v>39510</v>
      </c>
      <c r="I36" s="649">
        <f>SUMIF(建具の明細!B$5:B$51,建具!B36,建具の明細!K$5:K$51)</f>
        <v>0</v>
      </c>
      <c r="J36" s="650">
        <f t="shared" si="12"/>
        <v>0</v>
      </c>
      <c r="K36" s="651">
        <v>39514</v>
      </c>
      <c r="L36" s="658"/>
      <c r="M36" s="659"/>
      <c r="N36" s="626" t="b">
        <f t="shared" si="13"/>
        <v>0</v>
      </c>
      <c r="O36" s="626"/>
      <c r="P36" s="626"/>
      <c r="Q36" s="626"/>
      <c r="R36" s="1418" t="s">
        <v>2284</v>
      </c>
      <c r="T36" s="616"/>
      <c r="U36" s="616"/>
      <c r="V36" s="616"/>
      <c r="W36" s="621"/>
      <c r="Y36" s="621"/>
      <c r="AA36" s="616"/>
      <c r="AC36" s="621"/>
      <c r="AF36" s="616"/>
      <c r="AH36" s="621"/>
      <c r="AK36" s="616"/>
      <c r="AM36" s="621"/>
      <c r="AO36" s="616"/>
      <c r="AQ36" s="621"/>
      <c r="AS36" s="616"/>
      <c r="AU36" s="621"/>
      <c r="BB36" s="616"/>
      <c r="BD36" s="621"/>
      <c r="BF36" s="616"/>
      <c r="BH36" s="621"/>
      <c r="BK36" s="616"/>
      <c r="BM36" s="621"/>
      <c r="BN36" s="616"/>
      <c r="BO36" s="616"/>
      <c r="BQ36" s="621"/>
      <c r="BR36" s="621"/>
    </row>
    <row r="37" spans="1:70" ht="15" customHeight="1">
      <c r="B37" s="655" t="s">
        <v>1880</v>
      </c>
      <c r="C37" s="656"/>
      <c r="D37" s="647">
        <f t="shared" si="9"/>
        <v>34430</v>
      </c>
      <c r="E37" s="1737">
        <v>1</v>
      </c>
      <c r="F37" s="1401">
        <v>1</v>
      </c>
      <c r="G37" s="648">
        <f t="shared" si="10"/>
        <v>1</v>
      </c>
      <c r="H37" s="647">
        <f t="shared" si="11"/>
        <v>34430</v>
      </c>
      <c r="I37" s="649">
        <f>SUMIF(建具の明細!B$5:B$51,建具!B37,建具の明細!K$5:K$51)</f>
        <v>0</v>
      </c>
      <c r="J37" s="650">
        <f t="shared" si="12"/>
        <v>0</v>
      </c>
      <c r="K37" s="651">
        <v>34431</v>
      </c>
      <c r="L37" s="658"/>
      <c r="M37" s="659"/>
      <c r="N37" s="626" t="b">
        <f t="shared" si="13"/>
        <v>0</v>
      </c>
      <c r="O37" s="626"/>
      <c r="P37" s="626"/>
      <c r="Q37" s="626"/>
      <c r="R37" s="1418" t="s">
        <v>1651</v>
      </c>
      <c r="T37" s="616"/>
      <c r="U37" s="616"/>
      <c r="V37" s="616"/>
      <c r="W37" s="621"/>
      <c r="Y37" s="621"/>
      <c r="AA37" s="616"/>
      <c r="AC37" s="621"/>
      <c r="AF37" s="616"/>
      <c r="AH37" s="621"/>
      <c r="AK37" s="616"/>
      <c r="AM37" s="621"/>
      <c r="AO37" s="616"/>
      <c r="AQ37" s="621"/>
      <c r="AS37" s="616"/>
      <c r="AU37" s="621"/>
      <c r="BB37" s="616"/>
      <c r="BD37" s="621"/>
      <c r="BF37" s="616"/>
      <c r="BH37" s="621"/>
      <c r="BK37" s="616"/>
      <c r="BM37" s="621"/>
      <c r="BN37" s="616"/>
      <c r="BO37" s="616"/>
      <c r="BQ37" s="621"/>
      <c r="BR37" s="621"/>
    </row>
    <row r="38" spans="1:70" ht="15" customHeight="1">
      <c r="B38" s="655" t="s">
        <v>1881</v>
      </c>
      <c r="C38" s="656"/>
      <c r="D38" s="647">
        <f t="shared" si="9"/>
        <v>28710</v>
      </c>
      <c r="E38" s="1737">
        <v>1</v>
      </c>
      <c r="F38" s="1401">
        <v>1</v>
      </c>
      <c r="G38" s="648">
        <f t="shared" si="10"/>
        <v>1</v>
      </c>
      <c r="H38" s="647">
        <f t="shared" si="11"/>
        <v>28710</v>
      </c>
      <c r="I38" s="649">
        <f>SUMIF(建具の明細!B$5:B$51,建具!B38,建具の明細!K$5:K$51)</f>
        <v>0</v>
      </c>
      <c r="J38" s="650">
        <f t="shared" si="12"/>
        <v>0</v>
      </c>
      <c r="K38" s="651">
        <v>28714</v>
      </c>
      <c r="L38" s="658"/>
      <c r="M38" s="659"/>
      <c r="N38" s="626" t="b">
        <f t="shared" si="13"/>
        <v>0</v>
      </c>
      <c r="O38" s="626"/>
      <c r="P38" s="626"/>
      <c r="Q38" s="626"/>
      <c r="R38" s="1418" t="s">
        <v>1649</v>
      </c>
      <c r="T38" s="616"/>
      <c r="U38" s="616"/>
      <c r="V38" s="616"/>
      <c r="W38" s="621"/>
      <c r="Y38" s="621"/>
      <c r="AA38" s="616"/>
      <c r="AC38" s="621"/>
      <c r="AF38" s="616"/>
      <c r="AH38" s="621"/>
      <c r="AK38" s="616"/>
      <c r="AM38" s="621"/>
      <c r="AO38" s="616"/>
      <c r="AQ38" s="621"/>
      <c r="AS38" s="616"/>
      <c r="AU38" s="621"/>
      <c r="BB38" s="616"/>
      <c r="BD38" s="621"/>
      <c r="BF38" s="616"/>
      <c r="BH38" s="621"/>
      <c r="BK38" s="616"/>
      <c r="BM38" s="621"/>
      <c r="BN38" s="616"/>
      <c r="BO38" s="616"/>
      <c r="BQ38" s="621"/>
      <c r="BR38" s="621"/>
    </row>
    <row r="39" spans="1:70" ht="15" customHeight="1">
      <c r="B39" s="655" t="s">
        <v>1882</v>
      </c>
      <c r="C39" s="656"/>
      <c r="D39" s="647">
        <f t="shared" si="9"/>
        <v>20830</v>
      </c>
      <c r="E39" s="1737">
        <v>1</v>
      </c>
      <c r="F39" s="1401">
        <v>1</v>
      </c>
      <c r="G39" s="648">
        <f t="shared" si="10"/>
        <v>1</v>
      </c>
      <c r="H39" s="647">
        <f t="shared" si="11"/>
        <v>20830</v>
      </c>
      <c r="I39" s="649">
        <f>SUMIF(建具の明細!B$5:B$51,建具!B39,建具の明細!K$5:K$51)</f>
        <v>0</v>
      </c>
      <c r="J39" s="650">
        <f t="shared" si="12"/>
        <v>0</v>
      </c>
      <c r="K39" s="651">
        <v>20834</v>
      </c>
      <c r="L39" s="658"/>
      <c r="M39" s="659"/>
      <c r="N39" s="626" t="b">
        <f t="shared" si="13"/>
        <v>0</v>
      </c>
      <c r="O39" s="626"/>
      <c r="P39" s="626"/>
      <c r="Q39" s="626"/>
      <c r="R39" s="1418" t="s">
        <v>1650</v>
      </c>
      <c r="T39" s="616"/>
      <c r="U39" s="616"/>
      <c r="V39" s="616"/>
      <c r="W39" s="621"/>
      <c r="Y39" s="621"/>
      <c r="AA39" s="616"/>
      <c r="AC39" s="621"/>
      <c r="AF39" s="616"/>
      <c r="AH39" s="621"/>
      <c r="AK39" s="616"/>
      <c r="AM39" s="621"/>
      <c r="AO39" s="616"/>
      <c r="AQ39" s="621"/>
      <c r="AS39" s="616"/>
      <c r="AU39" s="621"/>
      <c r="BB39" s="616"/>
      <c r="BD39" s="621"/>
      <c r="BF39" s="616"/>
      <c r="BH39" s="621"/>
      <c r="BK39" s="616"/>
      <c r="BM39" s="621"/>
      <c r="BN39" s="616"/>
      <c r="BO39" s="616"/>
      <c r="BQ39" s="621"/>
      <c r="BR39" s="621"/>
    </row>
    <row r="40" spans="1:70" ht="15" customHeight="1">
      <c r="B40" s="655" t="s">
        <v>1207</v>
      </c>
      <c r="C40" s="656"/>
      <c r="D40" s="647">
        <f t="shared" si="9"/>
        <v>32870</v>
      </c>
      <c r="E40" s="1737">
        <v>1</v>
      </c>
      <c r="F40" s="1401">
        <v>1.4</v>
      </c>
      <c r="G40" s="648">
        <f t="shared" si="10"/>
        <v>1.4</v>
      </c>
      <c r="H40" s="647">
        <f t="shared" si="11"/>
        <v>46018</v>
      </c>
      <c r="I40" s="649">
        <f>SUMIF(建具の明細!B$5:B$51,建具!B40,建具の明細!K$5:K$51)</f>
        <v>0</v>
      </c>
      <c r="J40" s="650">
        <f t="shared" si="12"/>
        <v>0</v>
      </c>
      <c r="K40" s="651">
        <v>32870</v>
      </c>
      <c r="L40" s="658"/>
      <c r="M40" s="659"/>
      <c r="N40" s="626" t="b">
        <f t="shared" si="13"/>
        <v>0</v>
      </c>
      <c r="O40" s="626"/>
      <c r="P40" s="626"/>
      <c r="Q40" s="626"/>
      <c r="R40" s="1418" t="s">
        <v>1653</v>
      </c>
      <c r="T40" s="616"/>
      <c r="U40" s="616"/>
      <c r="V40" s="1418"/>
      <c r="W40" s="621"/>
      <c r="Y40" s="621"/>
      <c r="AA40" s="616"/>
      <c r="AC40" s="621"/>
      <c r="AF40" s="616"/>
      <c r="AH40" s="621"/>
      <c r="AK40" s="616"/>
      <c r="AM40" s="621"/>
      <c r="AO40" s="616"/>
      <c r="AQ40" s="621"/>
      <c r="AS40" s="616"/>
      <c r="AU40" s="621"/>
      <c r="BB40" s="616"/>
      <c r="BD40" s="621"/>
      <c r="BF40" s="616"/>
      <c r="BH40" s="621"/>
      <c r="BK40" s="616"/>
      <c r="BM40" s="621"/>
      <c r="BN40" s="616"/>
      <c r="BO40" s="616"/>
      <c r="BQ40" s="621"/>
      <c r="BR40" s="621"/>
    </row>
    <row r="41" spans="1:70" ht="15" customHeight="1">
      <c r="B41" s="655" t="s">
        <v>1208</v>
      </c>
      <c r="C41" s="656"/>
      <c r="D41" s="647">
        <f t="shared" si="9"/>
        <v>28930</v>
      </c>
      <c r="E41" s="1737">
        <v>1</v>
      </c>
      <c r="F41" s="1401">
        <v>1.4</v>
      </c>
      <c r="G41" s="648">
        <f t="shared" si="10"/>
        <v>1.4</v>
      </c>
      <c r="H41" s="647">
        <f t="shared" si="11"/>
        <v>40502</v>
      </c>
      <c r="I41" s="649">
        <f>SUMIF(建具の明細!B$5:B$51,建具!B41,建具の明細!K$5:K$51)</f>
        <v>0</v>
      </c>
      <c r="J41" s="650">
        <f t="shared" si="12"/>
        <v>0</v>
      </c>
      <c r="K41" s="651">
        <v>28930</v>
      </c>
      <c r="L41" s="658"/>
      <c r="M41" s="659"/>
      <c r="N41" s="626" t="b">
        <f t="shared" si="13"/>
        <v>0</v>
      </c>
      <c r="O41" s="626"/>
      <c r="P41" s="626"/>
      <c r="Q41" s="626"/>
      <c r="R41" s="1418" t="s">
        <v>1536</v>
      </c>
      <c r="T41" s="616"/>
      <c r="U41" s="616"/>
      <c r="V41" s="616"/>
      <c r="W41" s="621"/>
      <c r="Y41" s="621"/>
      <c r="AA41" s="616"/>
      <c r="AC41" s="621"/>
      <c r="AF41" s="616"/>
      <c r="AH41" s="621"/>
      <c r="AK41" s="616"/>
      <c r="AM41" s="621"/>
      <c r="AO41" s="616"/>
      <c r="AQ41" s="621"/>
      <c r="AS41" s="616"/>
      <c r="AU41" s="621"/>
      <c r="BB41" s="616"/>
      <c r="BD41" s="621"/>
      <c r="BF41" s="616"/>
      <c r="BH41" s="621"/>
      <c r="BK41" s="616"/>
      <c r="BM41" s="621"/>
      <c r="BN41" s="616"/>
      <c r="BO41" s="616"/>
      <c r="BQ41" s="621"/>
      <c r="BR41" s="621"/>
    </row>
    <row r="42" spans="1:70" ht="15" customHeight="1">
      <c r="B42" s="655" t="s">
        <v>1209</v>
      </c>
      <c r="C42" s="656"/>
      <c r="D42" s="647">
        <f t="shared" si="9"/>
        <v>22220</v>
      </c>
      <c r="E42" s="1737">
        <v>1</v>
      </c>
      <c r="F42" s="1401">
        <v>1.4</v>
      </c>
      <c r="G42" s="648">
        <f t="shared" si="10"/>
        <v>1.4</v>
      </c>
      <c r="H42" s="647">
        <f t="shared" si="11"/>
        <v>31108</v>
      </c>
      <c r="I42" s="649">
        <f>SUMIF(建具の明細!B$5:B$51,建具!B42,建具の明細!K$5:K$51)</f>
        <v>0</v>
      </c>
      <c r="J42" s="650">
        <f t="shared" si="12"/>
        <v>0</v>
      </c>
      <c r="K42" s="651">
        <v>22229</v>
      </c>
      <c r="L42" s="658"/>
      <c r="M42" s="659"/>
      <c r="N42" s="626" t="b">
        <f t="shared" si="13"/>
        <v>0</v>
      </c>
      <c r="O42" s="626"/>
      <c r="P42" s="626"/>
      <c r="Q42" s="626"/>
      <c r="R42" s="1418" t="s">
        <v>1652</v>
      </c>
      <c r="T42" s="616"/>
      <c r="U42" s="616"/>
      <c r="V42" s="616"/>
      <c r="W42" s="621"/>
      <c r="Y42" s="621"/>
      <c r="AA42" s="616"/>
      <c r="AC42" s="621"/>
      <c r="AF42" s="616"/>
      <c r="AH42" s="621"/>
      <c r="AK42" s="616"/>
      <c r="AM42" s="621"/>
      <c r="AO42" s="616"/>
      <c r="AQ42" s="621"/>
      <c r="AS42" s="616"/>
      <c r="AU42" s="621"/>
      <c r="BB42" s="616"/>
      <c r="BD42" s="621"/>
      <c r="BF42" s="616"/>
      <c r="BH42" s="621"/>
      <c r="BK42" s="616"/>
      <c r="BM42" s="621"/>
      <c r="BN42" s="616"/>
      <c r="BO42" s="616"/>
      <c r="BQ42" s="621"/>
      <c r="BR42" s="621"/>
    </row>
    <row r="43" spans="1:70" ht="15" customHeight="1">
      <c r="B43" s="655" t="s">
        <v>1883</v>
      </c>
      <c r="C43" s="656"/>
      <c r="D43" s="647">
        <f t="shared" si="9"/>
        <v>32870</v>
      </c>
      <c r="E43" s="1737">
        <v>1</v>
      </c>
      <c r="F43" s="1401">
        <v>1</v>
      </c>
      <c r="G43" s="648">
        <f t="shared" si="10"/>
        <v>1</v>
      </c>
      <c r="H43" s="647">
        <f t="shared" si="11"/>
        <v>32870</v>
      </c>
      <c r="I43" s="649">
        <f>SUMIF(建具の明細!B$5:B$51,建具!B43,建具の明細!K$5:K$51)</f>
        <v>0</v>
      </c>
      <c r="J43" s="650">
        <f t="shared" si="12"/>
        <v>0</v>
      </c>
      <c r="K43" s="651">
        <v>32870</v>
      </c>
      <c r="L43" s="658"/>
      <c r="M43" s="659"/>
      <c r="N43" s="626" t="b">
        <f t="shared" si="13"/>
        <v>0</v>
      </c>
      <c r="O43" s="626"/>
      <c r="P43" s="626"/>
      <c r="Q43" s="626"/>
      <c r="R43" s="1418" t="s">
        <v>1654</v>
      </c>
      <c r="T43" s="616"/>
      <c r="U43" s="616"/>
      <c r="V43" s="616"/>
      <c r="W43" s="621"/>
      <c r="Y43" s="621"/>
      <c r="AA43" s="616"/>
      <c r="AC43" s="621"/>
      <c r="AF43" s="616"/>
      <c r="AH43" s="621"/>
      <c r="AK43" s="616"/>
      <c r="AM43" s="621"/>
      <c r="AO43" s="616"/>
      <c r="AQ43" s="621"/>
      <c r="AS43" s="616"/>
      <c r="AU43" s="621"/>
      <c r="BB43" s="616"/>
      <c r="BD43" s="621"/>
      <c r="BF43" s="616"/>
      <c r="BH43" s="621"/>
      <c r="BK43" s="616"/>
      <c r="BM43" s="621"/>
      <c r="BN43" s="616"/>
      <c r="BO43" s="616"/>
      <c r="BQ43" s="621"/>
      <c r="BR43" s="621"/>
    </row>
    <row r="44" spans="1:70" ht="15" customHeight="1">
      <c r="B44" s="655" t="s">
        <v>1884</v>
      </c>
      <c r="C44" s="656"/>
      <c r="D44" s="647">
        <f t="shared" si="9"/>
        <v>28930</v>
      </c>
      <c r="E44" s="1737">
        <v>1</v>
      </c>
      <c r="F44" s="1401">
        <v>1</v>
      </c>
      <c r="G44" s="648">
        <f t="shared" si="10"/>
        <v>1</v>
      </c>
      <c r="H44" s="647">
        <f t="shared" si="11"/>
        <v>28930</v>
      </c>
      <c r="I44" s="649">
        <f>SUMIF(建具の明細!B$5:B$51,建具!B44,建具の明細!K$5:K$51)</f>
        <v>0</v>
      </c>
      <c r="J44" s="650">
        <f t="shared" si="12"/>
        <v>0</v>
      </c>
      <c r="K44" s="651">
        <v>28930</v>
      </c>
      <c r="L44" s="658"/>
      <c r="M44" s="659"/>
      <c r="N44" s="626" t="b">
        <f t="shared" si="13"/>
        <v>0</v>
      </c>
      <c r="O44" s="626"/>
      <c r="P44" s="626"/>
      <c r="Q44" s="626"/>
      <c r="R44" s="616" t="s">
        <v>1243</v>
      </c>
      <c r="T44" s="616"/>
      <c r="U44" s="616"/>
      <c r="V44" s="616"/>
      <c r="W44" s="621"/>
      <c r="Y44" s="621"/>
      <c r="AA44" s="616"/>
      <c r="AC44" s="621"/>
      <c r="AF44" s="616"/>
      <c r="AH44" s="621"/>
      <c r="AK44" s="616"/>
      <c r="AM44" s="621"/>
      <c r="AO44" s="616"/>
      <c r="AQ44" s="621"/>
      <c r="AS44" s="616"/>
      <c r="AU44" s="621"/>
      <c r="BB44" s="616"/>
      <c r="BD44" s="621"/>
      <c r="BF44" s="616"/>
      <c r="BH44" s="621"/>
      <c r="BK44" s="616"/>
      <c r="BM44" s="621"/>
      <c r="BN44" s="616"/>
      <c r="BO44" s="616"/>
      <c r="BQ44" s="621"/>
      <c r="BR44" s="621"/>
    </row>
    <row r="45" spans="1:70" ht="15" customHeight="1">
      <c r="B45" s="655" t="s">
        <v>1885</v>
      </c>
      <c r="C45" s="656"/>
      <c r="D45" s="647">
        <f t="shared" si="9"/>
        <v>22220</v>
      </c>
      <c r="E45" s="1737">
        <v>1</v>
      </c>
      <c r="F45" s="1401">
        <v>1</v>
      </c>
      <c r="G45" s="648">
        <f t="shared" si="10"/>
        <v>1</v>
      </c>
      <c r="H45" s="647">
        <f t="shared" si="11"/>
        <v>22220</v>
      </c>
      <c r="I45" s="649">
        <f>SUMIF(建具の明細!B$5:B$51,建具!B45,建具の明細!K$5:K$51)</f>
        <v>0</v>
      </c>
      <c r="J45" s="650">
        <f t="shared" si="12"/>
        <v>0</v>
      </c>
      <c r="K45" s="651">
        <v>22229</v>
      </c>
      <c r="L45" s="658"/>
      <c r="M45" s="659"/>
      <c r="N45" s="626" t="b">
        <f t="shared" si="13"/>
        <v>0</v>
      </c>
      <c r="O45" s="626"/>
      <c r="P45" s="626"/>
      <c r="Q45" s="626"/>
      <c r="R45" s="1418" t="s">
        <v>1655</v>
      </c>
      <c r="T45" s="616"/>
      <c r="U45" s="616"/>
      <c r="V45" s="616"/>
      <c r="W45" s="621"/>
      <c r="Y45" s="621"/>
      <c r="AA45" s="616"/>
      <c r="AC45" s="621"/>
      <c r="AF45" s="616"/>
      <c r="AH45" s="621"/>
      <c r="AK45" s="616"/>
      <c r="AM45" s="621"/>
      <c r="AO45" s="616"/>
      <c r="AQ45" s="621"/>
      <c r="AS45" s="616"/>
      <c r="AU45" s="621"/>
      <c r="BB45" s="616"/>
      <c r="BD45" s="621"/>
      <c r="BF45" s="616"/>
      <c r="BH45" s="621"/>
      <c r="BK45" s="616"/>
      <c r="BM45" s="621"/>
      <c r="BN45" s="616"/>
      <c r="BO45" s="616"/>
      <c r="BQ45" s="621"/>
      <c r="BR45" s="621"/>
    </row>
    <row r="46" spans="1:70" ht="15" customHeight="1">
      <c r="B46" s="655" t="s">
        <v>1886</v>
      </c>
      <c r="C46" s="656"/>
      <c r="D46" s="647">
        <f t="shared" si="9"/>
        <v>48750</v>
      </c>
      <c r="E46" s="1737">
        <v>1</v>
      </c>
      <c r="F46" s="1401">
        <v>1</v>
      </c>
      <c r="G46" s="648">
        <f t="shared" si="10"/>
        <v>1</v>
      </c>
      <c r="H46" s="647">
        <f t="shared" si="11"/>
        <v>48750</v>
      </c>
      <c r="I46" s="649">
        <f>SUMIF(建具の明細!B$5:B$51,建具!B46,建具の明細!K$5:K$51)</f>
        <v>0</v>
      </c>
      <c r="J46" s="650">
        <f t="shared" si="12"/>
        <v>0</v>
      </c>
      <c r="K46" s="651">
        <v>48752</v>
      </c>
      <c r="L46" s="658"/>
      <c r="M46" s="659"/>
      <c r="N46" s="626" t="b">
        <f t="shared" si="13"/>
        <v>0</v>
      </c>
      <c r="O46" s="626"/>
      <c r="P46" s="626"/>
      <c r="Q46" s="626"/>
      <c r="R46" s="1418" t="s">
        <v>1637</v>
      </c>
      <c r="T46" s="616"/>
      <c r="U46" s="616"/>
      <c r="V46" s="616"/>
      <c r="W46" s="621"/>
      <c r="Y46" s="621"/>
      <c r="AA46" s="616"/>
      <c r="AC46" s="621"/>
      <c r="AF46" s="616"/>
      <c r="AH46" s="621"/>
      <c r="AK46" s="616"/>
      <c r="AM46" s="621"/>
      <c r="AO46" s="616"/>
      <c r="AQ46" s="621"/>
      <c r="AS46" s="616"/>
      <c r="AU46" s="621"/>
      <c r="BB46" s="616"/>
      <c r="BD46" s="621"/>
      <c r="BF46" s="616"/>
      <c r="BH46" s="621"/>
      <c r="BK46" s="616"/>
      <c r="BM46" s="621"/>
      <c r="BN46" s="616"/>
      <c r="BO46" s="616"/>
      <c r="BQ46" s="621"/>
      <c r="BR46" s="621"/>
    </row>
    <row r="47" spans="1:70" ht="15" customHeight="1">
      <c r="B47" s="655" t="s">
        <v>1887</v>
      </c>
      <c r="C47" s="656"/>
      <c r="D47" s="647">
        <f t="shared" si="9"/>
        <v>21120</v>
      </c>
      <c r="E47" s="1737">
        <v>1</v>
      </c>
      <c r="F47" s="1401">
        <v>1</v>
      </c>
      <c r="G47" s="648">
        <f t="shared" si="10"/>
        <v>1</v>
      </c>
      <c r="H47" s="647">
        <f t="shared" si="11"/>
        <v>21120</v>
      </c>
      <c r="I47" s="649">
        <f>SUMIF(建具の明細!B$5:B$51,建具!B47,建具の明細!K$5:K$51)</f>
        <v>0</v>
      </c>
      <c r="J47" s="650">
        <f t="shared" si="12"/>
        <v>0</v>
      </c>
      <c r="K47" s="651">
        <v>21120</v>
      </c>
      <c r="L47" s="658"/>
      <c r="M47" s="659"/>
      <c r="N47" s="626" t="b">
        <f t="shared" si="13"/>
        <v>0</v>
      </c>
      <c r="O47" s="626"/>
      <c r="P47" s="626"/>
      <c r="Q47" s="626"/>
      <c r="R47" s="1418" t="s">
        <v>1625</v>
      </c>
      <c r="T47" s="616"/>
      <c r="U47" s="616"/>
      <c r="V47" s="616"/>
      <c r="W47" s="621"/>
      <c r="Y47" s="621"/>
      <c r="AA47" s="616"/>
      <c r="AC47" s="621"/>
      <c r="AF47" s="616"/>
      <c r="AH47" s="621"/>
      <c r="AK47" s="616"/>
      <c r="AM47" s="621"/>
      <c r="AO47" s="616"/>
      <c r="AQ47" s="621"/>
      <c r="AS47" s="616"/>
      <c r="AU47" s="621"/>
      <c r="BB47" s="616"/>
      <c r="BD47" s="621"/>
      <c r="BF47" s="616"/>
      <c r="BH47" s="621"/>
      <c r="BK47" s="616"/>
      <c r="BM47" s="621"/>
      <c r="BN47" s="616"/>
      <c r="BO47" s="616"/>
      <c r="BQ47" s="621"/>
      <c r="BR47" s="621"/>
    </row>
    <row r="48" spans="1:70" ht="15" customHeight="1">
      <c r="B48" s="655" t="s">
        <v>1888</v>
      </c>
      <c r="C48" s="656"/>
      <c r="D48" s="647">
        <f t="shared" si="9"/>
        <v>182090</v>
      </c>
      <c r="E48" s="1737">
        <v>1</v>
      </c>
      <c r="F48" s="1401">
        <v>1</v>
      </c>
      <c r="G48" s="648">
        <f t="shared" si="10"/>
        <v>1</v>
      </c>
      <c r="H48" s="647">
        <f t="shared" si="11"/>
        <v>182090</v>
      </c>
      <c r="I48" s="649">
        <f>SUMIF(建具の明細!B$5:B$51,建具!B48,建具の明細!K$5:K$51)</f>
        <v>0</v>
      </c>
      <c r="J48" s="650">
        <f t="shared" si="12"/>
        <v>0</v>
      </c>
      <c r="K48" s="651">
        <v>182095</v>
      </c>
      <c r="L48" s="658"/>
      <c r="M48" s="659"/>
      <c r="N48" s="626" t="b">
        <f t="shared" si="13"/>
        <v>0</v>
      </c>
      <c r="O48" s="626"/>
      <c r="P48" s="626"/>
      <c r="Q48" s="626"/>
      <c r="T48" s="616"/>
      <c r="U48" s="616"/>
      <c r="V48" s="616"/>
      <c r="W48" s="621"/>
      <c r="Y48" s="621"/>
      <c r="AA48" s="616"/>
      <c r="AC48" s="621"/>
      <c r="AF48" s="616"/>
      <c r="AH48" s="621"/>
      <c r="AK48" s="616"/>
      <c r="AM48" s="621"/>
      <c r="AO48" s="616"/>
      <c r="AQ48" s="621"/>
      <c r="AS48" s="616"/>
      <c r="AU48" s="621"/>
      <c r="BB48" s="616"/>
      <c r="BD48" s="621"/>
      <c r="BF48" s="616"/>
      <c r="BH48" s="621"/>
      <c r="BK48" s="616"/>
      <c r="BM48" s="621"/>
      <c r="BN48" s="616"/>
      <c r="BO48" s="616"/>
      <c r="BQ48" s="621"/>
      <c r="BR48" s="621"/>
    </row>
    <row r="49" spans="1:70" ht="15" customHeight="1">
      <c r="B49" s="655" t="s">
        <v>1889</v>
      </c>
      <c r="C49" s="656"/>
      <c r="D49" s="647">
        <f t="shared" si="9"/>
        <v>91700</v>
      </c>
      <c r="E49" s="1737">
        <v>1</v>
      </c>
      <c r="F49" s="1401">
        <v>1</v>
      </c>
      <c r="G49" s="648">
        <f t="shared" si="10"/>
        <v>1</v>
      </c>
      <c r="H49" s="647">
        <f t="shared" si="11"/>
        <v>91700</v>
      </c>
      <c r="I49" s="649">
        <f>SUMIF(建具の明細!B$5:B$51,建具!B49,建具の明細!K$5:K$51)</f>
        <v>0</v>
      </c>
      <c r="J49" s="650">
        <f t="shared" si="12"/>
        <v>0</v>
      </c>
      <c r="K49" s="651">
        <v>91704</v>
      </c>
      <c r="L49" s="658"/>
      <c r="M49" s="659"/>
      <c r="N49" s="626" t="b">
        <f t="shared" si="13"/>
        <v>0</v>
      </c>
      <c r="O49" s="626"/>
      <c r="P49" s="626"/>
      <c r="Q49" s="626"/>
      <c r="R49" s="1418" t="s">
        <v>2285</v>
      </c>
      <c r="T49" s="616"/>
      <c r="U49" s="616"/>
      <c r="V49" s="616"/>
      <c r="W49" s="621"/>
      <c r="Y49" s="621"/>
      <c r="AA49" s="616"/>
      <c r="AC49" s="621"/>
      <c r="AF49" s="616"/>
      <c r="AH49" s="621"/>
      <c r="AK49" s="616"/>
      <c r="AM49" s="621"/>
      <c r="AO49" s="616"/>
      <c r="AQ49" s="621"/>
      <c r="AS49" s="616"/>
      <c r="AU49" s="621"/>
      <c r="BB49" s="616"/>
      <c r="BD49" s="621"/>
      <c r="BF49" s="616"/>
      <c r="BH49" s="621"/>
      <c r="BK49" s="616"/>
      <c r="BM49" s="621"/>
      <c r="BN49" s="616"/>
      <c r="BO49" s="616"/>
      <c r="BQ49" s="621"/>
      <c r="BR49" s="621"/>
    </row>
    <row r="50" spans="1:70" ht="15" customHeight="1">
      <c r="B50" s="655" t="s">
        <v>1890</v>
      </c>
      <c r="C50" s="656"/>
      <c r="D50" s="647">
        <f t="shared" si="9"/>
        <v>90630</v>
      </c>
      <c r="E50" s="1737">
        <v>1</v>
      </c>
      <c r="F50" s="1401">
        <v>1</v>
      </c>
      <c r="G50" s="648">
        <f t="shared" si="10"/>
        <v>1</v>
      </c>
      <c r="H50" s="647">
        <f t="shared" si="11"/>
        <v>90630</v>
      </c>
      <c r="I50" s="649">
        <f>SUMIF(建具の明細!B$5:B$51,建具!B50,建具の明細!K$5:K$51)</f>
        <v>0</v>
      </c>
      <c r="J50" s="650">
        <f t="shared" si="12"/>
        <v>0</v>
      </c>
      <c r="K50" s="651">
        <v>90631</v>
      </c>
      <c r="L50" s="658"/>
      <c r="M50" s="659"/>
      <c r="N50" s="626" t="b">
        <f t="shared" si="13"/>
        <v>0</v>
      </c>
      <c r="O50" s="626"/>
      <c r="P50" s="626"/>
      <c r="Q50" s="626"/>
      <c r="R50" s="1418" t="s">
        <v>1638</v>
      </c>
      <c r="T50" s="616"/>
      <c r="U50" s="616"/>
      <c r="V50" s="616"/>
      <c r="W50" s="621"/>
      <c r="Y50" s="621"/>
      <c r="AA50" s="616"/>
      <c r="AC50" s="621"/>
      <c r="AF50" s="616"/>
      <c r="AH50" s="621"/>
      <c r="AK50" s="616"/>
      <c r="AM50" s="621"/>
      <c r="AO50" s="616"/>
      <c r="AQ50" s="621"/>
      <c r="AS50" s="616"/>
      <c r="AU50" s="621"/>
      <c r="BB50" s="616"/>
      <c r="BD50" s="621"/>
      <c r="BF50" s="616"/>
      <c r="BH50" s="621"/>
      <c r="BK50" s="616"/>
      <c r="BM50" s="621"/>
      <c r="BN50" s="616"/>
      <c r="BO50" s="616"/>
      <c r="BQ50" s="621"/>
      <c r="BR50" s="621"/>
    </row>
    <row r="51" spans="1:70" ht="15" customHeight="1">
      <c r="B51" s="655" t="s">
        <v>1891</v>
      </c>
      <c r="C51" s="656"/>
      <c r="D51" s="647">
        <f t="shared" si="9"/>
        <v>74160</v>
      </c>
      <c r="E51" s="1737">
        <v>1</v>
      </c>
      <c r="F51" s="1401">
        <v>1</v>
      </c>
      <c r="G51" s="648">
        <f t="shared" si="10"/>
        <v>1</v>
      </c>
      <c r="H51" s="647">
        <f t="shared" si="11"/>
        <v>74160</v>
      </c>
      <c r="I51" s="649">
        <f>SUMIF(建具の明細!B$5:B$51,建具!B51,建具の明細!K$5:K$51)</f>
        <v>0</v>
      </c>
      <c r="J51" s="650">
        <f t="shared" si="12"/>
        <v>0</v>
      </c>
      <c r="K51" s="651">
        <v>74168</v>
      </c>
      <c r="L51" s="658"/>
      <c r="M51" s="659"/>
      <c r="N51" s="626" t="b">
        <f t="shared" si="13"/>
        <v>0</v>
      </c>
      <c r="O51" s="626"/>
      <c r="P51" s="626"/>
      <c r="Q51" s="626"/>
      <c r="R51" s="1418" t="s">
        <v>1639</v>
      </c>
      <c r="T51" s="616"/>
      <c r="U51" s="616"/>
      <c r="V51" s="616"/>
      <c r="W51" s="621"/>
      <c r="Y51" s="621"/>
      <c r="AA51" s="616"/>
      <c r="AC51" s="621"/>
      <c r="AF51" s="616"/>
      <c r="AH51" s="621"/>
      <c r="AK51" s="616"/>
      <c r="AM51" s="621"/>
      <c r="AO51" s="616"/>
      <c r="AQ51" s="621"/>
      <c r="AS51" s="616"/>
      <c r="AU51" s="621"/>
      <c r="BB51" s="616"/>
      <c r="BD51" s="621"/>
      <c r="BF51" s="616"/>
      <c r="BH51" s="621"/>
      <c r="BK51" s="616"/>
      <c r="BM51" s="621"/>
      <c r="BN51" s="616"/>
      <c r="BO51" s="616"/>
      <c r="BQ51" s="621"/>
      <c r="BR51" s="621"/>
    </row>
    <row r="52" spans="1:70" ht="15" customHeight="1">
      <c r="B52" s="655" t="s">
        <v>1892</v>
      </c>
      <c r="C52" s="656"/>
      <c r="D52" s="647">
        <f t="shared" si="9"/>
        <v>77630</v>
      </c>
      <c r="E52" s="1737">
        <v>1</v>
      </c>
      <c r="F52" s="1401">
        <v>1</v>
      </c>
      <c r="G52" s="648">
        <f t="shared" si="10"/>
        <v>1</v>
      </c>
      <c r="H52" s="647">
        <f t="shared" si="11"/>
        <v>77630</v>
      </c>
      <c r="I52" s="649">
        <f>SUMIF(建具の明細!B$5:B$51,建具!B52,建具の明細!K$5:K$51)</f>
        <v>0</v>
      </c>
      <c r="J52" s="650">
        <f t="shared" si="12"/>
        <v>0</v>
      </c>
      <c r="K52" s="651">
        <v>77633</v>
      </c>
      <c r="L52" s="658"/>
      <c r="M52" s="659"/>
      <c r="N52" s="626" t="b">
        <f t="shared" si="13"/>
        <v>0</v>
      </c>
      <c r="O52" s="626"/>
      <c r="P52" s="626"/>
      <c r="Q52" s="626"/>
      <c r="R52" s="1418" t="s">
        <v>1538</v>
      </c>
      <c r="T52" s="616"/>
      <c r="U52" s="616"/>
      <c r="V52" s="616"/>
      <c r="W52" s="621"/>
      <c r="Y52" s="621"/>
      <c r="AA52" s="616"/>
      <c r="AC52" s="621"/>
      <c r="AF52" s="616"/>
      <c r="AH52" s="621"/>
      <c r="AK52" s="616"/>
      <c r="AM52" s="621"/>
      <c r="AO52" s="616"/>
      <c r="AQ52" s="621"/>
      <c r="AS52" s="616"/>
      <c r="AU52" s="621"/>
      <c r="BB52" s="616"/>
      <c r="BD52" s="621"/>
      <c r="BF52" s="616"/>
      <c r="BH52" s="621"/>
      <c r="BK52" s="616"/>
      <c r="BM52" s="621"/>
      <c r="BN52" s="616"/>
      <c r="BO52" s="616"/>
      <c r="BQ52" s="621"/>
      <c r="BR52" s="621"/>
    </row>
    <row r="53" spans="1:70" ht="15" customHeight="1">
      <c r="A53" s="616">
        <f>ROW()</f>
        <v>53</v>
      </c>
      <c r="B53" s="655" t="s">
        <v>1253</v>
      </c>
      <c r="C53" s="656"/>
      <c r="D53" s="647"/>
      <c r="E53" s="1401"/>
      <c r="F53" s="1401"/>
      <c r="G53" s="648"/>
      <c r="H53" s="647"/>
      <c r="I53" s="649"/>
      <c r="J53" s="650"/>
      <c r="K53" s="651"/>
      <c r="L53" s="658"/>
      <c r="M53" s="659"/>
      <c r="N53" s="626" t="b">
        <f t="shared" si="13"/>
        <v>0</v>
      </c>
      <c r="O53" s="626"/>
      <c r="P53" s="626"/>
      <c r="Q53" s="626"/>
      <c r="R53" s="3409" t="s">
        <v>1660</v>
      </c>
      <c r="T53" s="616"/>
      <c r="U53" s="616"/>
      <c r="V53" s="616"/>
      <c r="W53" s="621"/>
      <c r="Y53" s="621"/>
      <c r="AA53" s="616"/>
      <c r="AC53" s="621"/>
      <c r="AF53" s="616"/>
      <c r="AH53" s="621"/>
      <c r="AK53" s="616"/>
      <c r="AM53" s="621"/>
      <c r="AO53" s="616"/>
      <c r="AQ53" s="621"/>
      <c r="AS53" s="616"/>
      <c r="AU53" s="621"/>
      <c r="BB53" s="616"/>
      <c r="BD53" s="621"/>
      <c r="BF53" s="616"/>
      <c r="BH53" s="621"/>
      <c r="BK53" s="616"/>
      <c r="BM53" s="621"/>
      <c r="BN53" s="616"/>
      <c r="BO53" s="616"/>
      <c r="BQ53" s="621"/>
      <c r="BR53" s="621"/>
    </row>
    <row r="54" spans="1:70" ht="15" customHeight="1">
      <c r="B54" s="655" t="s">
        <v>1228</v>
      </c>
      <c r="C54" s="656"/>
      <c r="D54" s="647">
        <f t="shared" ref="D54:D65" si="14">ROUNDDOWN(K54,-1)</f>
        <v>14400</v>
      </c>
      <c r="E54" s="1737">
        <v>1</v>
      </c>
      <c r="F54" s="1401">
        <v>1</v>
      </c>
      <c r="G54" s="648">
        <f t="shared" ref="G54:G65" si="15">+ROUNDDOWN(E54*F54,2)</f>
        <v>1</v>
      </c>
      <c r="H54" s="647">
        <f t="shared" ref="H54:H65" si="16">INT(D54*G54)</f>
        <v>14400</v>
      </c>
      <c r="I54" s="649">
        <f>SUMIF(建具の明細!B$5:B$51,建具!B54,建具の明細!K$5:K$51)</f>
        <v>0</v>
      </c>
      <c r="J54" s="650">
        <f t="shared" ref="J54:J65" si="17">INT(I54*H54)</f>
        <v>0</v>
      </c>
      <c r="K54" s="651">
        <v>14404</v>
      </c>
      <c r="L54" s="658"/>
      <c r="M54" s="659"/>
      <c r="N54" s="626" t="b">
        <f t="shared" ref="N54:N65" si="18">I54&lt;&gt;0</f>
        <v>0</v>
      </c>
      <c r="O54" s="1823"/>
      <c r="P54" s="626"/>
      <c r="Q54" s="626"/>
      <c r="R54" s="3409"/>
      <c r="T54" s="616"/>
      <c r="U54" s="616"/>
      <c r="V54" s="616"/>
      <c r="W54" s="621"/>
      <c r="Y54" s="621"/>
      <c r="AA54" s="616"/>
      <c r="AC54" s="621"/>
      <c r="AF54" s="616"/>
      <c r="AH54" s="621"/>
      <c r="AK54" s="616"/>
      <c r="AM54" s="621"/>
      <c r="AO54" s="616"/>
      <c r="AQ54" s="621"/>
      <c r="AS54" s="616"/>
      <c r="AU54" s="621"/>
      <c r="BB54" s="616"/>
      <c r="BD54" s="621"/>
      <c r="BF54" s="616"/>
      <c r="BH54" s="621"/>
      <c r="BK54" s="616"/>
      <c r="BM54" s="621"/>
      <c r="BN54" s="616"/>
      <c r="BO54" s="616"/>
      <c r="BQ54" s="621"/>
      <c r="BR54" s="621"/>
    </row>
    <row r="55" spans="1:70" ht="15" customHeight="1">
      <c r="B55" s="655" t="s">
        <v>1229</v>
      </c>
      <c r="C55" s="656"/>
      <c r="D55" s="647">
        <f t="shared" si="14"/>
        <v>28140</v>
      </c>
      <c r="E55" s="1737">
        <v>1</v>
      </c>
      <c r="F55" s="1401">
        <v>1</v>
      </c>
      <c r="G55" s="648">
        <f t="shared" si="15"/>
        <v>1</v>
      </c>
      <c r="H55" s="647">
        <f t="shared" si="16"/>
        <v>28140</v>
      </c>
      <c r="I55" s="649">
        <f>SUMIF(建具の明細!B$5:B$51,建具!B55,建具の明細!K$5:K$51)</f>
        <v>0</v>
      </c>
      <c r="J55" s="650">
        <f t="shared" si="17"/>
        <v>0</v>
      </c>
      <c r="K55" s="651">
        <v>28142</v>
      </c>
      <c r="L55" s="658"/>
      <c r="M55" s="659"/>
      <c r="N55" s="626" t="b">
        <f t="shared" si="18"/>
        <v>0</v>
      </c>
      <c r="O55" s="1822"/>
      <c r="P55" s="626"/>
      <c r="Q55" s="626"/>
      <c r="R55" s="3409"/>
      <c r="T55" s="616"/>
      <c r="U55" s="616"/>
      <c r="V55" s="616"/>
      <c r="W55" s="621"/>
      <c r="Y55" s="621"/>
      <c r="AA55" s="616"/>
      <c r="AC55" s="621"/>
      <c r="AF55" s="616"/>
      <c r="AH55" s="621"/>
      <c r="AK55" s="616"/>
      <c r="AM55" s="621"/>
      <c r="AO55" s="616"/>
      <c r="AQ55" s="621"/>
      <c r="AS55" s="616"/>
      <c r="AU55" s="621"/>
      <c r="BB55" s="616"/>
      <c r="BD55" s="621"/>
      <c r="BF55" s="616"/>
      <c r="BH55" s="621"/>
      <c r="BK55" s="616"/>
      <c r="BM55" s="621"/>
      <c r="BN55" s="616"/>
      <c r="BO55" s="616"/>
      <c r="BQ55" s="621"/>
      <c r="BR55" s="621"/>
    </row>
    <row r="56" spans="1:70" ht="15" customHeight="1">
      <c r="B56" s="655" t="s">
        <v>1230</v>
      </c>
      <c r="C56" s="656"/>
      <c r="D56" s="647">
        <f t="shared" si="14"/>
        <v>19910</v>
      </c>
      <c r="E56" s="1737">
        <v>1</v>
      </c>
      <c r="F56" s="1401">
        <v>1</v>
      </c>
      <c r="G56" s="648">
        <f t="shared" si="15"/>
        <v>1</v>
      </c>
      <c r="H56" s="647">
        <f t="shared" si="16"/>
        <v>19910</v>
      </c>
      <c r="I56" s="649">
        <f>SUMIF(建具の明細!B$5:B$51,建具!B56,建具の明細!K$5:K$51)</f>
        <v>0</v>
      </c>
      <c r="J56" s="650">
        <f t="shared" si="17"/>
        <v>0</v>
      </c>
      <c r="K56" s="651">
        <v>19919</v>
      </c>
      <c r="L56" s="658"/>
      <c r="M56" s="659"/>
      <c r="N56" s="626" t="b">
        <f t="shared" si="18"/>
        <v>0</v>
      </c>
      <c r="O56" s="1822"/>
      <c r="P56" s="626"/>
      <c r="Q56" s="626"/>
      <c r="R56" s="3409"/>
      <c r="T56" s="616"/>
      <c r="U56" s="616"/>
      <c r="V56" s="616"/>
      <c r="W56" s="621"/>
      <c r="Y56" s="621"/>
      <c r="AA56" s="616"/>
      <c r="AC56" s="621"/>
      <c r="AF56" s="616"/>
      <c r="AH56" s="621"/>
      <c r="AK56" s="616"/>
      <c r="AM56" s="621"/>
      <c r="AO56" s="616"/>
      <c r="AQ56" s="621"/>
      <c r="AS56" s="616"/>
      <c r="AU56" s="621"/>
      <c r="BB56" s="616"/>
      <c r="BD56" s="621"/>
      <c r="BF56" s="616"/>
      <c r="BH56" s="621"/>
      <c r="BK56" s="616"/>
      <c r="BM56" s="621"/>
      <c r="BN56" s="616"/>
      <c r="BO56" s="616"/>
      <c r="BQ56" s="621"/>
      <c r="BR56" s="621"/>
    </row>
    <row r="57" spans="1:70" ht="15" customHeight="1">
      <c r="B57" s="655" t="s">
        <v>1231</v>
      </c>
      <c r="C57" s="656"/>
      <c r="D57" s="647">
        <f t="shared" si="14"/>
        <v>26760</v>
      </c>
      <c r="E57" s="1737">
        <v>1</v>
      </c>
      <c r="F57" s="1401">
        <v>1</v>
      </c>
      <c r="G57" s="648">
        <f t="shared" si="15"/>
        <v>1</v>
      </c>
      <c r="H57" s="647">
        <f t="shared" si="16"/>
        <v>26760</v>
      </c>
      <c r="I57" s="649">
        <f>SUMIF(建具の明細!B$5:B$51,建具!B57,建具の明細!K$5:K$51)</f>
        <v>0</v>
      </c>
      <c r="J57" s="650">
        <f t="shared" si="17"/>
        <v>0</v>
      </c>
      <c r="K57" s="651">
        <v>26761</v>
      </c>
      <c r="L57" s="658"/>
      <c r="M57" s="659"/>
      <c r="N57" s="626" t="b">
        <f t="shared" si="18"/>
        <v>0</v>
      </c>
      <c r="O57" s="1822"/>
      <c r="P57" s="626"/>
      <c r="Q57" s="626"/>
      <c r="R57" s="3409"/>
      <c r="T57" s="616"/>
      <c r="U57" s="616"/>
      <c r="V57" s="616"/>
      <c r="W57" s="621"/>
      <c r="Y57" s="621"/>
      <c r="AA57" s="616"/>
      <c r="AC57" s="621"/>
      <c r="AF57" s="616"/>
      <c r="AH57" s="621"/>
      <c r="AK57" s="616"/>
      <c r="AM57" s="621"/>
      <c r="AO57" s="616"/>
      <c r="AQ57" s="621"/>
      <c r="AS57" s="616"/>
      <c r="AU57" s="621"/>
      <c r="BB57" s="616"/>
      <c r="BD57" s="621"/>
      <c r="BF57" s="616"/>
      <c r="BH57" s="621"/>
      <c r="BK57" s="616"/>
      <c r="BM57" s="621"/>
      <c r="BN57" s="616"/>
      <c r="BO57" s="616"/>
      <c r="BQ57" s="621"/>
      <c r="BR57" s="621"/>
    </row>
    <row r="58" spans="1:70" ht="15" customHeight="1">
      <c r="B58" s="655" t="s">
        <v>1232</v>
      </c>
      <c r="C58" s="656"/>
      <c r="D58" s="647">
        <f t="shared" si="14"/>
        <v>23710</v>
      </c>
      <c r="E58" s="1737">
        <v>1</v>
      </c>
      <c r="F58" s="1401">
        <v>1</v>
      </c>
      <c r="G58" s="648">
        <f t="shared" si="15"/>
        <v>1</v>
      </c>
      <c r="H58" s="647">
        <f t="shared" si="16"/>
        <v>23710</v>
      </c>
      <c r="I58" s="649">
        <f>SUMIF(建具の明細!B$5:B$51,建具!B58,建具の明細!K$5:K$51)</f>
        <v>0</v>
      </c>
      <c r="J58" s="650">
        <f t="shared" si="17"/>
        <v>0</v>
      </c>
      <c r="K58" s="651">
        <v>23711</v>
      </c>
      <c r="L58" s="658"/>
      <c r="M58" s="659"/>
      <c r="N58" s="626" t="b">
        <f t="shared" si="18"/>
        <v>0</v>
      </c>
      <c r="O58" s="1822"/>
      <c r="P58" s="626"/>
      <c r="Q58" s="626"/>
      <c r="R58" s="3409"/>
      <c r="T58" s="616"/>
      <c r="U58" s="616"/>
      <c r="V58" s="616"/>
      <c r="W58" s="621"/>
      <c r="Y58" s="621"/>
      <c r="AA58" s="616"/>
      <c r="AC58" s="621"/>
      <c r="AF58" s="616"/>
      <c r="AH58" s="621"/>
      <c r="AK58" s="616"/>
      <c r="AM58" s="621"/>
      <c r="AO58" s="616"/>
      <c r="AQ58" s="621"/>
      <c r="AS58" s="616"/>
      <c r="AU58" s="621"/>
      <c r="BB58" s="616"/>
      <c r="BD58" s="621"/>
      <c r="BF58" s="616"/>
      <c r="BH58" s="621"/>
      <c r="BK58" s="616"/>
      <c r="BM58" s="621"/>
      <c r="BN58" s="616"/>
      <c r="BO58" s="616"/>
      <c r="BQ58" s="621"/>
      <c r="BR58" s="621"/>
    </row>
    <row r="59" spans="1:70" ht="15" customHeight="1">
      <c r="B59" s="655" t="s">
        <v>1233</v>
      </c>
      <c r="C59" s="656"/>
      <c r="D59" s="647">
        <f t="shared" si="14"/>
        <v>19130</v>
      </c>
      <c r="E59" s="1737">
        <v>1</v>
      </c>
      <c r="F59" s="1401">
        <v>1</v>
      </c>
      <c r="G59" s="648">
        <f t="shared" si="15"/>
        <v>1</v>
      </c>
      <c r="H59" s="647">
        <f t="shared" si="16"/>
        <v>19130</v>
      </c>
      <c r="I59" s="649">
        <f>SUMIF(建具の明細!B$5:B$51,建具!B59,建具の明細!K$5:K$51)</f>
        <v>0</v>
      </c>
      <c r="J59" s="650">
        <f t="shared" si="17"/>
        <v>0</v>
      </c>
      <c r="K59" s="651">
        <v>19135</v>
      </c>
      <c r="L59" s="658"/>
      <c r="M59" s="659"/>
      <c r="N59" s="626" t="b">
        <f t="shared" si="18"/>
        <v>0</v>
      </c>
      <c r="O59" s="626"/>
      <c r="P59" s="626"/>
      <c r="Q59" s="626"/>
      <c r="R59" s="1821"/>
      <c r="T59" s="616"/>
      <c r="U59" s="616"/>
      <c r="V59" s="616"/>
      <c r="W59" s="621"/>
      <c r="Y59" s="621"/>
      <c r="AA59" s="616"/>
      <c r="AC59" s="621"/>
      <c r="AF59" s="616"/>
      <c r="AH59" s="621"/>
      <c r="AK59" s="616"/>
      <c r="AM59" s="621"/>
      <c r="AO59" s="616"/>
      <c r="AQ59" s="621"/>
      <c r="AS59" s="616"/>
      <c r="AU59" s="621"/>
      <c r="BB59" s="616"/>
      <c r="BD59" s="621"/>
      <c r="BF59" s="616"/>
      <c r="BH59" s="621"/>
      <c r="BK59" s="616"/>
      <c r="BM59" s="621"/>
      <c r="BN59" s="616"/>
      <c r="BO59" s="616"/>
      <c r="BQ59" s="621"/>
      <c r="BR59" s="621"/>
    </row>
    <row r="60" spans="1:70" ht="15" customHeight="1">
      <c r="B60" s="655" t="s">
        <v>1234</v>
      </c>
      <c r="C60" s="656"/>
      <c r="D60" s="647">
        <f t="shared" si="14"/>
        <v>91980</v>
      </c>
      <c r="E60" s="1737">
        <v>1</v>
      </c>
      <c r="F60" s="1401">
        <v>1</v>
      </c>
      <c r="G60" s="648">
        <f t="shared" si="15"/>
        <v>1</v>
      </c>
      <c r="H60" s="647">
        <f t="shared" si="16"/>
        <v>91980</v>
      </c>
      <c r="I60" s="649">
        <f>SUMIF(建具の明細!B$5:B$51,建具!B60,建具の明細!K$5:K$51)</f>
        <v>0</v>
      </c>
      <c r="J60" s="650">
        <f t="shared" si="17"/>
        <v>0</v>
      </c>
      <c r="K60" s="651">
        <v>91983</v>
      </c>
      <c r="L60" s="658"/>
      <c r="M60" s="659"/>
      <c r="N60" s="626" t="b">
        <f t="shared" si="18"/>
        <v>0</v>
      </c>
      <c r="O60" s="626"/>
      <c r="P60" s="626"/>
      <c r="Q60" s="626"/>
      <c r="R60" s="1821"/>
      <c r="T60" s="616"/>
      <c r="U60" s="616"/>
      <c r="V60" s="616"/>
      <c r="W60" s="621"/>
      <c r="Y60" s="621"/>
      <c r="AA60" s="616"/>
      <c r="AC60" s="621"/>
      <c r="AF60" s="616"/>
      <c r="AH60" s="621"/>
      <c r="AK60" s="616"/>
      <c r="AM60" s="621"/>
      <c r="AO60" s="616"/>
      <c r="AQ60" s="621"/>
      <c r="AS60" s="616"/>
      <c r="AU60" s="621"/>
      <c r="BB60" s="616"/>
      <c r="BD60" s="621"/>
      <c r="BF60" s="616"/>
      <c r="BH60" s="621"/>
      <c r="BK60" s="616"/>
      <c r="BM60" s="621"/>
      <c r="BN60" s="616"/>
      <c r="BO60" s="616"/>
      <c r="BQ60" s="621"/>
      <c r="BR60" s="621"/>
    </row>
    <row r="61" spans="1:70" ht="15" customHeight="1">
      <c r="A61" s="616">
        <f>+ROW()</f>
        <v>61</v>
      </c>
      <c r="B61" s="655" t="s">
        <v>1254</v>
      </c>
      <c r="C61" s="656"/>
      <c r="D61" s="647"/>
      <c r="E61" s="1401"/>
      <c r="F61" s="1401"/>
      <c r="G61" s="648"/>
      <c r="H61" s="647"/>
      <c r="I61" s="649"/>
      <c r="J61" s="650"/>
      <c r="K61" s="2076"/>
      <c r="L61" s="658"/>
      <c r="M61" s="659"/>
      <c r="N61" s="626" t="b">
        <f>I61&lt;&gt;0</f>
        <v>0</v>
      </c>
      <c r="O61" s="626"/>
      <c r="P61" s="626"/>
      <c r="Q61" s="626"/>
      <c r="R61" s="1418"/>
      <c r="T61" s="616"/>
      <c r="U61" s="616"/>
      <c r="V61" s="616"/>
      <c r="W61" s="621"/>
      <c r="Y61" s="621"/>
      <c r="AA61" s="616"/>
      <c r="AC61" s="621"/>
      <c r="AF61" s="616"/>
      <c r="AH61" s="621"/>
      <c r="AK61" s="616"/>
      <c r="AM61" s="621"/>
      <c r="AO61" s="616"/>
      <c r="AQ61" s="621"/>
      <c r="AS61" s="616"/>
      <c r="AU61" s="621"/>
      <c r="BB61" s="616"/>
      <c r="BD61" s="621"/>
      <c r="BF61" s="616"/>
      <c r="BH61" s="621"/>
      <c r="BK61" s="616"/>
      <c r="BM61" s="621"/>
      <c r="BN61" s="616"/>
      <c r="BO61" s="616"/>
      <c r="BQ61" s="621"/>
      <c r="BR61" s="621"/>
    </row>
    <row r="62" spans="1:70" ht="15" customHeight="1">
      <c r="B62" s="655" t="s">
        <v>1235</v>
      </c>
      <c r="C62" s="656"/>
      <c r="D62" s="647">
        <f t="shared" si="14"/>
        <v>148140</v>
      </c>
      <c r="E62" s="1737">
        <v>1</v>
      </c>
      <c r="F62" s="1401">
        <v>1</v>
      </c>
      <c r="G62" s="648">
        <f t="shared" si="15"/>
        <v>1</v>
      </c>
      <c r="H62" s="647">
        <f t="shared" si="16"/>
        <v>148140</v>
      </c>
      <c r="I62" s="649">
        <f>SUMIF(建具の明細!B$5:B$51,建具!B62,建具の明細!K$5:K$51)</f>
        <v>0</v>
      </c>
      <c r="J62" s="650">
        <f t="shared" si="17"/>
        <v>0</v>
      </c>
      <c r="K62" s="651">
        <v>148140</v>
      </c>
      <c r="L62" s="658"/>
      <c r="M62" s="659"/>
      <c r="N62" s="626" t="b">
        <f t="shared" si="18"/>
        <v>0</v>
      </c>
      <c r="O62" s="626"/>
      <c r="P62" s="626"/>
      <c r="Q62" s="626"/>
      <c r="R62" s="1418" t="s">
        <v>1645</v>
      </c>
      <c r="T62" s="616"/>
      <c r="U62" s="616"/>
      <c r="V62" s="616"/>
      <c r="W62" s="621"/>
      <c r="Y62" s="621"/>
      <c r="AA62" s="616"/>
      <c r="AC62" s="621"/>
      <c r="AF62" s="616"/>
      <c r="AH62" s="621"/>
      <c r="AK62" s="616"/>
      <c r="AM62" s="621"/>
      <c r="AO62" s="616"/>
      <c r="AQ62" s="621"/>
      <c r="AS62" s="616"/>
      <c r="AU62" s="621"/>
      <c r="BB62" s="616"/>
      <c r="BD62" s="621"/>
      <c r="BF62" s="616"/>
      <c r="BH62" s="621"/>
      <c r="BK62" s="616"/>
      <c r="BM62" s="621"/>
      <c r="BN62" s="616"/>
      <c r="BO62" s="616"/>
      <c r="BQ62" s="621"/>
      <c r="BR62" s="621"/>
    </row>
    <row r="63" spans="1:70" ht="15" customHeight="1">
      <c r="B63" s="655" t="s">
        <v>1236</v>
      </c>
      <c r="C63" s="656"/>
      <c r="D63" s="647">
        <f t="shared" si="14"/>
        <v>59360</v>
      </c>
      <c r="E63" s="1737">
        <v>1</v>
      </c>
      <c r="F63" s="1401">
        <v>1</v>
      </c>
      <c r="G63" s="648">
        <f t="shared" si="15"/>
        <v>1</v>
      </c>
      <c r="H63" s="647">
        <f t="shared" si="16"/>
        <v>59360</v>
      </c>
      <c r="I63" s="649">
        <f>SUMIF(建具の明細!B$5:B$51,建具!B63,建具の明細!K$5:K$51)</f>
        <v>0</v>
      </c>
      <c r="J63" s="650">
        <f t="shared" si="17"/>
        <v>0</v>
      </c>
      <c r="K63" s="651">
        <v>59361</v>
      </c>
      <c r="L63" s="658"/>
      <c r="M63" s="659"/>
      <c r="N63" s="626" t="b">
        <f t="shared" si="18"/>
        <v>0</v>
      </c>
      <c r="O63" s="626"/>
      <c r="P63" s="626"/>
      <c r="Q63" s="626"/>
      <c r="R63" s="1418" t="s">
        <v>1646</v>
      </c>
      <c r="T63" s="616"/>
      <c r="U63" s="616"/>
      <c r="V63" s="616"/>
      <c r="W63" s="621"/>
      <c r="Y63" s="621"/>
      <c r="AA63" s="616"/>
      <c r="AC63" s="621"/>
      <c r="AF63" s="616"/>
      <c r="AH63" s="621"/>
      <c r="AK63" s="616"/>
      <c r="AM63" s="621"/>
      <c r="AO63" s="616"/>
      <c r="AQ63" s="621"/>
      <c r="AS63" s="616"/>
      <c r="AU63" s="621"/>
      <c r="BB63" s="616"/>
      <c r="BD63" s="621"/>
      <c r="BF63" s="616"/>
      <c r="BH63" s="621"/>
      <c r="BK63" s="616"/>
      <c r="BM63" s="621"/>
      <c r="BN63" s="616"/>
      <c r="BO63" s="616"/>
      <c r="BQ63" s="621"/>
      <c r="BR63" s="621"/>
    </row>
    <row r="64" spans="1:70" ht="15" customHeight="1">
      <c r="B64" s="655" t="s">
        <v>1237</v>
      </c>
      <c r="C64" s="656"/>
      <c r="D64" s="647">
        <f t="shared" si="14"/>
        <v>36820</v>
      </c>
      <c r="E64" s="1737">
        <v>1</v>
      </c>
      <c r="F64" s="1401">
        <v>1</v>
      </c>
      <c r="G64" s="648">
        <f t="shared" si="15"/>
        <v>1</v>
      </c>
      <c r="H64" s="647">
        <f t="shared" si="16"/>
        <v>36820</v>
      </c>
      <c r="I64" s="649">
        <f>SUMIF(建具の明細!B$5:B$51,建具!B64,建具の明細!K$5:K$51)</f>
        <v>0</v>
      </c>
      <c r="J64" s="650">
        <f t="shared" si="17"/>
        <v>0</v>
      </c>
      <c r="K64" s="651">
        <v>36828</v>
      </c>
      <c r="L64" s="658"/>
      <c r="M64" s="659"/>
      <c r="N64" s="626" t="b">
        <f t="shared" si="18"/>
        <v>0</v>
      </c>
      <c r="O64" s="626"/>
      <c r="P64" s="626"/>
      <c r="Q64" s="626"/>
      <c r="R64" s="1418" t="s">
        <v>1647</v>
      </c>
      <c r="T64" s="616"/>
      <c r="U64" s="616"/>
      <c r="V64" s="616"/>
      <c r="W64" s="621"/>
      <c r="Y64" s="621"/>
      <c r="AA64" s="616"/>
      <c r="AC64" s="621"/>
      <c r="AF64" s="616"/>
      <c r="AH64" s="621"/>
      <c r="AK64" s="616"/>
      <c r="AM64" s="621"/>
      <c r="AO64" s="616"/>
      <c r="AQ64" s="621"/>
      <c r="AS64" s="616"/>
      <c r="AU64" s="621"/>
      <c r="BB64" s="616"/>
      <c r="BD64" s="621"/>
      <c r="BF64" s="616"/>
      <c r="BH64" s="621"/>
      <c r="BK64" s="616"/>
      <c r="BM64" s="621"/>
      <c r="BN64" s="616"/>
      <c r="BO64" s="616"/>
      <c r="BQ64" s="621"/>
      <c r="BR64" s="621"/>
    </row>
    <row r="65" spans="2:70" ht="15" customHeight="1">
      <c r="B65" s="655" t="s">
        <v>1238</v>
      </c>
      <c r="C65" s="656"/>
      <c r="D65" s="647">
        <f t="shared" si="14"/>
        <v>11000</v>
      </c>
      <c r="E65" s="1737">
        <v>1</v>
      </c>
      <c r="F65" s="1401">
        <v>1</v>
      </c>
      <c r="G65" s="648">
        <f t="shared" si="15"/>
        <v>1</v>
      </c>
      <c r="H65" s="647">
        <f t="shared" si="16"/>
        <v>11000</v>
      </c>
      <c r="I65" s="649">
        <f>SUMIF(建具の明細!B$5:B$51,建具!B65,建具の明細!K$5:K$51)</f>
        <v>0</v>
      </c>
      <c r="J65" s="650">
        <f t="shared" si="17"/>
        <v>0</v>
      </c>
      <c r="K65" s="651">
        <v>11000</v>
      </c>
      <c r="L65" s="658"/>
      <c r="M65" s="659"/>
      <c r="N65" s="626" t="b">
        <f t="shared" si="18"/>
        <v>0</v>
      </c>
      <c r="O65" s="626"/>
      <c r="P65" s="626"/>
      <c r="Q65" s="626"/>
      <c r="R65" s="1418" t="s">
        <v>1648</v>
      </c>
      <c r="T65" s="616"/>
      <c r="U65" s="616"/>
      <c r="V65" s="616"/>
      <c r="W65" s="621"/>
      <c r="Y65" s="621"/>
      <c r="AA65" s="616"/>
      <c r="AC65" s="621"/>
      <c r="AF65" s="616"/>
      <c r="AH65" s="621"/>
      <c r="AK65" s="616"/>
      <c r="AM65" s="621"/>
      <c r="AO65" s="616"/>
      <c r="AQ65" s="621"/>
      <c r="AS65" s="616"/>
      <c r="AU65" s="621"/>
      <c r="BB65" s="616"/>
      <c r="BD65" s="621"/>
      <c r="BF65" s="616"/>
      <c r="BH65" s="621"/>
      <c r="BK65" s="616"/>
      <c r="BM65" s="621"/>
      <c r="BN65" s="616"/>
      <c r="BO65" s="616"/>
      <c r="BQ65" s="621"/>
      <c r="BR65" s="621"/>
    </row>
    <row r="66" spans="2:70" ht="15" customHeight="1">
      <c r="B66" s="655" t="s">
        <v>1210</v>
      </c>
      <c r="C66" s="656"/>
      <c r="D66" s="647">
        <f t="shared" si="9"/>
        <v>23430</v>
      </c>
      <c r="E66" s="1737">
        <v>1</v>
      </c>
      <c r="F66" s="1401">
        <v>1</v>
      </c>
      <c r="G66" s="648">
        <f t="shared" si="10"/>
        <v>1</v>
      </c>
      <c r="H66" s="647">
        <f t="shared" si="11"/>
        <v>23430</v>
      </c>
      <c r="I66" s="649">
        <f>SUMIF(建具の明細!B$5:B$51,建具!B66,建具の明細!K$5:K$51)</f>
        <v>0</v>
      </c>
      <c r="J66" s="650">
        <f t="shared" si="12"/>
        <v>0</v>
      </c>
      <c r="K66" s="651">
        <v>23439</v>
      </c>
      <c r="L66" s="658"/>
      <c r="M66" s="659"/>
      <c r="N66" s="626" t="b">
        <f t="shared" si="13"/>
        <v>0</v>
      </c>
      <c r="O66" s="626"/>
      <c r="P66" s="626"/>
      <c r="Q66" s="626"/>
      <c r="R66" s="1418" t="s">
        <v>1632</v>
      </c>
      <c r="T66" s="616"/>
      <c r="U66" s="616"/>
      <c r="V66" s="616"/>
      <c r="W66" s="621"/>
      <c r="Y66" s="621"/>
      <c r="AA66" s="616"/>
      <c r="AC66" s="621"/>
      <c r="AF66" s="616"/>
      <c r="AH66" s="621"/>
      <c r="AK66" s="616"/>
      <c r="AM66" s="621"/>
      <c r="AO66" s="616"/>
      <c r="AQ66" s="621"/>
      <c r="AS66" s="616"/>
      <c r="AU66" s="621"/>
      <c r="BB66" s="616"/>
      <c r="BD66" s="621"/>
      <c r="BF66" s="616"/>
      <c r="BH66" s="621"/>
      <c r="BK66" s="616"/>
      <c r="BM66" s="621"/>
      <c r="BN66" s="616"/>
      <c r="BO66" s="616"/>
      <c r="BQ66" s="621"/>
      <c r="BR66" s="621"/>
    </row>
    <row r="67" spans="2:70" ht="15" customHeight="1">
      <c r="B67" s="655" t="s">
        <v>1211</v>
      </c>
      <c r="C67" s="656"/>
      <c r="D67" s="647">
        <f t="shared" si="9"/>
        <v>12850</v>
      </c>
      <c r="E67" s="1737">
        <v>1</v>
      </c>
      <c r="F67" s="1401">
        <v>1</v>
      </c>
      <c r="G67" s="648">
        <f t="shared" si="10"/>
        <v>1</v>
      </c>
      <c r="H67" s="647">
        <f t="shared" si="11"/>
        <v>12850</v>
      </c>
      <c r="I67" s="649">
        <f>SUMIF(建具の明細!B$5:B$51,建具!B67,建具の明細!K$5:K$51)</f>
        <v>0</v>
      </c>
      <c r="J67" s="650">
        <f t="shared" si="12"/>
        <v>0</v>
      </c>
      <c r="K67" s="651">
        <v>12853</v>
      </c>
      <c r="L67" s="658"/>
      <c r="M67" s="659"/>
      <c r="N67" s="626" t="b">
        <f t="shared" si="13"/>
        <v>0</v>
      </c>
      <c r="O67" s="626"/>
      <c r="P67" s="626"/>
      <c r="Q67" s="626"/>
      <c r="R67" s="1418" t="s">
        <v>1633</v>
      </c>
      <c r="T67" s="616"/>
      <c r="U67" s="616"/>
      <c r="V67" s="616"/>
      <c r="W67" s="621"/>
      <c r="Y67" s="621"/>
      <c r="AA67" s="616"/>
      <c r="AC67" s="621"/>
      <c r="AF67" s="616"/>
      <c r="AH67" s="621"/>
      <c r="AK67" s="616"/>
      <c r="AM67" s="621"/>
      <c r="AO67" s="616"/>
      <c r="AQ67" s="621"/>
      <c r="AS67" s="616"/>
      <c r="AU67" s="621"/>
      <c r="BB67" s="616"/>
      <c r="BD67" s="621"/>
      <c r="BF67" s="616"/>
      <c r="BH67" s="621"/>
      <c r="BK67" s="616"/>
      <c r="BM67" s="621"/>
      <c r="BN67" s="616"/>
      <c r="BO67" s="616"/>
      <c r="BQ67" s="621"/>
      <c r="BR67" s="621"/>
    </row>
    <row r="68" spans="2:70" ht="15" customHeight="1">
      <c r="B68" s="655" t="s">
        <v>1212</v>
      </c>
      <c r="C68" s="656"/>
      <c r="D68" s="647">
        <f t="shared" si="9"/>
        <v>28880</v>
      </c>
      <c r="E68" s="1737">
        <v>1</v>
      </c>
      <c r="F68" s="1401">
        <v>1</v>
      </c>
      <c r="G68" s="648">
        <f t="shared" si="10"/>
        <v>1</v>
      </c>
      <c r="H68" s="647">
        <f t="shared" si="11"/>
        <v>28880</v>
      </c>
      <c r="I68" s="649">
        <f>SUMIF(建具の明細!B$5:B$51,建具!B68,建具の明細!K$5:K$51)</f>
        <v>0</v>
      </c>
      <c r="J68" s="650">
        <f t="shared" si="12"/>
        <v>0</v>
      </c>
      <c r="K68" s="651">
        <v>28889</v>
      </c>
      <c r="L68" s="658"/>
      <c r="M68" s="659"/>
      <c r="N68" s="626" t="b">
        <f t="shared" si="13"/>
        <v>0</v>
      </c>
      <c r="O68" s="626"/>
      <c r="P68" s="626"/>
      <c r="Q68" s="626"/>
      <c r="R68" s="1418" t="s">
        <v>1256</v>
      </c>
      <c r="T68" s="616"/>
      <c r="U68" s="616"/>
      <c r="V68" s="616"/>
      <c r="W68" s="621"/>
      <c r="Y68" s="621"/>
      <c r="AA68" s="616"/>
      <c r="AC68" s="621"/>
      <c r="AF68" s="616"/>
      <c r="AH68" s="621"/>
      <c r="AK68" s="616"/>
      <c r="AM68" s="621"/>
      <c r="AO68" s="616"/>
      <c r="AQ68" s="621"/>
      <c r="AS68" s="616"/>
      <c r="AU68" s="621"/>
      <c r="BB68" s="616"/>
      <c r="BD68" s="621"/>
      <c r="BF68" s="616"/>
      <c r="BH68" s="621"/>
      <c r="BK68" s="616"/>
      <c r="BM68" s="621"/>
      <c r="BN68" s="616"/>
      <c r="BO68" s="616"/>
      <c r="BQ68" s="621"/>
      <c r="BR68" s="621"/>
    </row>
    <row r="69" spans="2:70" ht="15" customHeight="1">
      <c r="B69" s="655" t="s">
        <v>1213</v>
      </c>
      <c r="C69" s="656"/>
      <c r="D69" s="647">
        <f t="shared" si="9"/>
        <v>13970</v>
      </c>
      <c r="E69" s="1737">
        <v>1</v>
      </c>
      <c r="F69" s="1401">
        <v>1</v>
      </c>
      <c r="G69" s="648">
        <f t="shared" si="10"/>
        <v>1</v>
      </c>
      <c r="H69" s="647">
        <f t="shared" si="11"/>
        <v>13970</v>
      </c>
      <c r="I69" s="649">
        <f>SUMIF(建具の明細!B$5:B$51,建具!B69,建具の明細!K$5:K$51)</f>
        <v>0</v>
      </c>
      <c r="J69" s="650">
        <f t="shared" si="12"/>
        <v>0</v>
      </c>
      <c r="K69" s="651">
        <v>13972</v>
      </c>
      <c r="L69" s="658"/>
      <c r="M69" s="659"/>
      <c r="N69" s="626" t="b">
        <f t="shared" si="13"/>
        <v>0</v>
      </c>
      <c r="O69" s="626"/>
      <c r="P69" s="626"/>
      <c r="Q69" s="626"/>
      <c r="R69" s="1418" t="s">
        <v>1257</v>
      </c>
      <c r="T69" s="616"/>
      <c r="U69" s="616"/>
      <c r="V69" s="616"/>
      <c r="W69" s="621"/>
      <c r="Y69" s="621"/>
      <c r="AA69" s="616"/>
      <c r="AC69" s="621"/>
      <c r="AF69" s="616"/>
      <c r="AH69" s="621"/>
      <c r="AK69" s="616"/>
      <c r="AM69" s="621"/>
      <c r="AO69" s="616"/>
      <c r="AQ69" s="621"/>
      <c r="AS69" s="616"/>
      <c r="AU69" s="621"/>
      <c r="BB69" s="616"/>
      <c r="BD69" s="621"/>
      <c r="BF69" s="616"/>
      <c r="BH69" s="621"/>
      <c r="BK69" s="616"/>
      <c r="BM69" s="621"/>
      <c r="BN69" s="616"/>
      <c r="BO69" s="616"/>
      <c r="BQ69" s="621"/>
      <c r="BR69" s="621"/>
    </row>
    <row r="70" spans="2:70" ht="15" customHeight="1">
      <c r="B70" s="655" t="s">
        <v>1258</v>
      </c>
      <c r="C70" s="656"/>
      <c r="D70" s="647">
        <f t="shared" si="9"/>
        <v>35270</v>
      </c>
      <c r="E70" s="1737">
        <v>1</v>
      </c>
      <c r="F70" s="1401">
        <v>1</v>
      </c>
      <c r="G70" s="648">
        <f t="shared" si="10"/>
        <v>1</v>
      </c>
      <c r="H70" s="647">
        <f t="shared" si="11"/>
        <v>35270</v>
      </c>
      <c r="I70" s="649">
        <f>SUMIF(建具の明細!B$5:B$51,建具!B70,建具の明細!K$5:K$51)</f>
        <v>0</v>
      </c>
      <c r="J70" s="650">
        <f t="shared" si="12"/>
        <v>0</v>
      </c>
      <c r="K70" s="651">
        <v>35276</v>
      </c>
      <c r="L70" s="658"/>
      <c r="M70" s="659"/>
      <c r="N70" s="626" t="b">
        <f t="shared" si="13"/>
        <v>0</v>
      </c>
      <c r="O70" s="626"/>
      <c r="P70" s="626"/>
      <c r="Q70" s="626"/>
      <c r="R70" s="1418" t="s">
        <v>1246</v>
      </c>
      <c r="T70" s="616"/>
      <c r="U70" s="616"/>
      <c r="V70" s="616"/>
      <c r="W70" s="621"/>
      <c r="Y70" s="621"/>
      <c r="AA70" s="616"/>
      <c r="AC70" s="621"/>
      <c r="AF70" s="616"/>
      <c r="AH70" s="621"/>
      <c r="AK70" s="616"/>
      <c r="AM70" s="621"/>
      <c r="AO70" s="616"/>
      <c r="AQ70" s="621"/>
      <c r="AS70" s="616"/>
      <c r="AU70" s="621"/>
      <c r="BB70" s="616"/>
      <c r="BD70" s="621"/>
      <c r="BF70" s="616"/>
      <c r="BH70" s="621"/>
      <c r="BK70" s="616"/>
      <c r="BM70" s="621"/>
      <c r="BN70" s="616"/>
      <c r="BO70" s="616"/>
      <c r="BQ70" s="621"/>
      <c r="BR70" s="621"/>
    </row>
    <row r="71" spans="2:70" ht="15" customHeight="1">
      <c r="B71" s="655" t="s">
        <v>1214</v>
      </c>
      <c r="C71" s="656"/>
      <c r="D71" s="647">
        <f t="shared" si="9"/>
        <v>24070</v>
      </c>
      <c r="E71" s="1737">
        <v>1</v>
      </c>
      <c r="F71" s="1401">
        <v>1</v>
      </c>
      <c r="G71" s="648">
        <f t="shared" si="10"/>
        <v>1</v>
      </c>
      <c r="H71" s="647">
        <f t="shared" si="11"/>
        <v>24070</v>
      </c>
      <c r="I71" s="649">
        <f>SUMIF(建具の明細!B$5:B$51,建具!B71,建具の明細!K$5:K$51)</f>
        <v>0</v>
      </c>
      <c r="J71" s="650">
        <f t="shared" si="12"/>
        <v>0</v>
      </c>
      <c r="K71" s="651">
        <v>24077</v>
      </c>
      <c r="L71" s="658"/>
      <c r="M71" s="659"/>
      <c r="N71" s="626" t="b">
        <f t="shared" si="13"/>
        <v>0</v>
      </c>
      <c r="O71" s="626"/>
      <c r="P71" s="626"/>
      <c r="Q71" s="626"/>
      <c r="R71" s="1418" t="s">
        <v>1247</v>
      </c>
      <c r="T71" s="616"/>
      <c r="U71" s="616"/>
      <c r="V71" s="616"/>
      <c r="W71" s="621"/>
      <c r="Y71" s="621"/>
      <c r="AA71" s="616"/>
      <c r="AC71" s="621"/>
      <c r="AF71" s="616"/>
      <c r="AH71" s="621"/>
      <c r="AK71" s="616"/>
      <c r="AM71" s="621"/>
      <c r="AO71" s="616"/>
      <c r="AQ71" s="621"/>
      <c r="AS71" s="616"/>
      <c r="AU71" s="621"/>
      <c r="BB71" s="616"/>
      <c r="BD71" s="621"/>
      <c r="BF71" s="616"/>
      <c r="BH71" s="621"/>
      <c r="BK71" s="616"/>
      <c r="BM71" s="621"/>
      <c r="BN71" s="616"/>
      <c r="BO71" s="616"/>
      <c r="BQ71" s="621"/>
      <c r="BR71" s="621"/>
    </row>
    <row r="72" spans="2:70" ht="15" customHeight="1">
      <c r="B72" s="655" t="s">
        <v>1215</v>
      </c>
      <c r="C72" s="656"/>
      <c r="D72" s="647">
        <f t="shared" si="9"/>
        <v>10520</v>
      </c>
      <c r="E72" s="1737">
        <v>1</v>
      </c>
      <c r="F72" s="1401">
        <v>1</v>
      </c>
      <c r="G72" s="648">
        <f t="shared" si="10"/>
        <v>1</v>
      </c>
      <c r="H72" s="647">
        <f t="shared" si="11"/>
        <v>10520</v>
      </c>
      <c r="I72" s="649">
        <f>SUMIF(建具の明細!B$5:B$51,建具!B72,建具の明細!K$5:K$51)</f>
        <v>0</v>
      </c>
      <c r="J72" s="650">
        <f t="shared" si="12"/>
        <v>0</v>
      </c>
      <c r="K72" s="651">
        <v>10523</v>
      </c>
      <c r="L72" s="658"/>
      <c r="M72" s="659"/>
      <c r="N72" s="626" t="b">
        <f t="shared" si="13"/>
        <v>0</v>
      </c>
      <c r="O72" s="626"/>
      <c r="P72" s="626"/>
      <c r="Q72" s="626"/>
      <c r="R72" s="1418" t="s">
        <v>1656</v>
      </c>
      <c r="T72" s="616"/>
      <c r="U72" s="616"/>
      <c r="V72" s="616"/>
      <c r="W72" s="621"/>
      <c r="Y72" s="621"/>
      <c r="AA72" s="616"/>
      <c r="AC72" s="621"/>
      <c r="AF72" s="616"/>
      <c r="AH72" s="621"/>
      <c r="AK72" s="616"/>
      <c r="AM72" s="621"/>
      <c r="AO72" s="616"/>
      <c r="AQ72" s="621"/>
      <c r="AS72" s="616"/>
      <c r="AU72" s="621"/>
      <c r="BB72" s="616"/>
      <c r="BD72" s="621"/>
      <c r="BF72" s="616"/>
      <c r="BH72" s="621"/>
      <c r="BK72" s="616"/>
      <c r="BM72" s="621"/>
      <c r="BN72" s="616"/>
      <c r="BO72" s="616"/>
      <c r="BQ72" s="621"/>
      <c r="BR72" s="621"/>
    </row>
    <row r="73" spans="2:70" ht="15" customHeight="1">
      <c r="B73" s="655" t="s">
        <v>1216</v>
      </c>
      <c r="C73" s="656"/>
      <c r="D73" s="647">
        <f t="shared" si="9"/>
        <v>30620</v>
      </c>
      <c r="E73" s="1737">
        <v>1</v>
      </c>
      <c r="F73" s="1401">
        <v>1.4</v>
      </c>
      <c r="G73" s="648">
        <f t="shared" si="10"/>
        <v>1.4</v>
      </c>
      <c r="H73" s="647">
        <f t="shared" si="11"/>
        <v>42868</v>
      </c>
      <c r="I73" s="649">
        <f>SUMIF(建具の明細!B$5:B$51,建具!B73,建具の明細!K$5:K$51)</f>
        <v>0</v>
      </c>
      <c r="J73" s="650">
        <f t="shared" si="12"/>
        <v>0</v>
      </c>
      <c r="K73" s="651">
        <v>30622</v>
      </c>
      <c r="L73" s="658"/>
      <c r="M73" s="659"/>
      <c r="N73" s="626" t="b">
        <f t="shared" si="13"/>
        <v>0</v>
      </c>
      <c r="O73" s="626"/>
      <c r="P73" s="626"/>
      <c r="Q73" s="626"/>
      <c r="R73" s="1418" t="s">
        <v>1248</v>
      </c>
      <c r="T73" s="616"/>
      <c r="U73" s="616"/>
      <c r="V73" s="616"/>
      <c r="W73" s="621"/>
      <c r="Y73" s="621"/>
      <c r="AA73" s="616"/>
      <c r="AC73" s="621"/>
      <c r="AF73" s="616"/>
      <c r="AH73" s="621"/>
      <c r="AK73" s="616"/>
      <c r="AM73" s="621"/>
      <c r="AO73" s="616"/>
      <c r="AQ73" s="621"/>
      <c r="AS73" s="616"/>
      <c r="AU73" s="621"/>
      <c r="BB73" s="616"/>
      <c r="BD73" s="621"/>
      <c r="BF73" s="616"/>
      <c r="BH73" s="621"/>
      <c r="BK73" s="616"/>
      <c r="BM73" s="621"/>
      <c r="BN73" s="616"/>
      <c r="BO73" s="616"/>
      <c r="BQ73" s="621"/>
      <c r="BR73" s="621"/>
    </row>
    <row r="74" spans="2:70" ht="15" customHeight="1">
      <c r="B74" s="655" t="s">
        <v>1217</v>
      </c>
      <c r="C74" s="656"/>
      <c r="D74" s="647">
        <f t="shared" si="9"/>
        <v>24640</v>
      </c>
      <c r="E74" s="1737">
        <v>1</v>
      </c>
      <c r="F74" s="1401">
        <v>1.4</v>
      </c>
      <c r="G74" s="648">
        <f t="shared" si="10"/>
        <v>1.4</v>
      </c>
      <c r="H74" s="647">
        <f t="shared" si="11"/>
        <v>34496</v>
      </c>
      <c r="I74" s="649">
        <f>SUMIF(建具の明細!B$5:B$51,建具!B74,建具の明細!K$5:K$51)</f>
        <v>0</v>
      </c>
      <c r="J74" s="650">
        <f t="shared" si="12"/>
        <v>0</v>
      </c>
      <c r="K74" s="651">
        <v>24649</v>
      </c>
      <c r="L74" s="658"/>
      <c r="M74" s="659"/>
      <c r="N74" s="626" t="b">
        <f t="shared" si="13"/>
        <v>0</v>
      </c>
      <c r="O74" s="626"/>
      <c r="P74" s="626"/>
      <c r="Q74" s="626"/>
      <c r="R74" s="1418" t="s">
        <v>1249</v>
      </c>
      <c r="T74" s="616"/>
      <c r="U74" s="616"/>
      <c r="V74" s="616"/>
      <c r="W74" s="621"/>
      <c r="Y74" s="621"/>
      <c r="AA74" s="616"/>
      <c r="AC74" s="621"/>
      <c r="AF74" s="616"/>
      <c r="AH74" s="621"/>
      <c r="AK74" s="616"/>
      <c r="AM74" s="621"/>
      <c r="AO74" s="616"/>
      <c r="AQ74" s="621"/>
      <c r="AS74" s="616"/>
      <c r="AU74" s="621"/>
      <c r="BB74" s="616"/>
      <c r="BD74" s="621"/>
      <c r="BF74" s="616"/>
      <c r="BH74" s="621"/>
      <c r="BK74" s="616"/>
      <c r="BM74" s="621"/>
      <c r="BN74" s="616"/>
      <c r="BO74" s="616"/>
      <c r="BQ74" s="621"/>
      <c r="BR74" s="621"/>
    </row>
    <row r="75" spans="2:70" ht="15" customHeight="1">
      <c r="B75" s="655" t="s">
        <v>1218</v>
      </c>
      <c r="C75" s="656"/>
      <c r="D75" s="647">
        <f t="shared" si="9"/>
        <v>16720</v>
      </c>
      <c r="E75" s="1737">
        <v>1</v>
      </c>
      <c r="F75" s="1401">
        <v>1.4</v>
      </c>
      <c r="G75" s="648">
        <f t="shared" si="10"/>
        <v>1.4</v>
      </c>
      <c r="H75" s="647">
        <f t="shared" si="11"/>
        <v>23408</v>
      </c>
      <c r="I75" s="649">
        <f>SUMIF(建具の明細!B$5:B$51,建具!B75,建具の明細!K$5:K$51)</f>
        <v>0</v>
      </c>
      <c r="J75" s="650">
        <f t="shared" si="12"/>
        <v>0</v>
      </c>
      <c r="K75" s="651">
        <v>16727</v>
      </c>
      <c r="L75" s="658"/>
      <c r="M75" s="659"/>
      <c r="N75" s="626" t="b">
        <f t="shared" si="13"/>
        <v>0</v>
      </c>
      <c r="O75" s="626"/>
      <c r="P75" s="626"/>
      <c r="Q75" s="626"/>
      <c r="R75" s="1418" t="s">
        <v>1259</v>
      </c>
      <c r="T75" s="616"/>
      <c r="U75" s="616"/>
      <c r="V75" s="616"/>
      <c r="W75" s="621"/>
      <c r="Y75" s="621"/>
      <c r="AA75" s="616"/>
      <c r="AC75" s="621"/>
      <c r="AF75" s="616"/>
      <c r="AH75" s="621"/>
      <c r="AK75" s="616"/>
      <c r="AM75" s="621"/>
      <c r="AO75" s="616"/>
      <c r="AQ75" s="621"/>
      <c r="AS75" s="616"/>
      <c r="AU75" s="621"/>
      <c r="BB75" s="616"/>
      <c r="BD75" s="621"/>
      <c r="BF75" s="616"/>
      <c r="BH75" s="621"/>
      <c r="BK75" s="616"/>
      <c r="BM75" s="621"/>
      <c r="BN75" s="616"/>
      <c r="BO75" s="616"/>
      <c r="BQ75" s="621"/>
      <c r="BR75" s="621"/>
    </row>
    <row r="76" spans="2:70" ht="15" customHeight="1">
      <c r="B76" s="655" t="s">
        <v>1219</v>
      </c>
      <c r="C76" s="656"/>
      <c r="D76" s="647">
        <f t="shared" si="9"/>
        <v>9810</v>
      </c>
      <c r="E76" s="1737">
        <v>1</v>
      </c>
      <c r="F76" s="1401">
        <v>1.4</v>
      </c>
      <c r="G76" s="648">
        <f t="shared" si="10"/>
        <v>1.4</v>
      </c>
      <c r="H76" s="647">
        <f t="shared" si="11"/>
        <v>13734</v>
      </c>
      <c r="I76" s="649">
        <f>SUMIF(建具の明細!B$5:B$51,建具!B76,建具の明細!K$5:K$51)</f>
        <v>0</v>
      </c>
      <c r="J76" s="650">
        <f t="shared" si="12"/>
        <v>0</v>
      </c>
      <c r="K76" s="651">
        <v>9818</v>
      </c>
      <c r="L76" s="658"/>
      <c r="M76" s="659"/>
      <c r="N76" s="626" t="b">
        <f t="shared" si="13"/>
        <v>0</v>
      </c>
      <c r="O76" s="626"/>
      <c r="P76" s="626"/>
      <c r="Q76" s="626"/>
      <c r="R76" s="1418" t="s">
        <v>1260</v>
      </c>
      <c r="T76" s="616"/>
      <c r="U76" s="616"/>
      <c r="V76" s="616"/>
      <c r="W76" s="621"/>
      <c r="Y76" s="621"/>
      <c r="AA76" s="616"/>
      <c r="AC76" s="621"/>
      <c r="AF76" s="616"/>
      <c r="AH76" s="621"/>
      <c r="AK76" s="616"/>
      <c r="AM76" s="621"/>
      <c r="AO76" s="616"/>
      <c r="AQ76" s="621"/>
      <c r="AS76" s="616"/>
      <c r="AU76" s="621"/>
      <c r="BB76" s="616"/>
      <c r="BD76" s="621"/>
      <c r="BF76" s="616"/>
      <c r="BH76" s="621"/>
      <c r="BK76" s="616"/>
      <c r="BM76" s="621"/>
      <c r="BN76" s="616"/>
      <c r="BO76" s="616"/>
      <c r="BQ76" s="621"/>
      <c r="BR76" s="621"/>
    </row>
    <row r="77" spans="2:70" ht="15" customHeight="1">
      <c r="B77" s="655" t="s">
        <v>1220</v>
      </c>
      <c r="C77" s="656"/>
      <c r="D77" s="647">
        <f t="shared" si="9"/>
        <v>30620</v>
      </c>
      <c r="E77" s="1737">
        <v>1</v>
      </c>
      <c r="F77" s="1401">
        <v>1</v>
      </c>
      <c r="G77" s="648">
        <f t="shared" si="10"/>
        <v>1</v>
      </c>
      <c r="H77" s="647">
        <f t="shared" si="11"/>
        <v>30620</v>
      </c>
      <c r="I77" s="649">
        <f>SUMIF(建具の明細!B$5:B$51,建具!B77,建具の明細!K$5:K$51)</f>
        <v>0</v>
      </c>
      <c r="J77" s="650">
        <f t="shared" si="12"/>
        <v>0</v>
      </c>
      <c r="K77" s="651">
        <v>30622</v>
      </c>
      <c r="L77" s="658"/>
      <c r="M77" s="659"/>
      <c r="N77" s="626" t="b">
        <f t="shared" si="13"/>
        <v>0</v>
      </c>
      <c r="O77" s="626"/>
      <c r="P77" s="626"/>
      <c r="Q77" s="626"/>
      <c r="R77" s="1418" t="s">
        <v>1250</v>
      </c>
      <c r="T77" s="616"/>
      <c r="U77" s="616"/>
      <c r="V77" s="616"/>
      <c r="W77" s="621"/>
      <c r="Y77" s="621"/>
      <c r="AA77" s="616"/>
      <c r="AC77" s="621"/>
      <c r="AF77" s="616"/>
      <c r="AH77" s="621"/>
      <c r="AK77" s="616"/>
      <c r="AM77" s="621"/>
      <c r="AO77" s="616"/>
      <c r="AQ77" s="621"/>
      <c r="AS77" s="616"/>
      <c r="AU77" s="621"/>
      <c r="BB77" s="616"/>
      <c r="BD77" s="621"/>
      <c r="BF77" s="616"/>
      <c r="BH77" s="621"/>
      <c r="BK77" s="616"/>
      <c r="BM77" s="621"/>
      <c r="BN77" s="616"/>
      <c r="BO77" s="616"/>
      <c r="BQ77" s="621"/>
      <c r="BR77" s="621"/>
    </row>
    <row r="78" spans="2:70" ht="15" customHeight="1">
      <c r="B78" s="655" t="s">
        <v>1221</v>
      </c>
      <c r="C78" s="656"/>
      <c r="D78" s="647">
        <f t="shared" si="9"/>
        <v>24640</v>
      </c>
      <c r="E78" s="1737">
        <v>1</v>
      </c>
      <c r="F78" s="1401">
        <v>1</v>
      </c>
      <c r="G78" s="648">
        <f t="shared" si="10"/>
        <v>1</v>
      </c>
      <c r="H78" s="647">
        <f t="shared" si="11"/>
        <v>24640</v>
      </c>
      <c r="I78" s="649">
        <f>SUMIF(建具の明細!B$5:B$51,建具!B78,建具の明細!K$5:K$51)</f>
        <v>0</v>
      </c>
      <c r="J78" s="650">
        <f t="shared" si="12"/>
        <v>0</v>
      </c>
      <c r="K78" s="651">
        <v>24649</v>
      </c>
      <c r="L78" s="658"/>
      <c r="M78" s="659"/>
      <c r="N78" s="626" t="b">
        <f t="shared" si="13"/>
        <v>0</v>
      </c>
      <c r="O78" s="626"/>
      <c r="P78" s="626"/>
      <c r="Q78" s="626"/>
      <c r="R78" s="1418" t="s">
        <v>1249</v>
      </c>
      <c r="T78" s="616"/>
      <c r="U78" s="616"/>
      <c r="V78" s="616"/>
      <c r="W78" s="621"/>
      <c r="Y78" s="621"/>
      <c r="AA78" s="616"/>
      <c r="AC78" s="621"/>
      <c r="AF78" s="616"/>
      <c r="AH78" s="621"/>
      <c r="AK78" s="616"/>
      <c r="AM78" s="621"/>
      <c r="AO78" s="616"/>
      <c r="AQ78" s="621"/>
      <c r="AS78" s="616"/>
      <c r="AU78" s="621"/>
      <c r="BB78" s="616"/>
      <c r="BD78" s="621"/>
      <c r="BF78" s="616"/>
      <c r="BH78" s="621"/>
      <c r="BK78" s="616"/>
      <c r="BM78" s="621"/>
      <c r="BN78" s="616"/>
      <c r="BO78" s="616"/>
      <c r="BQ78" s="621"/>
      <c r="BR78" s="621"/>
    </row>
    <row r="79" spans="2:70" ht="15" customHeight="1">
      <c r="B79" s="655" t="s">
        <v>1222</v>
      </c>
      <c r="C79" s="656"/>
      <c r="D79" s="647">
        <f t="shared" si="9"/>
        <v>16720</v>
      </c>
      <c r="E79" s="1737">
        <v>1</v>
      </c>
      <c r="F79" s="1401">
        <v>1</v>
      </c>
      <c r="G79" s="648">
        <f t="shared" si="10"/>
        <v>1</v>
      </c>
      <c r="H79" s="647">
        <f t="shared" si="11"/>
        <v>16720</v>
      </c>
      <c r="I79" s="649">
        <f>SUMIF(建具の明細!B$5:B$51,建具!B79,建具の明細!K$5:K$51)</f>
        <v>0</v>
      </c>
      <c r="J79" s="650">
        <f t="shared" si="12"/>
        <v>0</v>
      </c>
      <c r="K79" s="651">
        <v>16727</v>
      </c>
      <c r="L79" s="658"/>
      <c r="M79" s="659"/>
      <c r="N79" s="626" t="b">
        <f t="shared" si="13"/>
        <v>0</v>
      </c>
      <c r="O79" s="626"/>
      <c r="P79" s="626"/>
      <c r="Q79" s="626"/>
      <c r="R79" s="616" t="s">
        <v>1244</v>
      </c>
      <c r="T79" s="616"/>
      <c r="U79" s="616"/>
      <c r="V79" s="616"/>
      <c r="W79" s="621"/>
      <c r="Y79" s="621"/>
      <c r="AA79" s="616"/>
      <c r="AC79" s="621"/>
      <c r="AF79" s="616"/>
      <c r="AH79" s="621"/>
      <c r="AK79" s="616"/>
      <c r="AM79" s="621"/>
      <c r="AO79" s="616"/>
      <c r="AQ79" s="621"/>
      <c r="AS79" s="616"/>
      <c r="AU79" s="621"/>
      <c r="BB79" s="616"/>
      <c r="BD79" s="621"/>
      <c r="BF79" s="616"/>
      <c r="BH79" s="621"/>
      <c r="BK79" s="616"/>
      <c r="BM79" s="621"/>
      <c r="BN79" s="616"/>
      <c r="BO79" s="616"/>
      <c r="BQ79" s="621"/>
      <c r="BR79" s="621"/>
    </row>
    <row r="80" spans="2:70" ht="15" customHeight="1">
      <c r="B80" s="655" t="s">
        <v>1223</v>
      </c>
      <c r="C80" s="656"/>
      <c r="D80" s="647">
        <f t="shared" si="9"/>
        <v>9810</v>
      </c>
      <c r="E80" s="1737">
        <v>1</v>
      </c>
      <c r="F80" s="1401">
        <v>1</v>
      </c>
      <c r="G80" s="648">
        <f t="shared" si="10"/>
        <v>1</v>
      </c>
      <c r="H80" s="647">
        <f t="shared" si="11"/>
        <v>9810</v>
      </c>
      <c r="I80" s="649">
        <f>SUMIF(建具の明細!B$5:B$51,建具!B80,建具の明細!K$5:K$51)</f>
        <v>0</v>
      </c>
      <c r="J80" s="650">
        <f t="shared" si="12"/>
        <v>0</v>
      </c>
      <c r="K80" s="651">
        <v>9818</v>
      </c>
      <c r="L80" s="658"/>
      <c r="M80" s="659"/>
      <c r="N80" s="626" t="b">
        <f t="shared" si="13"/>
        <v>0</v>
      </c>
      <c r="O80" s="626"/>
      <c r="P80" s="626"/>
      <c r="Q80" s="626"/>
      <c r="R80" s="616" t="s">
        <v>1245</v>
      </c>
      <c r="T80" s="616"/>
      <c r="U80" s="616"/>
      <c r="V80" s="616"/>
      <c r="W80" s="621"/>
      <c r="Y80" s="621"/>
      <c r="AA80" s="616"/>
      <c r="AC80" s="621"/>
      <c r="AF80" s="616"/>
      <c r="AH80" s="621"/>
      <c r="AK80" s="616"/>
      <c r="AM80" s="621"/>
      <c r="AO80" s="616"/>
      <c r="AQ80" s="621"/>
      <c r="AS80" s="616"/>
      <c r="AU80" s="621"/>
      <c r="BB80" s="616"/>
      <c r="BD80" s="621"/>
      <c r="BF80" s="616"/>
      <c r="BH80" s="621"/>
      <c r="BK80" s="616"/>
      <c r="BM80" s="621"/>
      <c r="BN80" s="616"/>
      <c r="BO80" s="616"/>
      <c r="BQ80" s="621"/>
      <c r="BR80" s="621"/>
    </row>
    <row r="81" spans="1:70" ht="15" customHeight="1">
      <c r="B81" s="655" t="s">
        <v>1224</v>
      </c>
      <c r="C81" s="656"/>
      <c r="D81" s="647">
        <f t="shared" si="9"/>
        <v>30620</v>
      </c>
      <c r="E81" s="1737">
        <v>1</v>
      </c>
      <c r="F81" s="1401">
        <v>0.8</v>
      </c>
      <c r="G81" s="648">
        <f t="shared" si="10"/>
        <v>0.8</v>
      </c>
      <c r="H81" s="647">
        <f t="shared" si="11"/>
        <v>24496</v>
      </c>
      <c r="I81" s="649">
        <f>SUMIF(建具の明細!B$5:B$51,建具!B81,建具の明細!K$5:K$51)</f>
        <v>0</v>
      </c>
      <c r="J81" s="650">
        <f t="shared" si="12"/>
        <v>0</v>
      </c>
      <c r="K81" s="651">
        <v>30622</v>
      </c>
      <c r="L81" s="658"/>
      <c r="M81" s="659"/>
      <c r="N81" s="626" t="b">
        <f t="shared" si="13"/>
        <v>0</v>
      </c>
      <c r="O81" s="626"/>
      <c r="P81" s="626"/>
      <c r="Q81" s="626"/>
      <c r="R81" s="1418" t="s">
        <v>1250</v>
      </c>
      <c r="T81" s="616"/>
      <c r="U81" s="616"/>
      <c r="V81" s="616"/>
      <c r="W81" s="621"/>
      <c r="Y81" s="621"/>
      <c r="AA81" s="616"/>
      <c r="AC81" s="621"/>
      <c r="AF81" s="616"/>
      <c r="AH81" s="621"/>
      <c r="AK81" s="616"/>
      <c r="AM81" s="621"/>
      <c r="AO81" s="616"/>
      <c r="AQ81" s="621"/>
      <c r="AS81" s="616"/>
      <c r="AU81" s="621"/>
      <c r="BB81" s="616"/>
      <c r="BD81" s="621"/>
      <c r="BF81" s="616"/>
      <c r="BH81" s="621"/>
      <c r="BK81" s="616"/>
      <c r="BM81" s="621"/>
      <c r="BN81" s="616"/>
      <c r="BO81" s="616"/>
      <c r="BQ81" s="621"/>
      <c r="BR81" s="621"/>
    </row>
    <row r="82" spans="1:70" ht="15" customHeight="1">
      <c r="B82" s="655" t="s">
        <v>1225</v>
      </c>
      <c r="C82" s="656"/>
      <c r="D82" s="647">
        <f t="shared" si="9"/>
        <v>24640</v>
      </c>
      <c r="E82" s="1737">
        <v>1</v>
      </c>
      <c r="F82" s="1401">
        <v>0.8</v>
      </c>
      <c r="G82" s="648">
        <f t="shared" si="10"/>
        <v>0.8</v>
      </c>
      <c r="H82" s="647">
        <f t="shared" si="11"/>
        <v>19712</v>
      </c>
      <c r="I82" s="649">
        <f>SUMIF(建具の明細!B$5:B$51,建具!B82,建具の明細!K$5:K$51)</f>
        <v>0</v>
      </c>
      <c r="J82" s="650">
        <f t="shared" si="12"/>
        <v>0</v>
      </c>
      <c r="K82" s="651">
        <v>24649</v>
      </c>
      <c r="L82" s="658"/>
      <c r="M82" s="659"/>
      <c r="N82" s="626" t="b">
        <f t="shared" si="13"/>
        <v>0</v>
      </c>
      <c r="O82" s="626"/>
      <c r="P82" s="626"/>
      <c r="Q82" s="626"/>
      <c r="R82" s="1418" t="s">
        <v>1249</v>
      </c>
      <c r="T82" s="616"/>
      <c r="U82" s="616"/>
      <c r="V82" s="616"/>
      <c r="W82" s="621"/>
      <c r="Y82" s="621"/>
      <c r="AA82" s="616"/>
      <c r="AC82" s="621"/>
      <c r="AF82" s="616"/>
      <c r="AH82" s="621"/>
      <c r="AK82" s="616"/>
      <c r="AM82" s="621"/>
      <c r="AO82" s="616"/>
      <c r="AQ82" s="621"/>
      <c r="AS82" s="616"/>
      <c r="AU82" s="621"/>
      <c r="BB82" s="616"/>
      <c r="BD82" s="621"/>
      <c r="BF82" s="616"/>
      <c r="BH82" s="621"/>
      <c r="BK82" s="616"/>
      <c r="BM82" s="621"/>
      <c r="BN82" s="616"/>
      <c r="BO82" s="616"/>
      <c r="BQ82" s="621"/>
      <c r="BR82" s="621"/>
    </row>
    <row r="83" spans="1:70" ht="15" customHeight="1">
      <c r="B83" s="655" t="s">
        <v>1226</v>
      </c>
      <c r="C83" s="656"/>
      <c r="D83" s="647">
        <f t="shared" si="9"/>
        <v>16720</v>
      </c>
      <c r="E83" s="1737">
        <v>1</v>
      </c>
      <c r="F83" s="1401">
        <v>0.8</v>
      </c>
      <c r="G83" s="648">
        <f t="shared" si="10"/>
        <v>0.8</v>
      </c>
      <c r="H83" s="647">
        <f t="shared" si="11"/>
        <v>13376</v>
      </c>
      <c r="I83" s="649">
        <f>SUMIF(建具の明細!B$5:B$51,建具!B83,建具の明細!K$5:K$51)</f>
        <v>0</v>
      </c>
      <c r="J83" s="650">
        <f t="shared" si="12"/>
        <v>0</v>
      </c>
      <c r="K83" s="651">
        <v>16727</v>
      </c>
      <c r="L83" s="658"/>
      <c r="M83" s="659"/>
      <c r="N83" s="626" t="b">
        <f t="shared" si="13"/>
        <v>0</v>
      </c>
      <c r="O83" s="626"/>
      <c r="P83" s="626"/>
      <c r="Q83" s="626"/>
      <c r="R83" s="616" t="s">
        <v>1244</v>
      </c>
      <c r="T83" s="616"/>
      <c r="U83" s="616"/>
      <c r="V83" s="616"/>
      <c r="W83" s="621"/>
      <c r="Y83" s="621"/>
      <c r="AA83" s="616"/>
      <c r="AC83" s="621"/>
      <c r="AF83" s="616"/>
      <c r="AH83" s="621"/>
      <c r="AK83" s="616"/>
      <c r="AM83" s="621"/>
      <c r="AO83" s="616"/>
      <c r="AQ83" s="621"/>
      <c r="AS83" s="616"/>
      <c r="AU83" s="621"/>
      <c r="BB83" s="616"/>
      <c r="BD83" s="621"/>
      <c r="BF83" s="616"/>
      <c r="BH83" s="621"/>
      <c r="BK83" s="616"/>
      <c r="BM83" s="621"/>
      <c r="BN83" s="616"/>
      <c r="BO83" s="616"/>
      <c r="BQ83" s="621"/>
      <c r="BR83" s="621"/>
    </row>
    <row r="84" spans="1:70" ht="15" customHeight="1">
      <c r="B84" s="655" t="s">
        <v>1227</v>
      </c>
      <c r="C84" s="656"/>
      <c r="D84" s="647">
        <f t="shared" ref="D84" si="19">ROUNDDOWN(K84,-1)</f>
        <v>9810</v>
      </c>
      <c r="E84" s="1737">
        <v>1</v>
      </c>
      <c r="F84" s="1401">
        <v>0.8</v>
      </c>
      <c r="G84" s="648">
        <f t="shared" ref="G84" si="20">+ROUNDDOWN(E84*F84,2)</f>
        <v>0.8</v>
      </c>
      <c r="H84" s="647">
        <f t="shared" ref="H84" si="21">INT(D84*G84)</f>
        <v>7848</v>
      </c>
      <c r="I84" s="649">
        <f>SUMIF(建具の明細!B$5:B$51,建具!B84,建具の明細!K$5:K$51)</f>
        <v>0</v>
      </c>
      <c r="J84" s="650">
        <f t="shared" ref="J84" si="22">INT(I84*H84)</f>
        <v>0</v>
      </c>
      <c r="K84" s="651">
        <v>9818</v>
      </c>
      <c r="L84" s="658"/>
      <c r="M84" s="659"/>
      <c r="N84" s="626" t="b">
        <f t="shared" ref="N84" si="23">I84&lt;&gt;0</f>
        <v>0</v>
      </c>
      <c r="O84" s="626"/>
      <c r="P84" s="626"/>
      <c r="Q84" s="626"/>
      <c r="R84" s="616" t="s">
        <v>1245</v>
      </c>
      <c r="T84" s="616"/>
      <c r="U84" s="616"/>
      <c r="V84" s="616"/>
      <c r="W84" s="621"/>
      <c r="Y84" s="621"/>
      <c r="AA84" s="616"/>
      <c r="AC84" s="621"/>
      <c r="AF84" s="616"/>
      <c r="AH84" s="621"/>
      <c r="AK84" s="616"/>
      <c r="AM84" s="621"/>
      <c r="AO84" s="616"/>
      <c r="AQ84" s="621"/>
      <c r="AS84" s="616"/>
      <c r="AU84" s="621"/>
      <c r="BB84" s="616"/>
      <c r="BD84" s="621"/>
      <c r="BF84" s="616"/>
      <c r="BH84" s="621"/>
      <c r="BK84" s="616"/>
      <c r="BM84" s="621"/>
      <c r="BN84" s="616"/>
      <c r="BO84" s="616"/>
      <c r="BQ84" s="621"/>
      <c r="BR84" s="621"/>
    </row>
    <row r="85" spans="1:70" ht="15" customHeight="1">
      <c r="B85" s="655" t="s">
        <v>1239</v>
      </c>
      <c r="C85" s="656"/>
      <c r="D85" s="647">
        <f t="shared" si="9"/>
        <v>55760</v>
      </c>
      <c r="E85" s="1737">
        <v>1</v>
      </c>
      <c r="F85" s="1401">
        <v>1</v>
      </c>
      <c r="G85" s="648">
        <f t="shared" si="10"/>
        <v>1</v>
      </c>
      <c r="H85" s="647">
        <f t="shared" si="11"/>
        <v>55760</v>
      </c>
      <c r="I85" s="649">
        <f>SUMIF(建具の明細!B$5:B$51,建具!B85,建具の明細!K$5:K$51)</f>
        <v>0</v>
      </c>
      <c r="J85" s="650">
        <f t="shared" si="12"/>
        <v>0</v>
      </c>
      <c r="K85" s="651">
        <v>55763</v>
      </c>
      <c r="L85" s="658"/>
      <c r="M85" s="659"/>
      <c r="N85" s="626" t="b">
        <f t="shared" si="13"/>
        <v>0</v>
      </c>
      <c r="O85" s="626"/>
      <c r="P85" s="626"/>
      <c r="Q85" s="626"/>
      <c r="T85" s="616"/>
      <c r="U85" s="616"/>
      <c r="V85" s="616"/>
      <c r="W85" s="621"/>
      <c r="Y85" s="621"/>
      <c r="AA85" s="616"/>
      <c r="AC85" s="621"/>
      <c r="AF85" s="616"/>
      <c r="AH85" s="621"/>
      <c r="AK85" s="616"/>
      <c r="AM85" s="621"/>
      <c r="AO85" s="616"/>
      <c r="AQ85" s="621"/>
      <c r="AS85" s="616"/>
      <c r="AU85" s="621"/>
      <c r="BB85" s="616"/>
      <c r="BD85" s="621"/>
      <c r="BF85" s="616"/>
      <c r="BH85" s="621"/>
      <c r="BK85" s="616"/>
      <c r="BM85" s="621"/>
      <c r="BN85" s="616"/>
      <c r="BO85" s="616"/>
      <c r="BQ85" s="621"/>
      <c r="BR85" s="621"/>
    </row>
    <row r="86" spans="1:70" ht="15" customHeight="1">
      <c r="B86" s="655" t="s">
        <v>1240</v>
      </c>
      <c r="C86" s="656"/>
      <c r="D86" s="647">
        <f t="shared" si="9"/>
        <v>43280</v>
      </c>
      <c r="E86" s="1737">
        <v>1</v>
      </c>
      <c r="F86" s="1401">
        <v>1</v>
      </c>
      <c r="G86" s="648">
        <f t="shared" si="10"/>
        <v>1</v>
      </c>
      <c r="H86" s="647">
        <f t="shared" si="11"/>
        <v>43280</v>
      </c>
      <c r="I86" s="649">
        <f>SUMIF(建具の明細!B$5:B$51,建具!B86,建具の明細!K$5:K$51)</f>
        <v>0</v>
      </c>
      <c r="J86" s="650">
        <f t="shared" si="12"/>
        <v>0</v>
      </c>
      <c r="K86" s="651">
        <v>43286</v>
      </c>
      <c r="L86" s="658"/>
      <c r="M86" s="659"/>
      <c r="N86" s="626" t="b">
        <f t="shared" si="13"/>
        <v>0</v>
      </c>
      <c r="O86" s="626"/>
      <c r="P86" s="626"/>
      <c r="Q86" s="626"/>
      <c r="T86" s="616"/>
      <c r="U86" s="616"/>
      <c r="V86" s="616"/>
      <c r="W86" s="621"/>
      <c r="Y86" s="621"/>
      <c r="AA86" s="616"/>
      <c r="AC86" s="621"/>
      <c r="AF86" s="616"/>
      <c r="AH86" s="621"/>
      <c r="AK86" s="616"/>
      <c r="AM86" s="621"/>
      <c r="AO86" s="616"/>
      <c r="AQ86" s="621"/>
      <c r="AS86" s="616"/>
      <c r="AU86" s="621"/>
      <c r="BB86" s="616"/>
      <c r="BD86" s="621"/>
      <c r="BF86" s="616"/>
      <c r="BH86" s="621"/>
      <c r="BK86" s="616"/>
      <c r="BM86" s="621"/>
      <c r="BN86" s="616"/>
      <c r="BO86" s="616"/>
      <c r="BQ86" s="621"/>
      <c r="BR86" s="621"/>
    </row>
    <row r="87" spans="1:70" ht="15" customHeight="1">
      <c r="B87" s="655" t="s">
        <v>1241</v>
      </c>
      <c r="C87" s="656"/>
      <c r="D87" s="647">
        <f t="shared" si="9"/>
        <v>35250</v>
      </c>
      <c r="E87" s="1737">
        <v>1</v>
      </c>
      <c r="F87" s="1401">
        <v>1</v>
      </c>
      <c r="G87" s="648">
        <f t="shared" si="10"/>
        <v>1</v>
      </c>
      <c r="H87" s="647">
        <f t="shared" si="11"/>
        <v>35250</v>
      </c>
      <c r="I87" s="649">
        <f>SUMIF(建具の明細!B$5:B$51,建具!B87,建具の明細!K$5:K$51)</f>
        <v>0</v>
      </c>
      <c r="J87" s="650">
        <f t="shared" si="12"/>
        <v>0</v>
      </c>
      <c r="K87" s="651">
        <v>35257</v>
      </c>
      <c r="L87" s="658"/>
      <c r="M87" s="659"/>
      <c r="N87" s="626" t="b">
        <f t="shared" si="13"/>
        <v>0</v>
      </c>
      <c r="O87" s="626"/>
      <c r="P87" s="626"/>
      <c r="Q87" s="626"/>
      <c r="T87" s="616"/>
      <c r="U87" s="616"/>
      <c r="V87" s="616"/>
      <c r="W87" s="621"/>
      <c r="Y87" s="621"/>
      <c r="AA87" s="616"/>
      <c r="AC87" s="621"/>
      <c r="AF87" s="616"/>
      <c r="AH87" s="621"/>
      <c r="AK87" s="616"/>
      <c r="AM87" s="621"/>
      <c r="AO87" s="616"/>
      <c r="AQ87" s="621"/>
      <c r="AS87" s="616"/>
      <c r="AU87" s="621"/>
      <c r="BB87" s="616"/>
      <c r="BD87" s="621"/>
      <c r="BF87" s="616"/>
      <c r="BH87" s="621"/>
      <c r="BK87" s="616"/>
      <c r="BM87" s="621"/>
      <c r="BN87" s="616"/>
      <c r="BO87" s="616"/>
      <c r="BQ87" s="621"/>
      <c r="BR87" s="621"/>
    </row>
    <row r="88" spans="1:70" ht="15" customHeight="1">
      <c r="B88" s="655" t="s">
        <v>1242</v>
      </c>
      <c r="C88" s="656"/>
      <c r="D88" s="647">
        <f t="shared" ref="D88" si="24">ROUNDDOWN(K88,-1)</f>
        <v>50000</v>
      </c>
      <c r="E88" s="1737">
        <v>1</v>
      </c>
      <c r="F88" s="1401">
        <v>1</v>
      </c>
      <c r="G88" s="648">
        <f t="shared" ref="G88" si="25">+ROUNDDOWN(E88*F88,2)</f>
        <v>1</v>
      </c>
      <c r="H88" s="647">
        <f t="shared" ref="H88" si="26">INT(D88*G88)</f>
        <v>50000</v>
      </c>
      <c r="I88" s="649">
        <f>SUMIF(建具の明細!B$5:B$51,建具!B88,建具の明細!K$5:K$51)</f>
        <v>0</v>
      </c>
      <c r="J88" s="650">
        <f t="shared" ref="J88" si="27">INT(I88*H88)</f>
        <v>0</v>
      </c>
      <c r="K88" s="651">
        <v>50006</v>
      </c>
      <c r="L88" s="658"/>
      <c r="M88" s="659"/>
      <c r="N88" s="626" t="b">
        <f t="shared" ref="N88" si="28">I88&lt;&gt;0</f>
        <v>0</v>
      </c>
      <c r="O88" s="626"/>
      <c r="P88" s="626"/>
      <c r="Q88" s="626"/>
      <c r="T88" s="616"/>
      <c r="U88" s="616"/>
      <c r="V88" s="616"/>
      <c r="W88" s="621"/>
      <c r="Y88" s="621"/>
      <c r="AA88" s="616"/>
      <c r="AC88" s="621"/>
      <c r="AF88" s="616"/>
      <c r="AH88" s="621"/>
      <c r="AK88" s="616"/>
      <c r="AM88" s="621"/>
      <c r="AO88" s="616"/>
      <c r="AQ88" s="621"/>
      <c r="AS88" s="616"/>
      <c r="AU88" s="621"/>
      <c r="BB88" s="616"/>
      <c r="BD88" s="621"/>
      <c r="BF88" s="616"/>
      <c r="BH88" s="621"/>
      <c r="BK88" s="616"/>
      <c r="BM88" s="621"/>
      <c r="BN88" s="616"/>
      <c r="BO88" s="616"/>
      <c r="BQ88" s="621"/>
      <c r="BR88" s="621"/>
    </row>
    <row r="89" spans="1:70" ht="15" customHeight="1">
      <c r="B89" s="655" t="s">
        <v>578</v>
      </c>
      <c r="C89" s="656"/>
      <c r="D89" s="647"/>
      <c r="E89" s="1401"/>
      <c r="F89" s="1401"/>
      <c r="G89" s="648"/>
      <c r="H89" s="647"/>
      <c r="I89" s="649"/>
      <c r="J89" s="650"/>
      <c r="K89" s="2076"/>
      <c r="L89" s="685"/>
      <c r="M89" s="651"/>
      <c r="N89" s="626" t="b">
        <f t="shared" ref="N89" si="29">I89&lt;&gt;0</f>
        <v>0</v>
      </c>
      <c r="O89" s="626"/>
      <c r="P89" s="626"/>
      <c r="Q89" s="626"/>
      <c r="R89" s="1418"/>
      <c r="T89" s="616"/>
      <c r="U89" s="1418"/>
      <c r="V89" s="1418"/>
      <c r="W89" s="621"/>
      <c r="Y89" s="621"/>
      <c r="AA89" s="616"/>
      <c r="AC89" s="621"/>
      <c r="AF89" s="616"/>
      <c r="AH89" s="621"/>
      <c r="AK89" s="616"/>
      <c r="AM89" s="621"/>
      <c r="AO89" s="616"/>
      <c r="AQ89" s="621"/>
      <c r="AS89" s="616"/>
      <c r="AU89" s="621"/>
      <c r="BB89" s="616"/>
      <c r="BD89" s="621"/>
      <c r="BF89" s="616"/>
      <c r="BH89" s="621"/>
      <c r="BK89" s="616"/>
      <c r="BM89" s="621"/>
      <c r="BN89" s="616"/>
      <c r="BO89" s="616"/>
      <c r="BQ89" s="621"/>
      <c r="BR89" s="621"/>
    </row>
    <row r="90" spans="1:70" ht="15" customHeight="1">
      <c r="B90" s="1824" t="str">
        <f>M90&amp;" 二重ｻｯｼ 枠70(0.85補正)"</f>
        <v xml:space="preserve"> 二重ｻｯｼ 枠70(0.85補正)</v>
      </c>
      <c r="C90" s="656" t="str">
        <f t="shared" ref="C90:C91" si="30">IF(M90="","",VLOOKUP(M90,建具,2,0))</f>
        <v/>
      </c>
      <c r="D90" s="647">
        <f t="shared" ref="D90:D91" si="31">ROUNDDOWN(K90,-1)</f>
        <v>0</v>
      </c>
      <c r="E90" s="1737">
        <v>1</v>
      </c>
      <c r="F90" s="1401">
        <f>IF(M90&lt;&gt;"",VLOOKUP(M90,建具,5,0),0)</f>
        <v>0</v>
      </c>
      <c r="G90" s="648">
        <f>+ROUNDDOWN(E90*IF(F90=0,1,F90)*0.85,2)</f>
        <v>0.85</v>
      </c>
      <c r="H90" s="647">
        <f t="shared" ref="H90:H91" si="32">INT(D90*G90)</f>
        <v>0</v>
      </c>
      <c r="I90" s="649">
        <f>SUMIF(建具の明細!B$5:B$51,建具!B90,建具の明細!K$5:K$51)</f>
        <v>0</v>
      </c>
      <c r="J90" s="650">
        <f t="shared" ref="J90:J91" si="33">INT(I90*H90)</f>
        <v>0</v>
      </c>
      <c r="K90" s="651">
        <f>IF(M90&lt;&gt;"",VLOOKUP(M90,建具,10,0),0)</f>
        <v>0</v>
      </c>
      <c r="L90" s="665" t="s">
        <v>1110</v>
      </c>
      <c r="M90" s="664"/>
      <c r="N90" s="626" t="b">
        <f t="shared" ref="N90" si="34">I90&lt;&gt;0</f>
        <v>0</v>
      </c>
      <c r="O90" s="626"/>
      <c r="P90" s="626"/>
      <c r="Q90" s="626"/>
      <c r="R90" s="1418" t="s">
        <v>1659</v>
      </c>
    </row>
    <row r="91" spans="1:70" ht="15" customHeight="1">
      <c r="B91" s="1824" t="str">
        <f>M91&amp;" 二重ｻｯｼ 枠100(0.9補正)"</f>
        <v xml:space="preserve"> 二重ｻｯｼ 枠100(0.9補正)</v>
      </c>
      <c r="C91" s="656" t="str">
        <f t="shared" si="30"/>
        <v/>
      </c>
      <c r="D91" s="647">
        <f t="shared" si="31"/>
        <v>0</v>
      </c>
      <c r="E91" s="1737">
        <v>1</v>
      </c>
      <c r="F91" s="1401">
        <f>IF(M91&lt;&gt;"",VLOOKUP(M91,建具,5,0),0)</f>
        <v>0</v>
      </c>
      <c r="G91" s="648">
        <f>+ROUNDDOWN(E91*IF(F91=0,1,F91)*0.9,2)</f>
        <v>0.9</v>
      </c>
      <c r="H91" s="647">
        <f t="shared" si="32"/>
        <v>0</v>
      </c>
      <c r="I91" s="649">
        <f>SUMIF(建具の明細!B$5:B$51,建具!B91,建具の明細!K$5:K$51)</f>
        <v>0</v>
      </c>
      <c r="J91" s="650">
        <f t="shared" si="33"/>
        <v>0</v>
      </c>
      <c r="K91" s="651">
        <f>IF(M91&lt;&gt;"",VLOOKUP(M91,建具,10,0),0)</f>
        <v>0</v>
      </c>
      <c r="L91" s="665" t="s">
        <v>1110</v>
      </c>
      <c r="M91" s="664"/>
      <c r="N91" s="626" t="b">
        <f t="shared" ref="N91:N103" si="35">I91&lt;&gt;0</f>
        <v>0</v>
      </c>
      <c r="O91" s="626"/>
      <c r="P91" s="626"/>
      <c r="Q91" s="626"/>
      <c r="R91" s="1418" t="s">
        <v>1659</v>
      </c>
    </row>
    <row r="92" spans="1:70" ht="15" customHeight="1">
      <c r="B92" s="655" t="s">
        <v>578</v>
      </c>
      <c r="C92" s="656"/>
      <c r="D92" s="647"/>
      <c r="E92" s="1401"/>
      <c r="F92" s="1401"/>
      <c r="G92" s="648"/>
      <c r="H92" s="647"/>
      <c r="I92" s="649"/>
      <c r="J92" s="650"/>
      <c r="K92" s="651"/>
      <c r="L92" s="685"/>
      <c r="M92" s="651"/>
      <c r="N92" s="626" t="b">
        <f t="shared" si="35"/>
        <v>0</v>
      </c>
      <c r="O92" s="626"/>
      <c r="P92" s="626"/>
      <c r="Q92" s="626"/>
    </row>
    <row r="93" spans="1:70" ht="15" customHeight="1">
      <c r="A93" s="616">
        <f>ROW()</f>
        <v>93</v>
      </c>
      <c r="B93" s="655" t="s">
        <v>2270</v>
      </c>
      <c r="C93" s="656"/>
      <c r="D93" s="647"/>
      <c r="E93" s="1401"/>
      <c r="F93" s="1401"/>
      <c r="G93" s="648"/>
      <c r="H93" s="647"/>
      <c r="I93" s="649"/>
      <c r="J93" s="650"/>
      <c r="K93" s="651"/>
      <c r="L93" s="685"/>
      <c r="M93" s="651"/>
      <c r="N93" s="1822" t="b">
        <f t="shared" ref="N93:N95" si="36">I93&lt;&gt;0</f>
        <v>0</v>
      </c>
      <c r="O93" s="1822"/>
      <c r="P93" s="1822"/>
      <c r="Q93" s="1822"/>
    </row>
    <row r="94" spans="1:70" ht="15" customHeight="1">
      <c r="B94" s="655" t="s">
        <v>2271</v>
      </c>
      <c r="C94" s="656"/>
      <c r="D94" s="647"/>
      <c r="E94" s="1401"/>
      <c r="F94" s="1401"/>
      <c r="G94" s="648"/>
      <c r="H94" s="660"/>
      <c r="I94" s="663">
        <f>SUMIF(建具の明細!B$5:B$51,建具!B94,建具の明細!K$5:K$51)</f>
        <v>0</v>
      </c>
      <c r="J94" s="661">
        <v>0</v>
      </c>
      <c r="K94" s="651"/>
      <c r="L94" s="685" t="s">
        <v>2272</v>
      </c>
      <c r="M94" s="651"/>
      <c r="N94" s="1822" t="b">
        <f t="shared" si="36"/>
        <v>0</v>
      </c>
      <c r="O94" s="1822"/>
      <c r="P94" s="1822"/>
      <c r="Q94" s="1822"/>
    </row>
    <row r="95" spans="1:70" ht="15" customHeight="1">
      <c r="B95" s="655" t="s">
        <v>578</v>
      </c>
      <c r="C95" s="656"/>
      <c r="D95" s="647"/>
      <c r="E95" s="1401"/>
      <c r="F95" s="1401"/>
      <c r="G95" s="648"/>
      <c r="H95" s="647"/>
      <c r="I95" s="649"/>
      <c r="J95" s="650"/>
      <c r="K95" s="651"/>
      <c r="L95" s="685"/>
      <c r="M95" s="651"/>
      <c r="N95" s="1822" t="b">
        <f t="shared" si="36"/>
        <v>0</v>
      </c>
      <c r="O95" s="1822"/>
      <c r="P95" s="1822"/>
      <c r="Q95" s="1822"/>
    </row>
    <row r="96" spans="1:70" ht="15" customHeight="1">
      <c r="A96" s="616">
        <f>ROW()</f>
        <v>96</v>
      </c>
      <c r="B96" s="655" t="s">
        <v>1111</v>
      </c>
      <c r="C96" s="656"/>
      <c r="D96" s="647"/>
      <c r="E96" s="1401"/>
      <c r="F96" s="1401"/>
      <c r="G96" s="648"/>
      <c r="H96" s="647"/>
      <c r="I96" s="649"/>
      <c r="J96" s="650"/>
      <c r="K96" s="651"/>
      <c r="L96" s="685"/>
      <c r="M96" s="651"/>
      <c r="N96" s="626" t="b">
        <f t="shared" si="35"/>
        <v>0</v>
      </c>
      <c r="O96" s="626"/>
      <c r="P96" s="626"/>
      <c r="Q96" s="626"/>
    </row>
    <row r="97" spans="2:70" ht="15" customHeight="1">
      <c r="B97" s="674" t="s">
        <v>1112</v>
      </c>
      <c r="C97" s="675"/>
      <c r="D97" s="647">
        <f t="shared" ref="D97:D101" si="37">ROUNDDOWN(K97,-1)</f>
        <v>0</v>
      </c>
      <c r="E97" s="1737">
        <v>1</v>
      </c>
      <c r="F97" s="1401"/>
      <c r="G97" s="648">
        <f>+ROUNDDOWN(E97*IF(F97=0,1,F97),2)</f>
        <v>1</v>
      </c>
      <c r="H97" s="660">
        <f t="shared" ref="H97:H101" si="38">INT(D97*G97)</f>
        <v>0</v>
      </c>
      <c r="I97" s="663">
        <f>SUMIF(建具の明細!B$5:B$51,建具!B97,建具の明細!K$5:K$51)</f>
        <v>0</v>
      </c>
      <c r="J97" s="661">
        <f t="shared" ref="J97:J101" si="39">INT(I97*H97)</f>
        <v>0</v>
      </c>
      <c r="K97" s="659"/>
      <c r="L97" s="658"/>
      <c r="M97" s="659"/>
      <c r="N97" s="626" t="b">
        <f t="shared" si="35"/>
        <v>0</v>
      </c>
      <c r="O97" s="626"/>
      <c r="P97" s="626"/>
      <c r="Q97" s="626"/>
    </row>
    <row r="98" spans="2:70" ht="15" customHeight="1">
      <c r="B98" s="674" t="s">
        <v>1113</v>
      </c>
      <c r="C98" s="675"/>
      <c r="D98" s="647">
        <f t="shared" si="37"/>
        <v>0</v>
      </c>
      <c r="E98" s="1737">
        <v>1</v>
      </c>
      <c r="F98" s="1401"/>
      <c r="G98" s="648">
        <f t="shared" ref="G98:G101" si="40">+ROUNDDOWN(E98*IF(F98=0,1,F98),2)</f>
        <v>1</v>
      </c>
      <c r="H98" s="660">
        <f t="shared" si="38"/>
        <v>0</v>
      </c>
      <c r="I98" s="663">
        <f>SUMIF(建具の明細!B$5:B$51,建具!B98,建具の明細!K$5:K$51)</f>
        <v>0</v>
      </c>
      <c r="J98" s="661">
        <f t="shared" si="39"/>
        <v>0</v>
      </c>
      <c r="K98" s="659"/>
      <c r="L98" s="658"/>
      <c r="M98" s="659"/>
      <c r="N98" s="626" t="b">
        <f t="shared" si="35"/>
        <v>0</v>
      </c>
      <c r="O98" s="626"/>
      <c r="P98" s="626"/>
      <c r="Q98" s="626"/>
    </row>
    <row r="99" spans="2:70" ht="15" customHeight="1">
      <c r="B99" s="674" t="s">
        <v>1114</v>
      </c>
      <c r="C99" s="675"/>
      <c r="D99" s="647">
        <f t="shared" si="37"/>
        <v>0</v>
      </c>
      <c r="E99" s="1737">
        <v>1</v>
      </c>
      <c r="F99" s="1401"/>
      <c r="G99" s="648">
        <f t="shared" si="40"/>
        <v>1</v>
      </c>
      <c r="H99" s="660">
        <f t="shared" si="38"/>
        <v>0</v>
      </c>
      <c r="I99" s="663">
        <f>SUMIF(建具の明細!B$5:B$51,建具!B99,建具の明細!K$5:K$51)</f>
        <v>0</v>
      </c>
      <c r="J99" s="661">
        <f t="shared" si="39"/>
        <v>0</v>
      </c>
      <c r="K99" s="659"/>
      <c r="L99" s="658"/>
      <c r="M99" s="659"/>
      <c r="N99" s="626" t="b">
        <f t="shared" si="35"/>
        <v>0</v>
      </c>
      <c r="O99" s="626"/>
      <c r="P99" s="626"/>
      <c r="Q99" s="626"/>
    </row>
    <row r="100" spans="2:70" ht="15" customHeight="1">
      <c r="B100" s="674" t="s">
        <v>1115</v>
      </c>
      <c r="C100" s="675"/>
      <c r="D100" s="647">
        <f t="shared" si="37"/>
        <v>0</v>
      </c>
      <c r="E100" s="1737">
        <v>1</v>
      </c>
      <c r="F100" s="1401"/>
      <c r="G100" s="648">
        <f t="shared" si="40"/>
        <v>1</v>
      </c>
      <c r="H100" s="660">
        <f t="shared" si="38"/>
        <v>0</v>
      </c>
      <c r="I100" s="663">
        <f>SUMIF(建具の明細!B$5:B$51,建具!B100,建具の明細!K$5:K$51)</f>
        <v>0</v>
      </c>
      <c r="J100" s="661">
        <f t="shared" si="39"/>
        <v>0</v>
      </c>
      <c r="K100" s="659"/>
      <c r="L100" s="658"/>
      <c r="M100" s="659"/>
      <c r="N100" s="626" t="b">
        <f t="shared" si="35"/>
        <v>0</v>
      </c>
      <c r="O100" s="626"/>
      <c r="P100" s="626"/>
      <c r="Q100" s="626"/>
    </row>
    <row r="101" spans="2:70" ht="15" customHeight="1">
      <c r="B101" s="676" t="s">
        <v>1116</v>
      </c>
      <c r="C101" s="677"/>
      <c r="D101" s="662">
        <f t="shared" si="37"/>
        <v>0</v>
      </c>
      <c r="E101" s="1738">
        <v>1</v>
      </c>
      <c r="F101" s="1402"/>
      <c r="G101" s="1736">
        <f t="shared" si="40"/>
        <v>1</v>
      </c>
      <c r="H101" s="666">
        <f t="shared" si="38"/>
        <v>0</v>
      </c>
      <c r="I101" s="667">
        <f>SUMIF(建具の明細!B$5:B$51,建具!B101,建具の明細!K$5:K$51)</f>
        <v>0</v>
      </c>
      <c r="J101" s="668">
        <f t="shared" si="39"/>
        <v>0</v>
      </c>
      <c r="K101" s="678"/>
      <c r="L101" s="679"/>
      <c r="M101" s="680"/>
      <c r="N101" s="626" t="b">
        <f t="shared" si="35"/>
        <v>0</v>
      </c>
      <c r="O101" s="626"/>
      <c r="P101" s="626"/>
      <c r="Q101" s="626"/>
    </row>
    <row r="102" spans="2:70" ht="15" customHeight="1">
      <c r="B102" s="681" t="s">
        <v>1117</v>
      </c>
      <c r="C102" s="682"/>
      <c r="D102" s="639"/>
      <c r="E102" s="1400"/>
      <c r="F102" s="1400"/>
      <c r="G102" s="640"/>
      <c r="H102" s="639"/>
      <c r="I102" s="641"/>
      <c r="J102" s="642"/>
      <c r="K102" s="643"/>
      <c r="L102" s="644"/>
      <c r="M102" s="643"/>
      <c r="N102" s="626" t="b">
        <f t="shared" si="35"/>
        <v>0</v>
      </c>
      <c r="O102" s="626"/>
      <c r="P102" s="626"/>
      <c r="Q102" s="626"/>
    </row>
    <row r="103" spans="2:70" ht="15" customHeight="1">
      <c r="B103" s="683" t="s">
        <v>578</v>
      </c>
      <c r="C103" s="684"/>
      <c r="D103" s="647"/>
      <c r="E103" s="1401"/>
      <c r="F103" s="1401"/>
      <c r="G103" s="648"/>
      <c r="H103" s="647"/>
      <c r="I103" s="649"/>
      <c r="J103" s="650"/>
      <c r="K103" s="651"/>
      <c r="L103" s="685"/>
      <c r="M103" s="651"/>
      <c r="N103" s="626" t="b">
        <f t="shared" si="35"/>
        <v>0</v>
      </c>
      <c r="O103" s="626"/>
      <c r="P103" s="626"/>
      <c r="Q103" s="626"/>
    </row>
    <row r="104" spans="2:70" ht="15" customHeight="1">
      <c r="B104" s="1542" t="s">
        <v>1356</v>
      </c>
      <c r="C104" s="1543" t="s">
        <v>163</v>
      </c>
      <c r="D104" s="1544"/>
      <c r="E104" s="1545"/>
      <c r="F104" s="1545"/>
      <c r="G104" s="1546"/>
      <c r="H104" s="1544"/>
      <c r="I104" s="1547">
        <f>SUMIF(建具の明細!D$5:D$51,建具!B104,建具の明細!L$5:L$51)</f>
        <v>0</v>
      </c>
      <c r="J104" s="1548"/>
      <c r="K104" s="1549"/>
      <c r="L104" s="1550"/>
      <c r="M104" s="1549"/>
      <c r="N104" s="626" t="b">
        <f>+FALSE</f>
        <v>0</v>
      </c>
      <c r="O104" s="626" t="s">
        <v>1353</v>
      </c>
      <c r="P104" s="626"/>
      <c r="Q104" s="626"/>
    </row>
    <row r="105" spans="2:70" ht="15" customHeight="1">
      <c r="B105" s="1542" t="s">
        <v>1357</v>
      </c>
      <c r="C105" s="1543" t="s">
        <v>163</v>
      </c>
      <c r="D105" s="1544"/>
      <c r="E105" s="1545"/>
      <c r="F105" s="1545"/>
      <c r="G105" s="1546"/>
      <c r="H105" s="1544"/>
      <c r="I105" s="1547">
        <f>SUMIF(建具の明細!D$5:D$51,建具!B105,建具の明細!L$5:L$51)</f>
        <v>0</v>
      </c>
      <c r="J105" s="1548"/>
      <c r="K105" s="1549"/>
      <c r="L105" s="1551" t="s">
        <v>1206</v>
      </c>
      <c r="M105" s="1552"/>
      <c r="N105" s="626" t="b">
        <f>+FALSE</f>
        <v>0</v>
      </c>
      <c r="O105" s="626" t="s">
        <v>1354</v>
      </c>
      <c r="P105" s="626"/>
      <c r="Q105" s="626"/>
    </row>
    <row r="106" spans="2:70" ht="15" customHeight="1">
      <c r="B106" s="1542" t="s">
        <v>1358</v>
      </c>
      <c r="C106" s="1543" t="s">
        <v>163</v>
      </c>
      <c r="D106" s="1544"/>
      <c r="E106" s="1545"/>
      <c r="F106" s="1545"/>
      <c r="G106" s="1546"/>
      <c r="H106" s="1544"/>
      <c r="I106" s="1547">
        <f>SUMIF(建具の明細!D$5:D$51,建具!B106,建具の明細!L$5:L$51)</f>
        <v>0</v>
      </c>
      <c r="J106" s="1548"/>
      <c r="K106" s="1549"/>
      <c r="L106" s="1550"/>
      <c r="M106" s="1549"/>
      <c r="N106" s="626" t="b">
        <f>+FALSE</f>
        <v>0</v>
      </c>
      <c r="O106" s="626" t="s">
        <v>1355</v>
      </c>
      <c r="P106" s="626"/>
      <c r="Q106" s="626"/>
    </row>
    <row r="107" spans="2:70" ht="15" customHeight="1">
      <c r="B107" s="1542" t="s">
        <v>1359</v>
      </c>
      <c r="C107" s="1543" t="s">
        <v>163</v>
      </c>
      <c r="D107" s="1544"/>
      <c r="E107" s="1545"/>
      <c r="F107" s="1545"/>
      <c r="G107" s="1546"/>
      <c r="H107" s="1544"/>
      <c r="I107" s="1547">
        <f>SUMIF(建具の明細!D$5:D$51,建具!B107,建具の明細!L$5:L$51)</f>
        <v>0</v>
      </c>
      <c r="J107" s="1548"/>
      <c r="K107" s="1553"/>
      <c r="L107" s="1551" t="s">
        <v>1206</v>
      </c>
      <c r="M107" s="1552"/>
      <c r="N107" s="626" t="b">
        <f>+FALSE</f>
        <v>0</v>
      </c>
      <c r="O107" s="626" t="s">
        <v>1530</v>
      </c>
      <c r="P107" s="626"/>
      <c r="Q107" s="626"/>
    </row>
    <row r="108" spans="2:70" ht="15" customHeight="1">
      <c r="B108" s="655" t="s">
        <v>1351</v>
      </c>
      <c r="C108" s="686" t="s">
        <v>80</v>
      </c>
      <c r="D108" s="647">
        <f t="shared" ref="D108:D116" si="41">ROUNDDOWN(K108,-1)</f>
        <v>3750</v>
      </c>
      <c r="E108" s="1737">
        <v>1</v>
      </c>
      <c r="F108" s="1401"/>
      <c r="G108" s="648">
        <f t="shared" ref="G108:G109" si="42">+ROUNDDOWN(E108*IF(F108=0,1,F108),2)</f>
        <v>1</v>
      </c>
      <c r="H108" s="660">
        <f t="shared" ref="H108:H116" si="43">INT(D108*G108)</f>
        <v>3750</v>
      </c>
      <c r="I108" s="663">
        <f>+SUM(I104:I105)</f>
        <v>0</v>
      </c>
      <c r="J108" s="661">
        <f t="shared" ref="J108:J116" si="44">INT(I108*H108)</f>
        <v>0</v>
      </c>
      <c r="K108" s="659">
        <v>3751</v>
      </c>
      <c r="L108" s="658"/>
      <c r="M108" s="659"/>
      <c r="N108" s="626" t="b">
        <f t="shared" ref="N108:N135" si="45">I108&lt;&gt;0</f>
        <v>0</v>
      </c>
      <c r="O108" s="626"/>
      <c r="P108" s="626"/>
      <c r="Q108" s="626"/>
      <c r="T108" s="616"/>
      <c r="U108" s="616"/>
      <c r="V108" s="616"/>
      <c r="W108" s="621"/>
      <c r="Y108" s="621"/>
      <c r="AA108" s="616"/>
      <c r="AC108" s="621"/>
      <c r="AF108" s="616"/>
      <c r="AH108" s="621"/>
      <c r="AK108" s="616"/>
      <c r="AM108" s="621"/>
      <c r="AO108" s="616"/>
      <c r="AQ108" s="621"/>
      <c r="AS108" s="616"/>
      <c r="AU108" s="621"/>
      <c r="BB108" s="616"/>
      <c r="BD108" s="621"/>
      <c r="BF108" s="616"/>
      <c r="BH108" s="621"/>
      <c r="BK108" s="616"/>
      <c r="BM108" s="621"/>
      <c r="BN108" s="616"/>
      <c r="BO108" s="616"/>
      <c r="BQ108" s="621"/>
      <c r="BR108" s="621"/>
    </row>
    <row r="109" spans="2:70" ht="15" customHeight="1">
      <c r="B109" s="1541" t="s">
        <v>1352</v>
      </c>
      <c r="C109" s="1314" t="s">
        <v>80</v>
      </c>
      <c r="D109" s="662">
        <f t="shared" si="41"/>
        <v>4530</v>
      </c>
      <c r="E109" s="1738">
        <v>1</v>
      </c>
      <c r="F109" s="1402"/>
      <c r="G109" s="1736">
        <f t="shared" si="42"/>
        <v>1</v>
      </c>
      <c r="H109" s="666">
        <f t="shared" si="43"/>
        <v>4530</v>
      </c>
      <c r="I109" s="667">
        <f>+SUM(I106:I107)</f>
        <v>0</v>
      </c>
      <c r="J109" s="668">
        <f t="shared" si="44"/>
        <v>0</v>
      </c>
      <c r="K109" s="678">
        <v>4535</v>
      </c>
      <c r="L109" s="1315"/>
      <c r="M109" s="678"/>
      <c r="N109" s="626" t="b">
        <f t="shared" si="45"/>
        <v>0</v>
      </c>
      <c r="O109" s="626"/>
      <c r="P109" s="626"/>
      <c r="Q109" s="626"/>
      <c r="T109" s="616"/>
      <c r="U109" s="616"/>
      <c r="V109" s="616"/>
      <c r="W109" s="621"/>
      <c r="Y109" s="621"/>
      <c r="AA109" s="616"/>
      <c r="AC109" s="621"/>
      <c r="AF109" s="616"/>
      <c r="AH109" s="621"/>
      <c r="AK109" s="616"/>
      <c r="AM109" s="621"/>
      <c r="AO109" s="616"/>
      <c r="AQ109" s="621"/>
      <c r="AS109" s="616"/>
      <c r="AU109" s="621"/>
      <c r="BB109" s="616"/>
      <c r="BD109" s="621"/>
      <c r="BF109" s="616"/>
      <c r="BH109" s="621"/>
      <c r="BK109" s="616"/>
      <c r="BM109" s="621"/>
      <c r="BN109" s="616"/>
      <c r="BO109" s="616"/>
      <c r="BQ109" s="621"/>
      <c r="BR109" s="621"/>
    </row>
    <row r="110" spans="2:70" ht="15" customHeight="1">
      <c r="B110" s="681" t="s">
        <v>1140</v>
      </c>
      <c r="C110" s="1316"/>
      <c r="D110" s="639"/>
      <c r="E110" s="1400"/>
      <c r="F110" s="1400"/>
      <c r="G110" s="640"/>
      <c r="H110" s="671"/>
      <c r="I110" s="672"/>
      <c r="J110" s="673"/>
      <c r="K110" s="643"/>
      <c r="L110" s="644"/>
      <c r="M110" s="643"/>
      <c r="N110" s="626" t="b">
        <f t="shared" si="45"/>
        <v>0</v>
      </c>
      <c r="O110" s="626"/>
      <c r="P110" s="626"/>
      <c r="Q110" s="626"/>
      <c r="T110" s="616"/>
      <c r="U110" s="616"/>
      <c r="V110" s="616"/>
      <c r="Y110" s="621"/>
      <c r="AA110" s="616"/>
      <c r="AC110" s="621"/>
      <c r="AF110" s="616"/>
      <c r="AH110" s="621"/>
      <c r="AK110" s="616"/>
      <c r="AM110" s="621"/>
      <c r="AO110" s="616"/>
      <c r="AQ110" s="621"/>
      <c r="AS110" s="616"/>
      <c r="AU110" s="621"/>
      <c r="BB110" s="616"/>
      <c r="BD110" s="621"/>
      <c r="BF110" s="616"/>
      <c r="BH110" s="621"/>
      <c r="BK110" s="616"/>
      <c r="BM110" s="621"/>
      <c r="BN110" s="616"/>
      <c r="BO110" s="616"/>
      <c r="BQ110" s="621"/>
      <c r="BR110" s="621"/>
    </row>
    <row r="111" spans="2:70" ht="15" customHeight="1">
      <c r="B111" s="683" t="s">
        <v>578</v>
      </c>
      <c r="C111" s="684"/>
      <c r="D111" s="647"/>
      <c r="E111" s="1401"/>
      <c r="F111" s="1401"/>
      <c r="G111" s="648"/>
      <c r="H111" s="647"/>
      <c r="I111" s="649"/>
      <c r="J111" s="650"/>
      <c r="K111" s="651"/>
      <c r="L111" s="685"/>
      <c r="M111" s="651"/>
      <c r="N111" s="626" t="b">
        <f t="shared" ref="N111" si="46">I111&lt;&gt;0</f>
        <v>0</v>
      </c>
      <c r="O111" s="626"/>
      <c r="P111" s="626"/>
      <c r="Q111" s="626"/>
    </row>
    <row r="112" spans="2:70" ht="15" customHeight="1">
      <c r="B112" s="683" t="s">
        <v>1192</v>
      </c>
      <c r="C112" s="686"/>
      <c r="D112" s="647">
        <f t="shared" si="41"/>
        <v>385770</v>
      </c>
      <c r="E112" s="1737">
        <v>1</v>
      </c>
      <c r="F112" s="1401"/>
      <c r="G112" s="648">
        <f t="shared" ref="G112:G118" si="47">+ROUNDDOWN(E112*IF(F112=0,1,F112),2)</f>
        <v>1</v>
      </c>
      <c r="H112" s="647">
        <f t="shared" si="43"/>
        <v>385770</v>
      </c>
      <c r="I112" s="1304">
        <f>SUMIF(建具の明細!E$5:E$51,建具!B112,建具の明細!J$5:J$51)</f>
        <v>0</v>
      </c>
      <c r="J112" s="650">
        <f t="shared" si="44"/>
        <v>0</v>
      </c>
      <c r="K112" s="651">
        <v>385774</v>
      </c>
      <c r="L112" s="658"/>
      <c r="M112" s="659"/>
      <c r="N112" s="626" t="b">
        <f t="shared" si="45"/>
        <v>0</v>
      </c>
      <c r="O112" s="626"/>
      <c r="P112" s="626"/>
      <c r="Q112" s="626"/>
      <c r="R112"/>
      <c r="T112" s="616"/>
      <c r="U112"/>
      <c r="V112"/>
      <c r="W112" s="1318"/>
      <c r="Y112" s="621"/>
      <c r="AA112" s="616"/>
      <c r="AC112" s="621"/>
      <c r="AF112" s="616"/>
      <c r="AH112" s="621"/>
      <c r="AK112" s="616"/>
      <c r="AM112" s="621"/>
      <c r="AO112" s="616"/>
      <c r="AQ112" s="621"/>
      <c r="AS112" s="616"/>
      <c r="AU112" s="621"/>
      <c r="BB112" s="616"/>
      <c r="BD112" s="621"/>
      <c r="BF112" s="616"/>
      <c r="BH112" s="621"/>
      <c r="BK112" s="616"/>
      <c r="BM112" s="621"/>
      <c r="BN112" s="616"/>
      <c r="BO112" s="616"/>
      <c r="BQ112" s="621"/>
      <c r="BR112" s="621"/>
    </row>
    <row r="113" spans="1:70" ht="15" customHeight="1">
      <c r="B113" s="683" t="s">
        <v>1193</v>
      </c>
      <c r="C113" s="686"/>
      <c r="D113" s="647">
        <f t="shared" si="41"/>
        <v>329770</v>
      </c>
      <c r="E113" s="1737">
        <v>1</v>
      </c>
      <c r="F113" s="1401"/>
      <c r="G113" s="648">
        <f t="shared" si="47"/>
        <v>1</v>
      </c>
      <c r="H113" s="647">
        <f t="shared" si="43"/>
        <v>329770</v>
      </c>
      <c r="I113" s="1304">
        <f>SUMIF(建具の明細!E$5:E$51,建具!B113,建具の明細!J$5:J$51)</f>
        <v>0</v>
      </c>
      <c r="J113" s="650">
        <f t="shared" si="44"/>
        <v>0</v>
      </c>
      <c r="K113" s="651">
        <v>329774</v>
      </c>
      <c r="L113" s="658"/>
      <c r="M113" s="659"/>
      <c r="N113" s="626" t="b">
        <f t="shared" si="45"/>
        <v>0</v>
      </c>
      <c r="O113" s="626"/>
      <c r="P113" s="626"/>
      <c r="Q113" s="626"/>
      <c r="R113"/>
      <c r="T113" s="616"/>
      <c r="U113"/>
      <c r="V113"/>
      <c r="W113" s="1318"/>
      <c r="Y113" s="621"/>
      <c r="AA113" s="616"/>
      <c r="AC113" s="621"/>
      <c r="AF113" s="616"/>
      <c r="AH113" s="621"/>
      <c r="AK113" s="616"/>
      <c r="AM113" s="621"/>
      <c r="AO113" s="616"/>
      <c r="AQ113" s="621"/>
      <c r="AS113" s="616"/>
      <c r="AU113" s="621"/>
      <c r="BB113" s="616"/>
      <c r="BD113" s="621"/>
      <c r="BF113" s="616"/>
      <c r="BH113" s="621"/>
      <c r="BK113" s="616"/>
      <c r="BM113" s="621"/>
      <c r="BN113" s="616"/>
      <c r="BO113" s="616"/>
      <c r="BQ113" s="621"/>
      <c r="BR113" s="621"/>
    </row>
    <row r="114" spans="1:70" ht="15" customHeight="1">
      <c r="B114" s="683" t="s">
        <v>1267</v>
      </c>
      <c r="C114" s="686"/>
      <c r="D114" s="647">
        <f t="shared" si="41"/>
        <v>85000</v>
      </c>
      <c r="E114" s="1737">
        <v>1</v>
      </c>
      <c r="F114" s="1401"/>
      <c r="G114" s="648">
        <f t="shared" si="47"/>
        <v>1</v>
      </c>
      <c r="H114" s="647">
        <f t="shared" si="43"/>
        <v>85000</v>
      </c>
      <c r="I114" s="1304">
        <f>SUMIF(建具の明細!E$5:E$51,建具!B114,建具の明細!J$5:J$51)</f>
        <v>0</v>
      </c>
      <c r="J114" s="650">
        <f t="shared" si="44"/>
        <v>0</v>
      </c>
      <c r="K114" s="651">
        <v>85000</v>
      </c>
      <c r="L114" s="658"/>
      <c r="M114" s="659"/>
      <c r="N114" s="626" t="b">
        <f t="shared" si="45"/>
        <v>0</v>
      </c>
      <c r="O114" s="626" t="s">
        <v>1626</v>
      </c>
      <c r="P114" s="626"/>
      <c r="Q114" s="626"/>
      <c r="R114"/>
      <c r="T114" s="616"/>
      <c r="U114"/>
      <c r="V114"/>
      <c r="W114" s="1318"/>
      <c r="Y114" s="621"/>
      <c r="AA114" s="616"/>
      <c r="AC114" s="621"/>
      <c r="AF114" s="616"/>
      <c r="AH114" s="621"/>
      <c r="AK114" s="616"/>
      <c r="AM114" s="621"/>
      <c r="AO114" s="616"/>
      <c r="AQ114" s="621"/>
      <c r="AS114" s="616"/>
      <c r="AU114" s="621"/>
      <c r="BB114" s="616"/>
      <c r="BD114" s="621"/>
      <c r="BF114" s="616"/>
      <c r="BH114" s="621"/>
      <c r="BK114" s="616"/>
      <c r="BM114" s="621"/>
      <c r="BN114" s="616"/>
      <c r="BO114" s="616"/>
      <c r="BQ114" s="621"/>
      <c r="BR114" s="621"/>
    </row>
    <row r="115" spans="1:70" ht="15" customHeight="1">
      <c r="B115" s="683" t="s">
        <v>1268</v>
      </c>
      <c r="C115" s="686"/>
      <c r="D115" s="647">
        <f t="shared" si="41"/>
        <v>176190</v>
      </c>
      <c r="E115" s="1737">
        <v>1</v>
      </c>
      <c r="F115" s="1401"/>
      <c r="G115" s="648">
        <f t="shared" si="47"/>
        <v>1</v>
      </c>
      <c r="H115" s="647">
        <f t="shared" si="43"/>
        <v>176190</v>
      </c>
      <c r="I115" s="1304">
        <f>SUMIF(建具の明細!E$5:E$51,建具!B115,建具の明細!J$5:J$51)</f>
        <v>0</v>
      </c>
      <c r="J115" s="650">
        <f t="shared" si="44"/>
        <v>0</v>
      </c>
      <c r="K115" s="651">
        <v>176190</v>
      </c>
      <c r="L115" s="658"/>
      <c r="M115" s="659"/>
      <c r="N115" s="626" t="b">
        <f t="shared" si="45"/>
        <v>0</v>
      </c>
      <c r="O115" s="626" t="s">
        <v>1627</v>
      </c>
      <c r="P115" s="626"/>
      <c r="Q115" s="626"/>
      <c r="R115"/>
      <c r="T115" s="616"/>
      <c r="U115"/>
      <c r="V115"/>
      <c r="W115" s="1318"/>
      <c r="Y115" s="621"/>
      <c r="AA115" s="616"/>
      <c r="AC115" s="621"/>
      <c r="AF115" s="616"/>
      <c r="AH115" s="621"/>
      <c r="AK115" s="616"/>
      <c r="AM115" s="621"/>
      <c r="AO115" s="616"/>
      <c r="AQ115" s="621"/>
      <c r="AS115" s="616"/>
      <c r="AU115" s="621"/>
      <c r="BB115" s="616"/>
      <c r="BD115" s="621"/>
      <c r="BF115" s="616"/>
      <c r="BH115" s="621"/>
      <c r="BK115" s="616"/>
      <c r="BM115" s="621"/>
      <c r="BN115" s="616"/>
      <c r="BO115" s="616"/>
      <c r="BQ115" s="621"/>
      <c r="BR115" s="621"/>
    </row>
    <row r="116" spans="1:70" ht="15" customHeight="1">
      <c r="B116" s="683" t="s">
        <v>1269</v>
      </c>
      <c r="C116" s="686"/>
      <c r="D116" s="647">
        <f t="shared" si="41"/>
        <v>211810</v>
      </c>
      <c r="E116" s="1737">
        <v>1</v>
      </c>
      <c r="F116" s="1401"/>
      <c r="G116" s="648">
        <f t="shared" si="47"/>
        <v>1</v>
      </c>
      <c r="H116" s="647">
        <f t="shared" si="43"/>
        <v>211810</v>
      </c>
      <c r="I116" s="1304">
        <f>SUMIF(建具の明細!E$5:E$51,建具!B116,建具の明細!J$5:J$51)</f>
        <v>0</v>
      </c>
      <c r="J116" s="650">
        <f t="shared" si="44"/>
        <v>0</v>
      </c>
      <c r="K116" s="651">
        <v>211810</v>
      </c>
      <c r="L116" s="658"/>
      <c r="M116" s="659"/>
      <c r="N116" s="626" t="b">
        <f t="shared" si="45"/>
        <v>0</v>
      </c>
      <c r="O116" s="626" t="s">
        <v>2286</v>
      </c>
      <c r="P116" s="626"/>
      <c r="Q116" s="626"/>
      <c r="R116"/>
      <c r="T116" s="616"/>
      <c r="U116"/>
      <c r="V116"/>
      <c r="W116" s="1318"/>
      <c r="Y116" s="621"/>
      <c r="AA116" s="616"/>
      <c r="AC116" s="621"/>
      <c r="AF116" s="616"/>
      <c r="AH116" s="621"/>
      <c r="AK116" s="616"/>
      <c r="AM116" s="621"/>
      <c r="AO116" s="616"/>
      <c r="AQ116" s="621"/>
      <c r="AS116" s="616"/>
      <c r="AU116" s="621"/>
      <c r="BB116" s="616"/>
      <c r="BD116" s="621"/>
      <c r="BF116" s="616"/>
      <c r="BH116" s="621"/>
      <c r="BK116" s="616"/>
      <c r="BM116" s="621"/>
      <c r="BN116" s="616"/>
      <c r="BO116" s="616"/>
      <c r="BQ116" s="621"/>
      <c r="BR116" s="621"/>
    </row>
    <row r="117" spans="1:70" ht="15" customHeight="1">
      <c r="B117" s="1321" t="s">
        <v>1141</v>
      </c>
      <c r="C117" s="686"/>
      <c r="D117" s="647">
        <f t="shared" ref="D117:D118" si="48">ROUNDDOWN(K117,-1)</f>
        <v>0</v>
      </c>
      <c r="E117" s="1737">
        <v>1</v>
      </c>
      <c r="F117" s="1401"/>
      <c r="G117" s="648">
        <f t="shared" si="47"/>
        <v>1</v>
      </c>
      <c r="H117" s="647">
        <f t="shared" ref="H117:H118" si="49">INT(D117*G117)</f>
        <v>0</v>
      </c>
      <c r="I117" s="1304">
        <f>SUMIF(建具の明細!E$5:E$51,建具!B117,建具の明細!J$5:J$51)</f>
        <v>0</v>
      </c>
      <c r="J117" s="650">
        <f t="shared" ref="J117:J118" si="50">INT(I117*H117)</f>
        <v>0</v>
      </c>
      <c r="K117" s="1319"/>
      <c r="L117" s="658"/>
      <c r="M117" s="659"/>
      <c r="N117" s="626" t="b">
        <f t="shared" ref="N117:N118" si="51">I117&lt;&gt;0</f>
        <v>0</v>
      </c>
      <c r="O117" s="626"/>
      <c r="P117" s="626"/>
      <c r="Q117" s="626"/>
      <c r="R117"/>
      <c r="T117" s="616"/>
      <c r="U117"/>
      <c r="V117"/>
      <c r="W117" s="1318"/>
      <c r="Y117" s="621"/>
      <c r="AA117" s="616"/>
      <c r="AC117" s="621"/>
      <c r="AF117" s="616"/>
      <c r="AH117" s="621"/>
      <c r="AK117" s="616"/>
      <c r="AM117" s="621"/>
      <c r="AO117" s="616"/>
      <c r="AQ117" s="621"/>
      <c r="AS117" s="616"/>
      <c r="AU117" s="621"/>
      <c r="BB117" s="616"/>
      <c r="BD117" s="621"/>
      <c r="BF117" s="616"/>
      <c r="BH117" s="621"/>
      <c r="BK117" s="616"/>
      <c r="BM117" s="621"/>
      <c r="BN117" s="616"/>
      <c r="BO117" s="616"/>
      <c r="BQ117" s="621"/>
      <c r="BR117" s="621"/>
    </row>
    <row r="118" spans="1:70" ht="15" customHeight="1">
      <c r="B118" s="1322" t="s">
        <v>1142</v>
      </c>
      <c r="C118" s="1317"/>
      <c r="D118" s="669">
        <f t="shared" si="48"/>
        <v>0</v>
      </c>
      <c r="E118" s="1739">
        <v>1</v>
      </c>
      <c r="F118" s="1403"/>
      <c r="G118" s="1740">
        <f t="shared" si="47"/>
        <v>1</v>
      </c>
      <c r="H118" s="669">
        <f t="shared" si="49"/>
        <v>0</v>
      </c>
      <c r="I118" s="1417">
        <f>SUMIF(建具の明細!E$5:E$51,建具!B118,建具の明細!J$5:J$51)</f>
        <v>0</v>
      </c>
      <c r="J118" s="670">
        <f t="shared" si="50"/>
        <v>0</v>
      </c>
      <c r="K118" s="1320"/>
      <c r="L118" s="679"/>
      <c r="M118" s="680"/>
      <c r="N118" s="626" t="b">
        <f t="shared" si="51"/>
        <v>0</v>
      </c>
      <c r="O118" s="626"/>
      <c r="P118" s="626"/>
      <c r="Q118" s="626"/>
      <c r="R118"/>
      <c r="T118" s="616"/>
      <c r="U118"/>
      <c r="V118"/>
      <c r="W118" s="1318"/>
      <c r="Y118" s="621"/>
      <c r="AA118" s="616"/>
      <c r="AC118" s="621"/>
      <c r="AF118" s="616"/>
      <c r="AH118" s="621"/>
      <c r="AK118" s="616"/>
      <c r="AM118" s="621"/>
      <c r="AO118" s="616"/>
      <c r="AQ118" s="621"/>
      <c r="AS118" s="616"/>
      <c r="AU118" s="621"/>
      <c r="BB118" s="616"/>
      <c r="BD118" s="621"/>
      <c r="BF118" s="616"/>
      <c r="BH118" s="621"/>
      <c r="BK118" s="616"/>
      <c r="BM118" s="621"/>
      <c r="BN118" s="616"/>
      <c r="BO118" s="616"/>
      <c r="BQ118" s="621"/>
      <c r="BR118" s="621"/>
    </row>
    <row r="119" spans="1:70" ht="15" customHeight="1">
      <c r="A119" s="616">
        <f>+ROW()</f>
        <v>119</v>
      </c>
      <c r="B119" s="681" t="s">
        <v>81</v>
      </c>
      <c r="C119" s="682"/>
      <c r="D119" s="639"/>
      <c r="E119" s="1400"/>
      <c r="F119" s="1400"/>
      <c r="G119" s="640"/>
      <c r="H119" s="639"/>
      <c r="I119" s="641"/>
      <c r="J119" s="642"/>
      <c r="K119" s="643"/>
      <c r="L119" s="644"/>
      <c r="M119" s="643"/>
      <c r="N119" s="626" t="b">
        <f t="shared" si="45"/>
        <v>0</v>
      </c>
      <c r="O119" s="626"/>
      <c r="P119" s="626"/>
      <c r="Q119" s="626"/>
    </row>
    <row r="120" spans="1:70" ht="15" customHeight="1">
      <c r="B120" s="687" t="s">
        <v>578</v>
      </c>
      <c r="C120" s="684"/>
      <c r="D120" s="688"/>
      <c r="E120" s="1404"/>
      <c r="F120" s="1404"/>
      <c r="G120" s="648"/>
      <c r="H120" s="660"/>
      <c r="I120" s="663"/>
      <c r="J120" s="661"/>
      <c r="K120" s="689"/>
      <c r="L120" s="685"/>
      <c r="M120" s="651"/>
      <c r="N120" s="626" t="b">
        <f t="shared" si="45"/>
        <v>0</v>
      </c>
      <c r="O120" s="1822"/>
      <c r="P120" s="626"/>
      <c r="Q120" s="626"/>
    </row>
    <row r="121" spans="1:70" ht="15" customHeight="1">
      <c r="B121" s="655" t="s">
        <v>2081</v>
      </c>
      <c r="C121" s="656" t="s">
        <v>82</v>
      </c>
      <c r="D121" s="647">
        <f t="shared" ref="D121:D135" si="52">ROUNDDOWN(K121,-1)</f>
        <v>12500</v>
      </c>
      <c r="E121" s="1737">
        <v>1</v>
      </c>
      <c r="F121" s="1741" t="s">
        <v>1196</v>
      </c>
      <c r="G121" s="648">
        <f>+E121</f>
        <v>1</v>
      </c>
      <c r="H121" s="647">
        <f t="shared" ref="H121:H135" si="53">INT(D121*G121)</f>
        <v>12500</v>
      </c>
      <c r="I121" s="649">
        <f>SUMIF(建具の明細!C$5:C$51,建具!B121,建具の明細!K$5:K$51)</f>
        <v>0</v>
      </c>
      <c r="J121" s="650">
        <f t="shared" ref="J121:J135" si="54">INT(I121*H121)</f>
        <v>0</v>
      </c>
      <c r="K121" s="651">
        <v>12500</v>
      </c>
      <c r="L121" s="658"/>
      <c r="M121" s="659"/>
      <c r="N121" s="626" t="b">
        <f t="shared" si="45"/>
        <v>0</v>
      </c>
      <c r="O121" s="1822" t="s">
        <v>2080</v>
      </c>
      <c r="P121" s="626"/>
      <c r="Q121" s="626"/>
    </row>
    <row r="122" spans="1:70" ht="15" customHeight="1">
      <c r="B122" s="655" t="s">
        <v>2082</v>
      </c>
      <c r="C122" s="656" t="s">
        <v>82</v>
      </c>
      <c r="D122" s="647">
        <f t="shared" si="52"/>
        <v>8550</v>
      </c>
      <c r="E122" s="1737">
        <v>1</v>
      </c>
      <c r="F122" s="1741" t="s">
        <v>1195</v>
      </c>
      <c r="G122" s="648">
        <f t="shared" ref="G122:G135" si="55">+E122</f>
        <v>1</v>
      </c>
      <c r="H122" s="647">
        <f t="shared" si="53"/>
        <v>8550</v>
      </c>
      <c r="I122" s="649">
        <f>SUMIF(建具の明細!C$5:C$51,建具!B122,建具の明細!K$5:K$51)</f>
        <v>0</v>
      </c>
      <c r="J122" s="650">
        <f t="shared" si="54"/>
        <v>0</v>
      </c>
      <c r="K122" s="651">
        <v>8550</v>
      </c>
      <c r="L122" s="658"/>
      <c r="M122" s="659"/>
      <c r="N122" s="626" t="b">
        <f t="shared" si="45"/>
        <v>0</v>
      </c>
      <c r="O122" s="1822" t="s">
        <v>2268</v>
      </c>
      <c r="P122" s="626"/>
      <c r="Q122" s="626"/>
    </row>
    <row r="123" spans="1:70" ht="15" customHeight="1">
      <c r="B123" s="655" t="s">
        <v>2083</v>
      </c>
      <c r="C123" s="656" t="s">
        <v>82</v>
      </c>
      <c r="D123" s="647">
        <f t="shared" si="52"/>
        <v>4460</v>
      </c>
      <c r="E123" s="1737">
        <v>1</v>
      </c>
      <c r="F123" s="1741" t="s">
        <v>1195</v>
      </c>
      <c r="G123" s="648">
        <f t="shared" si="55"/>
        <v>1</v>
      </c>
      <c r="H123" s="647">
        <f t="shared" si="53"/>
        <v>4460</v>
      </c>
      <c r="I123" s="649">
        <f>SUMIF(建具の明細!C$5:C$51,建具!B123,建具の明細!K$5:K$51)</f>
        <v>0</v>
      </c>
      <c r="J123" s="650">
        <f t="shared" si="54"/>
        <v>0</v>
      </c>
      <c r="K123" s="651">
        <v>4460</v>
      </c>
      <c r="L123" s="658"/>
      <c r="M123" s="659"/>
      <c r="N123" s="626" t="b">
        <f t="shared" si="45"/>
        <v>0</v>
      </c>
      <c r="O123" s="1822"/>
      <c r="P123" s="626"/>
      <c r="Q123" s="626"/>
    </row>
    <row r="124" spans="1:70" ht="15" customHeight="1">
      <c r="B124" s="655" t="s">
        <v>2084</v>
      </c>
      <c r="C124" s="656" t="s">
        <v>163</v>
      </c>
      <c r="D124" s="647">
        <f t="shared" si="52"/>
        <v>3460</v>
      </c>
      <c r="E124" s="1737">
        <v>1</v>
      </c>
      <c r="F124" s="1741" t="s">
        <v>1195</v>
      </c>
      <c r="G124" s="648">
        <f t="shared" si="55"/>
        <v>1</v>
      </c>
      <c r="H124" s="647">
        <f t="shared" si="53"/>
        <v>3460</v>
      </c>
      <c r="I124" s="649">
        <f>SUMIF(建具の明細!C$5:C$51,建具!B124,建具の明細!K$5:K$51)</f>
        <v>0</v>
      </c>
      <c r="J124" s="650">
        <f t="shared" si="54"/>
        <v>0</v>
      </c>
      <c r="K124" s="651">
        <v>3460</v>
      </c>
      <c r="L124" s="658"/>
      <c r="M124" s="659"/>
      <c r="N124" s="626" t="b">
        <f t="shared" si="45"/>
        <v>0</v>
      </c>
      <c r="O124" s="1822" t="s">
        <v>2269</v>
      </c>
      <c r="P124" s="626"/>
      <c r="Q124" s="626"/>
    </row>
    <row r="125" spans="1:70" ht="15" customHeight="1">
      <c r="B125" s="655" t="s">
        <v>2085</v>
      </c>
      <c r="C125" s="656" t="s">
        <v>852</v>
      </c>
      <c r="D125" s="647">
        <f t="shared" si="52"/>
        <v>1690</v>
      </c>
      <c r="E125" s="1737">
        <v>1</v>
      </c>
      <c r="F125" s="1741" t="s">
        <v>1195</v>
      </c>
      <c r="G125" s="648">
        <f t="shared" si="55"/>
        <v>1</v>
      </c>
      <c r="H125" s="647">
        <f t="shared" si="53"/>
        <v>1690</v>
      </c>
      <c r="I125" s="649">
        <f>SUMIF(建具の明細!C$5:C$51,建具!B125,建具の明細!K$5:K$51)</f>
        <v>0</v>
      </c>
      <c r="J125" s="650">
        <f t="shared" si="54"/>
        <v>0</v>
      </c>
      <c r="K125" s="651">
        <v>1690</v>
      </c>
      <c r="L125" s="658"/>
      <c r="M125" s="659"/>
      <c r="N125" s="626" t="b">
        <f t="shared" si="45"/>
        <v>0</v>
      </c>
      <c r="O125" s="1822"/>
      <c r="P125" s="626"/>
      <c r="Q125" s="626"/>
    </row>
    <row r="126" spans="1:70" ht="15" customHeight="1">
      <c r="B126" s="655" t="s">
        <v>1201</v>
      </c>
      <c r="C126" s="656" t="s">
        <v>83</v>
      </c>
      <c r="D126" s="647">
        <f t="shared" si="52"/>
        <v>139850</v>
      </c>
      <c r="E126" s="1737">
        <v>1</v>
      </c>
      <c r="F126" s="1741" t="s">
        <v>1195</v>
      </c>
      <c r="G126" s="648">
        <f t="shared" si="55"/>
        <v>1</v>
      </c>
      <c r="H126" s="647">
        <f t="shared" si="53"/>
        <v>139850</v>
      </c>
      <c r="I126" s="649">
        <f>SUMIF(建具の明細!C$5:C$51,建具!B126,建具の明細!K$5:K$51)</f>
        <v>0</v>
      </c>
      <c r="J126" s="650">
        <f t="shared" si="54"/>
        <v>0</v>
      </c>
      <c r="K126" s="651">
        <v>139856</v>
      </c>
      <c r="L126" s="658"/>
      <c r="M126" s="659"/>
      <c r="N126" s="626" t="b">
        <f t="shared" si="45"/>
        <v>0</v>
      </c>
      <c r="O126" s="1822"/>
      <c r="P126" s="626"/>
      <c r="Q126" s="626"/>
    </row>
    <row r="127" spans="1:70" ht="15" customHeight="1">
      <c r="B127" s="655" t="s">
        <v>1202</v>
      </c>
      <c r="C127" s="656" t="s">
        <v>83</v>
      </c>
      <c r="D127" s="647">
        <f t="shared" si="52"/>
        <v>930370</v>
      </c>
      <c r="E127" s="1737">
        <v>1</v>
      </c>
      <c r="F127" s="1741" t="s">
        <v>1195</v>
      </c>
      <c r="G127" s="648">
        <f t="shared" si="55"/>
        <v>1</v>
      </c>
      <c r="H127" s="647">
        <f t="shared" si="53"/>
        <v>930370</v>
      </c>
      <c r="I127" s="649">
        <f>SUMIF(建具の明細!C$5:C$51,建具!B127,建具の明細!K$5:K$51)</f>
        <v>0</v>
      </c>
      <c r="J127" s="650">
        <f t="shared" si="54"/>
        <v>0</v>
      </c>
      <c r="K127" s="651">
        <v>930374</v>
      </c>
      <c r="L127" s="658"/>
      <c r="M127" s="659"/>
      <c r="N127" s="626" t="b">
        <f t="shared" si="45"/>
        <v>0</v>
      </c>
      <c r="O127" s="626"/>
      <c r="P127" s="626"/>
      <c r="Q127" s="626"/>
    </row>
    <row r="128" spans="1:70" ht="15" customHeight="1">
      <c r="B128" s="655" t="s">
        <v>1203</v>
      </c>
      <c r="C128" s="656" t="s">
        <v>83</v>
      </c>
      <c r="D128" s="647">
        <f t="shared" si="52"/>
        <v>630520</v>
      </c>
      <c r="E128" s="1737">
        <v>1</v>
      </c>
      <c r="F128" s="1741" t="s">
        <v>1195</v>
      </c>
      <c r="G128" s="648">
        <f t="shared" si="55"/>
        <v>1</v>
      </c>
      <c r="H128" s="647">
        <f t="shared" si="53"/>
        <v>630520</v>
      </c>
      <c r="I128" s="649">
        <f>SUMIF(建具の明細!C$5:C$51,建具!B128,建具の明細!K$5:K$51)</f>
        <v>0</v>
      </c>
      <c r="J128" s="650">
        <f t="shared" si="54"/>
        <v>0</v>
      </c>
      <c r="K128" s="651">
        <v>630522</v>
      </c>
      <c r="L128" s="658"/>
      <c r="M128" s="659"/>
      <c r="N128" s="626" t="b">
        <f t="shared" si="45"/>
        <v>0</v>
      </c>
      <c r="O128" s="626"/>
      <c r="P128" s="626"/>
      <c r="Q128" s="626"/>
    </row>
    <row r="129" spans="2:17" ht="15" customHeight="1">
      <c r="B129" s="655" t="s">
        <v>1204</v>
      </c>
      <c r="C129" s="656" t="s">
        <v>83</v>
      </c>
      <c r="D129" s="647">
        <f t="shared" si="52"/>
        <v>464510</v>
      </c>
      <c r="E129" s="1737">
        <v>1</v>
      </c>
      <c r="F129" s="1741" t="s">
        <v>1195</v>
      </c>
      <c r="G129" s="648">
        <f t="shared" si="55"/>
        <v>1</v>
      </c>
      <c r="H129" s="647">
        <f t="shared" si="53"/>
        <v>464510</v>
      </c>
      <c r="I129" s="649">
        <f>SUMIF(建具の明細!C$5:C$51,建具!B129,建具の明細!K$5:K$51)</f>
        <v>0</v>
      </c>
      <c r="J129" s="650">
        <f t="shared" si="54"/>
        <v>0</v>
      </c>
      <c r="K129" s="651">
        <v>464512</v>
      </c>
      <c r="L129" s="658"/>
      <c r="M129" s="659"/>
      <c r="N129" s="626" t="b">
        <f t="shared" si="45"/>
        <v>0</v>
      </c>
      <c r="O129" s="626"/>
      <c r="P129" s="626"/>
      <c r="Q129" s="626"/>
    </row>
    <row r="130" spans="2:17" ht="15" customHeight="1">
      <c r="B130" s="674" t="s">
        <v>84</v>
      </c>
      <c r="C130" s="656" t="s">
        <v>54</v>
      </c>
      <c r="D130" s="647">
        <f t="shared" ref="D130" si="56">ROUNDDOWN(K130,-1)</f>
        <v>0</v>
      </c>
      <c r="E130" s="1737">
        <v>1</v>
      </c>
      <c r="F130" s="1741" t="s">
        <v>1195</v>
      </c>
      <c r="G130" s="648">
        <f t="shared" si="55"/>
        <v>1</v>
      </c>
      <c r="H130" s="660">
        <f t="shared" ref="H130" si="57">INT(D130*G130)</f>
        <v>0</v>
      </c>
      <c r="I130" s="663">
        <f>SUMIF(建具の明細!C$5:C$51,建具!B130,建具の明細!K$5:K$51)</f>
        <v>0</v>
      </c>
      <c r="J130" s="661">
        <f t="shared" ref="J130" si="58">INT(I130*H130)</f>
        <v>0</v>
      </c>
      <c r="K130" s="659"/>
      <c r="L130" s="658"/>
      <c r="M130" s="659"/>
      <c r="N130" s="626" t="b">
        <f t="shared" ref="N130" si="59">I130&lt;&gt;0</f>
        <v>0</v>
      </c>
      <c r="O130" s="626"/>
      <c r="P130" s="626"/>
      <c r="Q130" s="626"/>
    </row>
    <row r="131" spans="2:17" ht="15" customHeight="1">
      <c r="B131" s="674" t="s">
        <v>85</v>
      </c>
      <c r="C131" s="656" t="s">
        <v>54</v>
      </c>
      <c r="D131" s="647">
        <f t="shared" ref="D131:D133" si="60">ROUNDDOWN(K131,-1)</f>
        <v>0</v>
      </c>
      <c r="E131" s="1737">
        <v>1</v>
      </c>
      <c r="F131" s="1741" t="s">
        <v>1195</v>
      </c>
      <c r="G131" s="648">
        <f t="shared" si="55"/>
        <v>1</v>
      </c>
      <c r="H131" s="660">
        <f t="shared" ref="H131:H133" si="61">INT(D131*G131)</f>
        <v>0</v>
      </c>
      <c r="I131" s="663">
        <f>SUMIF(建具の明細!C$5:C$51,建具!B131,建具の明細!K$5:K$51)</f>
        <v>0</v>
      </c>
      <c r="J131" s="661">
        <f t="shared" ref="J131:J133" si="62">INT(I131*H131)</f>
        <v>0</v>
      </c>
      <c r="K131" s="659"/>
      <c r="L131" s="658"/>
      <c r="M131" s="659"/>
      <c r="N131" s="626" t="b">
        <f t="shared" ref="N131:N133" si="63">I131&lt;&gt;0</f>
        <v>0</v>
      </c>
      <c r="O131" s="626"/>
      <c r="P131" s="626"/>
      <c r="Q131" s="626"/>
    </row>
    <row r="132" spans="2:17" ht="15" customHeight="1">
      <c r="B132" s="674" t="s">
        <v>1200</v>
      </c>
      <c r="C132" s="656" t="s">
        <v>54</v>
      </c>
      <c r="D132" s="647">
        <f t="shared" si="60"/>
        <v>0</v>
      </c>
      <c r="E132" s="1737">
        <v>1</v>
      </c>
      <c r="F132" s="1741" t="s">
        <v>1195</v>
      </c>
      <c r="G132" s="648">
        <f t="shared" si="55"/>
        <v>1</v>
      </c>
      <c r="H132" s="660">
        <f t="shared" si="61"/>
        <v>0</v>
      </c>
      <c r="I132" s="663">
        <f>SUMIF(建具の明細!C$5:C$51,建具!B132,建具の明細!K$5:K$51)</f>
        <v>0</v>
      </c>
      <c r="J132" s="661">
        <f t="shared" si="62"/>
        <v>0</v>
      </c>
      <c r="K132" s="659"/>
      <c r="L132" s="658"/>
      <c r="M132" s="659"/>
      <c r="N132" s="626" t="b">
        <f t="shared" si="63"/>
        <v>0</v>
      </c>
      <c r="O132" s="626"/>
      <c r="P132" s="626"/>
      <c r="Q132" s="626"/>
    </row>
    <row r="133" spans="2:17" ht="15" customHeight="1">
      <c r="B133" s="674" t="s">
        <v>1199</v>
      </c>
      <c r="C133" s="656" t="s">
        <v>54</v>
      </c>
      <c r="D133" s="647">
        <f t="shared" si="60"/>
        <v>0</v>
      </c>
      <c r="E133" s="1737">
        <v>1</v>
      </c>
      <c r="F133" s="1741" t="s">
        <v>1195</v>
      </c>
      <c r="G133" s="648">
        <f t="shared" si="55"/>
        <v>1</v>
      </c>
      <c r="H133" s="660">
        <f t="shared" si="61"/>
        <v>0</v>
      </c>
      <c r="I133" s="663">
        <f>SUMIF(建具の明細!C$5:C$51,建具!B133,建具の明細!K$5:K$51)</f>
        <v>0</v>
      </c>
      <c r="J133" s="661">
        <f t="shared" si="62"/>
        <v>0</v>
      </c>
      <c r="K133" s="659"/>
      <c r="L133" s="658"/>
      <c r="M133" s="659"/>
      <c r="N133" s="626" t="b">
        <f t="shared" si="63"/>
        <v>0</v>
      </c>
      <c r="O133" s="626"/>
      <c r="P133" s="626"/>
      <c r="Q133" s="626"/>
    </row>
    <row r="134" spans="2:17" ht="15" customHeight="1">
      <c r="B134" s="674" t="s">
        <v>1198</v>
      </c>
      <c r="C134" s="656" t="s">
        <v>168</v>
      </c>
      <c r="D134" s="647">
        <f t="shared" si="52"/>
        <v>0</v>
      </c>
      <c r="E134" s="1737">
        <v>1</v>
      </c>
      <c r="F134" s="1741" t="s">
        <v>1195</v>
      </c>
      <c r="G134" s="648">
        <f t="shared" si="55"/>
        <v>1</v>
      </c>
      <c r="H134" s="660">
        <f t="shared" si="53"/>
        <v>0</v>
      </c>
      <c r="I134" s="663">
        <f>SUMIF(建具の明細!C$5:C$51,建具!B134,建具の明細!K$5:K$51)</f>
        <v>0</v>
      </c>
      <c r="J134" s="661">
        <f t="shared" si="54"/>
        <v>0</v>
      </c>
      <c r="K134" s="659"/>
      <c r="L134" s="658"/>
      <c r="M134" s="659"/>
      <c r="N134" s="626" t="b">
        <f t="shared" si="45"/>
        <v>0</v>
      </c>
      <c r="O134" s="626"/>
      <c r="P134" s="626"/>
      <c r="Q134" s="626"/>
    </row>
    <row r="135" spans="2:17" ht="15" customHeight="1">
      <c r="B135" s="674" t="s">
        <v>1197</v>
      </c>
      <c r="C135" s="656" t="s">
        <v>168</v>
      </c>
      <c r="D135" s="647">
        <f t="shared" si="52"/>
        <v>0</v>
      </c>
      <c r="E135" s="1737">
        <v>1</v>
      </c>
      <c r="F135" s="1741" t="s">
        <v>1195</v>
      </c>
      <c r="G135" s="648">
        <f t="shared" si="55"/>
        <v>1</v>
      </c>
      <c r="H135" s="660">
        <f t="shared" si="53"/>
        <v>0</v>
      </c>
      <c r="I135" s="663">
        <f>SUMIF(建具の明細!C$5:C$51,建具!B135,建具の明細!K$5:K$51)</f>
        <v>0</v>
      </c>
      <c r="J135" s="661">
        <f t="shared" si="54"/>
        <v>0</v>
      </c>
      <c r="K135" s="659"/>
      <c r="L135" s="658"/>
      <c r="M135" s="659"/>
      <c r="N135" s="626" t="b">
        <f t="shared" si="45"/>
        <v>0</v>
      </c>
      <c r="O135" s="626"/>
      <c r="P135" s="626"/>
      <c r="Q135" s="626"/>
    </row>
    <row r="136" spans="2:17" ht="15" customHeight="1" thickBot="1">
      <c r="B136" s="3385" t="s">
        <v>1265</v>
      </c>
      <c r="C136" s="3386"/>
      <c r="D136" s="3386"/>
      <c r="E136" s="3386"/>
      <c r="F136" s="3386"/>
      <c r="G136" s="3386"/>
      <c r="H136" s="3386"/>
      <c r="I136" s="3387"/>
      <c r="J136" s="2083">
        <f>SUM(J6:J135,M141)</f>
        <v>0</v>
      </c>
      <c r="K136" s="692"/>
      <c r="L136" s="693"/>
      <c r="M136" s="692"/>
      <c r="N136" s="626" t="b">
        <v>1</v>
      </c>
      <c r="O136" s="626"/>
      <c r="P136" s="626"/>
      <c r="Q136" s="626"/>
    </row>
    <row r="137" spans="2:17" ht="15" customHeight="1">
      <c r="H137" s="626" t="s">
        <v>1262</v>
      </c>
      <c r="I137" s="1422">
        <f>SUM(I8:I135)-SUM(I104:I107,I112:I118)</f>
        <v>0</v>
      </c>
      <c r="N137" s="626" t="b">
        <f>J173&lt;&gt;0</f>
        <v>0</v>
      </c>
      <c r="O137" s="626"/>
      <c r="P137" s="626"/>
      <c r="Q137" s="626"/>
    </row>
    <row r="138" spans="2:17" ht="15" customHeight="1">
      <c r="B138" s="1822"/>
      <c r="G138" s="1822"/>
      <c r="H138" s="1822"/>
      <c r="I138" s="1422"/>
      <c r="N138" s="1822" t="b">
        <f>N140</f>
        <v>0</v>
      </c>
      <c r="O138" s="1822"/>
      <c r="P138" s="1822"/>
      <c r="Q138" s="1822"/>
    </row>
    <row r="139" spans="2:17" ht="15" customHeight="1">
      <c r="B139" s="633" t="s">
        <v>2246</v>
      </c>
      <c r="C139" s="2084"/>
      <c r="D139" s="2085"/>
      <c r="E139" s="2085"/>
      <c r="F139" s="2085"/>
      <c r="G139" s="2086"/>
      <c r="H139" s="2086"/>
      <c r="I139" s="2087"/>
      <c r="J139" s="2085"/>
      <c r="K139" s="2085"/>
      <c r="L139" s="2085"/>
      <c r="M139" s="2088"/>
      <c r="N139" s="1822" t="b">
        <f>N141</f>
        <v>0</v>
      </c>
      <c r="O139" s="1822"/>
      <c r="P139" s="1822"/>
      <c r="Q139" s="1822"/>
    </row>
    <row r="140" spans="2:17" ht="15" customHeight="1">
      <c r="B140" s="2365" t="s">
        <v>2245</v>
      </c>
      <c r="C140" s="3368" t="s">
        <v>2242</v>
      </c>
      <c r="D140" s="3368"/>
      <c r="E140" s="3369" t="s">
        <v>2240</v>
      </c>
      <c r="F140" s="3369"/>
      <c r="G140" s="3369"/>
      <c r="H140" s="3369"/>
      <c r="I140" s="3369"/>
      <c r="J140" s="3369"/>
      <c r="K140" s="3369" t="s">
        <v>2243</v>
      </c>
      <c r="L140" s="3369"/>
      <c r="M140" s="2366" t="s">
        <v>2244</v>
      </c>
      <c r="N140" s="2259" t="b">
        <f>M141&lt;&gt;0</f>
        <v>0</v>
      </c>
      <c r="O140" s="1822" t="s">
        <v>2372</v>
      </c>
      <c r="P140" s="1822"/>
      <c r="Q140" s="1822"/>
    </row>
    <row r="141" spans="2:17" ht="15" customHeight="1">
      <c r="B141" s="3412"/>
      <c r="C141" s="3370" t="str">
        <f>IF(B141="","－",VLOOKUP($B$141,住宅建具総合,2))</f>
        <v>－</v>
      </c>
      <c r="D141" s="3370"/>
      <c r="E141" s="3410" t="s">
        <v>2234</v>
      </c>
      <c r="F141" s="2367"/>
      <c r="G141" s="2368" t="e">
        <f>VLOOKUP($B$141,住宅建具総合,15)</f>
        <v>#N/A</v>
      </c>
      <c r="H141" s="2369" t="e">
        <f>VLOOKUP($B$141,住宅建具総合,18)</f>
        <v>#N/A</v>
      </c>
      <c r="I141" s="2369" t="e">
        <f>VLOOKUP($B$141,住宅建具総合,21)</f>
        <v>#N/A</v>
      </c>
      <c r="J141" s="2370" t="s">
        <v>2235</v>
      </c>
      <c r="K141" s="3375">
        <f>調書!I13</f>
        <v>0</v>
      </c>
      <c r="L141" s="3362" t="s">
        <v>2241</v>
      </c>
      <c r="M141" s="3365">
        <f>IF(C141="－",0,INT(C141*K141*J148))</f>
        <v>0</v>
      </c>
      <c r="N141" s="2259" t="b">
        <f>N$140</f>
        <v>0</v>
      </c>
      <c r="O141" s="2475" t="s">
        <v>2337</v>
      </c>
      <c r="P141" s="1822"/>
      <c r="Q141" s="1822"/>
    </row>
    <row r="142" spans="2:17" ht="15" customHeight="1">
      <c r="B142" s="3412"/>
      <c r="C142" s="3370"/>
      <c r="D142" s="3370"/>
      <c r="E142" s="3411"/>
      <c r="F142" s="2371" t="e">
        <f>HLOOKUP(F141,G141:J143,2,0)</f>
        <v>#N/A</v>
      </c>
      <c r="G142" s="2372" t="e">
        <f>VLOOKUP($B$141,住宅建具総合,16)</f>
        <v>#N/A</v>
      </c>
      <c r="H142" s="2373" t="e">
        <f>VLOOKUP($B$141,住宅建具総合,19)</f>
        <v>#N/A</v>
      </c>
      <c r="I142" s="2373" t="e">
        <f>VLOOKUP($B$141,住宅建具総合,22)</f>
        <v>#N/A</v>
      </c>
      <c r="J142" s="2374" t="e">
        <f>ROUNDDOWN(E149/調書!I13,2)</f>
        <v>#DIV/0!</v>
      </c>
      <c r="K142" s="3376"/>
      <c r="L142" s="3363"/>
      <c r="M142" s="3366"/>
      <c r="N142" s="2259" t="b">
        <f t="shared" ref="N142:N149" si="64">N$140</f>
        <v>0</v>
      </c>
      <c r="O142" s="635" t="s">
        <v>2338</v>
      </c>
      <c r="P142" s="1822"/>
      <c r="Q142" s="1822"/>
    </row>
    <row r="143" spans="2:17" ht="15" customHeight="1">
      <c r="B143" s="3412"/>
      <c r="C143" s="3370"/>
      <c r="D143" s="3370"/>
      <c r="E143" s="3411"/>
      <c r="F143" s="2375" t="e">
        <f>HLOOKUP(F141,G141:J143,3,0)</f>
        <v>#N/A</v>
      </c>
      <c r="G143" s="2376" t="e">
        <f>VLOOKUP($B$141,住宅建具総合,17)</f>
        <v>#N/A</v>
      </c>
      <c r="H143" s="2377" t="e">
        <f>VLOOKUP($B$141,住宅建具総合,20)</f>
        <v>#N/A</v>
      </c>
      <c r="I143" s="2377" t="e">
        <f>VLOOKUP($B$141,住宅建具総合,23)</f>
        <v>#N/A</v>
      </c>
      <c r="J143" s="2378" t="str">
        <f>IF(E149,ROUNDDOWN(1+(J142-H142)*IF(J142&gt;H142,(G143-H143)/(G142-H142),(H143-I143)/(H142-I142)),2),"-")</f>
        <v>-</v>
      </c>
      <c r="K143" s="3376"/>
      <c r="L143" s="3363"/>
      <c r="M143" s="3366"/>
      <c r="N143" s="2259" t="b">
        <f t="shared" si="64"/>
        <v>0</v>
      </c>
      <c r="O143" s="635" t="s">
        <v>2339</v>
      </c>
      <c r="P143" s="1822"/>
      <c r="Q143" s="1822"/>
    </row>
    <row r="144" spans="2:17" ht="15" customHeight="1">
      <c r="B144" s="3412"/>
      <c r="C144" s="3370"/>
      <c r="D144" s="3370"/>
      <c r="E144" s="3411" t="s">
        <v>2236</v>
      </c>
      <c r="F144" s="2379"/>
      <c r="G144" s="2380" t="e">
        <f>VLOOKUP($B$141,住宅建具総合,3)</f>
        <v>#N/A</v>
      </c>
      <c r="H144" s="2381" t="e">
        <f>VLOOKUP($B$141,住宅建具総合,5)</f>
        <v>#N/A</v>
      </c>
      <c r="I144" s="2382" t="e">
        <f>VLOOKUP($B$141,住宅建具総合,7)</f>
        <v>#N/A</v>
      </c>
      <c r="J144" s="2383"/>
      <c r="K144" s="3376"/>
      <c r="L144" s="3363"/>
      <c r="M144" s="3366"/>
      <c r="N144" s="2259" t="b">
        <f t="shared" si="64"/>
        <v>0</v>
      </c>
      <c r="P144" s="1822"/>
      <c r="Q144" s="1822"/>
    </row>
    <row r="145" spans="1:17" ht="15" customHeight="1">
      <c r="B145" s="3412"/>
      <c r="C145" s="3370"/>
      <c r="D145" s="3370"/>
      <c r="E145" s="3411"/>
      <c r="F145" s="2384" t="e">
        <f>HLOOKUP(F144,G144:I145,2,0)</f>
        <v>#N/A</v>
      </c>
      <c r="G145" s="2385" t="e">
        <f>VLOOKUP($B$141,住宅建具総合,4)</f>
        <v>#N/A</v>
      </c>
      <c r="H145" s="2385" t="e">
        <f>VLOOKUP($B$141,住宅建具総合,6)</f>
        <v>#N/A</v>
      </c>
      <c r="I145" s="2386" t="e">
        <f>VLOOKUP($B$141,住宅建具総合,8)</f>
        <v>#N/A</v>
      </c>
      <c r="J145" s="2387"/>
      <c r="K145" s="3376"/>
      <c r="L145" s="3363"/>
      <c r="M145" s="3366"/>
      <c r="N145" s="2259" t="b">
        <f t="shared" si="64"/>
        <v>0</v>
      </c>
      <c r="O145" s="1822" t="s">
        <v>2249</v>
      </c>
      <c r="P145" s="1822"/>
      <c r="Q145" s="1822"/>
    </row>
    <row r="146" spans="1:17" ht="15" customHeight="1">
      <c r="B146" s="3412"/>
      <c r="C146" s="3370"/>
      <c r="D146" s="3370"/>
      <c r="E146" s="3377" t="s">
        <v>2239</v>
      </c>
      <c r="F146" s="2388"/>
      <c r="G146" s="2389" t="e">
        <f>VLOOKUP($B$141,住宅建具総合,9)</f>
        <v>#N/A</v>
      </c>
      <c r="H146" s="2389" t="e">
        <f>VLOOKUP($B$141,住宅建具総合,11)</f>
        <v>#N/A</v>
      </c>
      <c r="I146" s="2389" t="e">
        <f>VLOOKUP($B$141,住宅建具総合,13)</f>
        <v>#N/A</v>
      </c>
      <c r="J146" s="2390" t="s">
        <v>2235</v>
      </c>
      <c r="K146" s="3376"/>
      <c r="L146" s="3363"/>
      <c r="M146" s="3366"/>
      <c r="N146" s="2259" t="b">
        <f t="shared" si="64"/>
        <v>0</v>
      </c>
      <c r="O146" s="1822" t="s">
        <v>2248</v>
      </c>
      <c r="P146" s="1822"/>
      <c r="Q146" s="1822"/>
    </row>
    <row r="147" spans="1:17" ht="15" customHeight="1">
      <c r="B147" s="3412"/>
      <c r="C147" s="3370"/>
      <c r="D147" s="3370"/>
      <c r="E147" s="3377"/>
      <c r="F147" s="2384">
        <f>IF(B141="集合形式　中",HLOOKUP(F146,G146:J147,2,0),0)</f>
        <v>0</v>
      </c>
      <c r="G147" s="2391" t="e">
        <f>VLOOKUP($B$141,住宅建具総合,10)</f>
        <v>#N/A</v>
      </c>
      <c r="H147" s="2391" t="e">
        <f>VLOOKUP($B$141,住宅建具総合,12)</f>
        <v>#N/A</v>
      </c>
      <c r="I147" s="2391" t="e">
        <f>VLOOKUP($B$141,住宅建具総合,14)</f>
        <v>#N/A</v>
      </c>
      <c r="J147" s="2392" t="str">
        <f>IF(B141=DB!B550,ROUNDDOWN(IF(G149&gt;G146,1-(G149-G146)*(G147-H147)/(H146-G146),1-(G146-G149)*(G147-I147)/(G146-I146)),2),"－")</f>
        <v>－</v>
      </c>
      <c r="K147" s="3376"/>
      <c r="L147" s="3363"/>
      <c r="M147" s="3366"/>
      <c r="N147" s="2259" t="b">
        <f t="shared" si="64"/>
        <v>0</v>
      </c>
      <c r="O147" s="1822" t="s">
        <v>2247</v>
      </c>
      <c r="P147" s="1822"/>
      <c r="Q147" s="1822"/>
    </row>
    <row r="148" spans="1:17" ht="15" customHeight="1">
      <c r="B148" s="3412"/>
      <c r="C148" s="3370"/>
      <c r="D148" s="3370"/>
      <c r="E148" s="3378" t="s">
        <v>2238</v>
      </c>
      <c r="F148" s="3379"/>
      <c r="G148" s="3380" t="s">
        <v>2237</v>
      </c>
      <c r="H148" s="3380"/>
      <c r="I148" s="3371" t="s">
        <v>2240</v>
      </c>
      <c r="J148" s="3373" t="e">
        <f>IF(F147&lt;&gt;0,ROUNDDOWN(F143*F145*F147,2),ROUNDDOWN(F143*F145,2))</f>
        <v>#N/A</v>
      </c>
      <c r="K148" s="3376"/>
      <c r="L148" s="3363"/>
      <c r="M148" s="3366"/>
      <c r="N148" s="2259" t="b">
        <f t="shared" si="64"/>
        <v>0</v>
      </c>
      <c r="O148" s="616" t="s">
        <v>2352</v>
      </c>
      <c r="P148" s="1822"/>
      <c r="Q148" s="1822"/>
    </row>
    <row r="149" spans="1:17" ht="15" customHeight="1">
      <c r="B149" s="3412"/>
      <c r="C149" s="3370"/>
      <c r="D149" s="3370"/>
      <c r="E149" s="3381">
        <f>I94</f>
        <v>0</v>
      </c>
      <c r="F149" s="3382"/>
      <c r="G149" s="3383"/>
      <c r="H149" s="3383"/>
      <c r="I149" s="3372"/>
      <c r="J149" s="3374"/>
      <c r="K149" s="3373"/>
      <c r="L149" s="3364"/>
      <c r="M149" s="3367"/>
      <c r="N149" s="2259" t="b">
        <f t="shared" si="64"/>
        <v>0</v>
      </c>
      <c r="P149" s="1822"/>
      <c r="Q149" s="1822"/>
    </row>
    <row r="150" spans="1:17" ht="15" customHeight="1">
      <c r="B150" s="1822"/>
      <c r="G150" s="1822"/>
      <c r="H150" s="1822"/>
      <c r="I150" s="1422"/>
      <c r="N150" s="2259" t="b">
        <f>J173&lt;&gt;0</f>
        <v>0</v>
      </c>
      <c r="O150" s="1822"/>
      <c r="P150" s="1822"/>
      <c r="Q150" s="1822"/>
    </row>
    <row r="151" spans="1:17" ht="15" customHeight="1">
      <c r="N151" s="1822" t="b">
        <f>J173&lt;&gt;0</f>
        <v>0</v>
      </c>
      <c r="O151" s="626"/>
      <c r="P151" s="626"/>
      <c r="Q151" s="626"/>
    </row>
    <row r="152" spans="1:17" ht="15" customHeight="1" thickBot="1">
      <c r="B152" s="633" t="s">
        <v>86</v>
      </c>
      <c r="C152" s="634"/>
      <c r="N152" s="626" t="b">
        <f>J173&lt;&gt;0</f>
        <v>0</v>
      </c>
      <c r="O152" s="626"/>
      <c r="P152" s="626"/>
      <c r="Q152" s="626"/>
    </row>
    <row r="153" spans="1:17" ht="15" customHeight="1">
      <c r="B153" s="695" t="s">
        <v>87</v>
      </c>
      <c r="C153" s="690" t="s">
        <v>576</v>
      </c>
      <c r="D153" s="696" t="s">
        <v>1118</v>
      </c>
      <c r="E153" s="1405"/>
      <c r="F153" s="1406"/>
      <c r="G153" s="1410" t="s">
        <v>765</v>
      </c>
      <c r="H153" s="697" t="s">
        <v>1119</v>
      </c>
      <c r="I153" s="698" t="s">
        <v>1127</v>
      </c>
      <c r="J153" s="699" t="s">
        <v>786</v>
      </c>
      <c r="K153" s="700" t="s">
        <v>762</v>
      </c>
      <c r="L153" s="701" t="s">
        <v>1120</v>
      </c>
      <c r="M153" s="702"/>
      <c r="N153" s="626" t="b">
        <f>J173&lt;&gt;0</f>
        <v>0</v>
      </c>
      <c r="O153" s="626"/>
      <c r="P153" s="626"/>
      <c r="Q153" s="626"/>
    </row>
    <row r="154" spans="1:17" ht="15" customHeight="1">
      <c r="B154" s="703" t="s">
        <v>88</v>
      </c>
      <c r="C154" s="704"/>
      <c r="D154" s="1735" t="s">
        <v>1529</v>
      </c>
      <c r="E154" s="706"/>
      <c r="F154" s="705"/>
      <c r="G154" s="1633"/>
      <c r="H154" s="639"/>
      <c r="I154" s="641"/>
      <c r="J154" s="642"/>
      <c r="K154" s="705"/>
      <c r="L154" s="706"/>
      <c r="M154" s="705"/>
      <c r="N154" s="626" t="b">
        <f t="shared" ref="N154:N172" si="65">I154&lt;&gt;0</f>
        <v>0</v>
      </c>
      <c r="O154" s="626"/>
      <c r="P154" s="626"/>
      <c r="Q154" s="626"/>
    </row>
    <row r="155" spans="1:17" ht="15" customHeight="1">
      <c r="A155" s="616">
        <f>ROW()</f>
        <v>155</v>
      </c>
      <c r="B155" s="707" t="s">
        <v>89</v>
      </c>
      <c r="C155" s="708"/>
      <c r="D155" s="709"/>
      <c r="E155" s="711"/>
      <c r="F155" s="710"/>
      <c r="G155" s="648"/>
      <c r="H155" s="647"/>
      <c r="I155" s="649"/>
      <c r="J155" s="650"/>
      <c r="K155" s="710"/>
      <c r="L155" s="711"/>
      <c r="M155" s="710"/>
      <c r="N155" s="626" t="b">
        <f t="shared" si="65"/>
        <v>0</v>
      </c>
      <c r="O155" s="626"/>
      <c r="P155" s="626"/>
      <c r="Q155" s="626"/>
    </row>
    <row r="156" spans="1:17" ht="15" customHeight="1">
      <c r="B156" s="709" t="s">
        <v>90</v>
      </c>
      <c r="C156" s="712" t="s">
        <v>91</v>
      </c>
      <c r="D156" s="1305">
        <f t="shared" ref="D156:D172" si="66">ROUNDDOWN(K156,-1)</f>
        <v>8240</v>
      </c>
      <c r="E156" s="1407"/>
      <c r="F156" s="1308"/>
      <c r="G156" s="657">
        <v>1</v>
      </c>
      <c r="H156" s="1288">
        <f t="shared" ref="H156:H172" si="67">INT(D156*G156)</f>
        <v>8240</v>
      </c>
      <c r="I156" s="1302">
        <f>SUMIF(建具の明細!C$63:C$69,建具!B156,建具の明細!K$63:K$69)</f>
        <v>0</v>
      </c>
      <c r="J156" s="1311">
        <f t="shared" ref="J156:J172" si="68">INT(I156*H156)</f>
        <v>0</v>
      </c>
      <c r="K156" s="1308">
        <v>8242</v>
      </c>
      <c r="L156" s="713"/>
      <c r="M156" s="714"/>
      <c r="N156" s="626" t="b">
        <f t="shared" si="65"/>
        <v>0</v>
      </c>
      <c r="O156" s="1751" t="s">
        <v>1554</v>
      </c>
      <c r="P156" s="626"/>
      <c r="Q156" s="626"/>
    </row>
    <row r="157" spans="1:17" ht="15" customHeight="1">
      <c r="B157" s="709" t="s">
        <v>1128</v>
      </c>
      <c r="C157" s="712" t="s">
        <v>92</v>
      </c>
      <c r="D157" s="1305">
        <f t="shared" si="66"/>
        <v>9630</v>
      </c>
      <c r="E157" s="1407"/>
      <c r="F157" s="1308"/>
      <c r="G157" s="657">
        <v>1</v>
      </c>
      <c r="H157" s="1288">
        <f t="shared" si="67"/>
        <v>9630</v>
      </c>
      <c r="I157" s="1302">
        <f>SUMIF(建具の明細!C$63:C$69,建具!B157,建具の明細!K$63:K$69)</f>
        <v>0</v>
      </c>
      <c r="J157" s="1311">
        <f t="shared" si="68"/>
        <v>0</v>
      </c>
      <c r="K157" s="1308">
        <v>9632</v>
      </c>
      <c r="L157" s="713"/>
      <c r="M157" s="714"/>
      <c r="N157" s="626" t="b">
        <f t="shared" si="65"/>
        <v>0</v>
      </c>
      <c r="O157" s="1751" t="s">
        <v>1555</v>
      </c>
      <c r="P157" s="626"/>
      <c r="Q157" s="626"/>
    </row>
    <row r="158" spans="1:17" ht="15" customHeight="1">
      <c r="B158" s="709" t="s">
        <v>1129</v>
      </c>
      <c r="C158" s="712" t="s">
        <v>92</v>
      </c>
      <c r="D158" s="1305">
        <f t="shared" si="66"/>
        <v>21560</v>
      </c>
      <c r="E158" s="1407"/>
      <c r="F158" s="1308"/>
      <c r="G158" s="657">
        <v>1</v>
      </c>
      <c r="H158" s="1288">
        <f t="shared" si="67"/>
        <v>21560</v>
      </c>
      <c r="I158" s="1302">
        <f>SUMIF(建具の明細!C$63:C$69,建具!B158,建具の明細!K$63:K$69)</f>
        <v>0</v>
      </c>
      <c r="J158" s="1311">
        <f t="shared" si="68"/>
        <v>0</v>
      </c>
      <c r="K158" s="1308">
        <v>21567</v>
      </c>
      <c r="L158" s="713"/>
      <c r="M158" s="714"/>
      <c r="N158" s="626" t="b">
        <f t="shared" si="65"/>
        <v>0</v>
      </c>
      <c r="O158" s="1751" t="s">
        <v>1556</v>
      </c>
      <c r="P158" s="626"/>
      <c r="Q158" s="626"/>
    </row>
    <row r="159" spans="1:17" ht="15" customHeight="1">
      <c r="B159" s="709" t="s">
        <v>93</v>
      </c>
      <c r="C159" s="712" t="s">
        <v>92</v>
      </c>
      <c r="D159" s="1305">
        <f t="shared" si="66"/>
        <v>48070</v>
      </c>
      <c r="E159" s="1407"/>
      <c r="F159" s="1308"/>
      <c r="G159" s="657">
        <v>1</v>
      </c>
      <c r="H159" s="1288">
        <f t="shared" si="67"/>
        <v>48070</v>
      </c>
      <c r="I159" s="1303">
        <f>SUMIF(建具の明細!C$63:C$69,建具!B159,建具の明細!K$63:K$69)</f>
        <v>0</v>
      </c>
      <c r="J159" s="1311">
        <f t="shared" si="68"/>
        <v>0</v>
      </c>
      <c r="K159" s="1308">
        <v>48073</v>
      </c>
      <c r="L159" s="713"/>
      <c r="M159" s="714"/>
      <c r="N159" s="626" t="b">
        <f t="shared" si="65"/>
        <v>0</v>
      </c>
      <c r="O159" s="1751" t="s">
        <v>1557</v>
      </c>
      <c r="P159" s="626" t="s">
        <v>1623</v>
      </c>
      <c r="Q159" s="626"/>
    </row>
    <row r="160" spans="1:17" ht="15" customHeight="1">
      <c r="B160" s="709" t="s">
        <v>94</v>
      </c>
      <c r="C160" s="712" t="s">
        <v>92</v>
      </c>
      <c r="D160" s="1305">
        <f t="shared" si="66"/>
        <v>25990</v>
      </c>
      <c r="E160" s="1407"/>
      <c r="F160" s="1308"/>
      <c r="G160" s="657">
        <v>1</v>
      </c>
      <c r="H160" s="1288">
        <f t="shared" si="67"/>
        <v>25990</v>
      </c>
      <c r="I160" s="1303">
        <f>SUMIF(建具の明細!C$63:C$69,建具!B160,建具の明細!K$63:K$69)</f>
        <v>0</v>
      </c>
      <c r="J160" s="1311">
        <f t="shared" si="68"/>
        <v>0</v>
      </c>
      <c r="K160" s="1308">
        <v>25997</v>
      </c>
      <c r="L160" s="713"/>
      <c r="M160" s="714"/>
      <c r="N160" s="626" t="b">
        <f t="shared" si="65"/>
        <v>0</v>
      </c>
      <c r="O160" s="1751" t="s">
        <v>1557</v>
      </c>
      <c r="P160" s="626" t="s">
        <v>1623</v>
      </c>
      <c r="Q160" s="626"/>
    </row>
    <row r="161" spans="2:17" ht="15" customHeight="1">
      <c r="B161" s="709" t="s">
        <v>1130</v>
      </c>
      <c r="C161" s="712" t="s">
        <v>92</v>
      </c>
      <c r="D161" s="1305">
        <f t="shared" si="66"/>
        <v>8840</v>
      </c>
      <c r="E161" s="1407"/>
      <c r="F161" s="1308"/>
      <c r="G161" s="657">
        <v>1</v>
      </c>
      <c r="H161" s="1288">
        <f t="shared" si="67"/>
        <v>8840</v>
      </c>
      <c r="I161" s="1303">
        <f>SUMIF(建具の明細!C$63:C$69,建具!B161,建具の明細!K$63:K$69)</f>
        <v>0</v>
      </c>
      <c r="J161" s="1311">
        <f t="shared" si="68"/>
        <v>0</v>
      </c>
      <c r="K161" s="1308">
        <v>8848</v>
      </c>
      <c r="L161" s="713"/>
      <c r="M161" s="714"/>
      <c r="N161" s="626" t="b">
        <f t="shared" si="65"/>
        <v>0</v>
      </c>
      <c r="O161" s="1751" t="s">
        <v>1557</v>
      </c>
      <c r="P161" s="626" t="s">
        <v>1623</v>
      </c>
      <c r="Q161" s="626"/>
    </row>
    <row r="162" spans="2:17" ht="15" customHeight="1">
      <c r="B162" s="709" t="s">
        <v>1131</v>
      </c>
      <c r="C162" s="712" t="s">
        <v>92</v>
      </c>
      <c r="D162" s="1305">
        <f>ROUNDDOWN(K162,-1)*M162</f>
        <v>0</v>
      </c>
      <c r="E162" s="1407"/>
      <c r="F162" s="1308"/>
      <c r="G162" s="657">
        <v>1</v>
      </c>
      <c r="H162" s="1288">
        <f t="shared" si="67"/>
        <v>0</v>
      </c>
      <c r="I162" s="1304">
        <f>SUMIF(建具の明細!C$63:C$69,建具!B162,建具の明細!K$63:K$69)</f>
        <v>0</v>
      </c>
      <c r="J162" s="1311">
        <f t="shared" si="68"/>
        <v>0</v>
      </c>
      <c r="K162" s="1308">
        <v>671895</v>
      </c>
      <c r="L162" s="711" t="s">
        <v>1138</v>
      </c>
      <c r="M162" s="1313"/>
      <c r="N162" s="626" t="b">
        <f t="shared" si="65"/>
        <v>0</v>
      </c>
      <c r="O162" s="1751" t="s">
        <v>1558</v>
      </c>
      <c r="P162" s="626" t="s">
        <v>1561</v>
      </c>
      <c r="Q162" s="626"/>
    </row>
    <row r="163" spans="2:17" ht="15" customHeight="1">
      <c r="B163" s="709" t="s">
        <v>95</v>
      </c>
      <c r="C163" s="712" t="s">
        <v>92</v>
      </c>
      <c r="D163" s="1305">
        <f>ROUNDDOWN(K163,-1)*M163</f>
        <v>0</v>
      </c>
      <c r="E163" s="1407"/>
      <c r="F163" s="1308"/>
      <c r="G163" s="657">
        <v>1</v>
      </c>
      <c r="H163" s="1288">
        <f t="shared" si="67"/>
        <v>0</v>
      </c>
      <c r="I163" s="1304">
        <f>SUMIF(建具の明細!C$63:C$69,建具!B163,建具の明細!K$63:K$69)</f>
        <v>0</v>
      </c>
      <c r="J163" s="1311">
        <f t="shared" si="68"/>
        <v>0</v>
      </c>
      <c r="K163" s="1308">
        <v>1119974</v>
      </c>
      <c r="L163" s="711" t="s">
        <v>1138</v>
      </c>
      <c r="M163" s="1313"/>
      <c r="N163" s="626" t="b">
        <f t="shared" si="65"/>
        <v>0</v>
      </c>
      <c r="O163" s="1751" t="s">
        <v>1558</v>
      </c>
      <c r="P163" s="626" t="s">
        <v>1561</v>
      </c>
      <c r="Q163" s="626"/>
    </row>
    <row r="164" spans="2:17" ht="15" customHeight="1">
      <c r="B164" s="709" t="s">
        <v>96</v>
      </c>
      <c r="C164" s="712" t="s">
        <v>92</v>
      </c>
      <c r="D164" s="1305">
        <f>ROUNDDOWN(K164,-1)</f>
        <v>409850</v>
      </c>
      <c r="E164" s="1407"/>
      <c r="F164" s="1308"/>
      <c r="G164" s="657">
        <v>1</v>
      </c>
      <c r="H164" s="1288">
        <f t="shared" si="67"/>
        <v>409850</v>
      </c>
      <c r="I164" s="1304">
        <f>SUMIF(建具の明細!C$63:C$69,建具!B164,建具の明細!K$63:K$69)</f>
        <v>0</v>
      </c>
      <c r="J164" s="1311">
        <f t="shared" si="68"/>
        <v>0</v>
      </c>
      <c r="K164" s="1308">
        <v>409855</v>
      </c>
      <c r="L164" s="713"/>
      <c r="M164" s="714"/>
      <c r="N164" s="626" t="b">
        <f t="shared" si="65"/>
        <v>0</v>
      </c>
      <c r="O164" s="1751" t="s">
        <v>1558</v>
      </c>
      <c r="P164" s="626"/>
      <c r="Q164" s="626"/>
    </row>
    <row r="165" spans="2:17" ht="15" customHeight="1">
      <c r="B165" s="709" t="s">
        <v>1132</v>
      </c>
      <c r="C165" s="712" t="s">
        <v>92</v>
      </c>
      <c r="D165" s="1305">
        <f t="shared" si="66"/>
        <v>93480</v>
      </c>
      <c r="E165" s="1407"/>
      <c r="F165" s="1308"/>
      <c r="G165" s="657">
        <v>1</v>
      </c>
      <c r="H165" s="1288">
        <f t="shared" si="67"/>
        <v>93480</v>
      </c>
      <c r="I165" s="1302">
        <f>SUMIF(建具の明細!C$63:C$69,建具!B165,建具の明細!K$63:K$69)</f>
        <v>0</v>
      </c>
      <c r="J165" s="1311">
        <f t="shared" si="68"/>
        <v>0</v>
      </c>
      <c r="K165" s="1308">
        <v>93487</v>
      </c>
      <c r="L165" s="713"/>
      <c r="M165" s="714"/>
      <c r="N165" s="626" t="b">
        <f t="shared" si="65"/>
        <v>0</v>
      </c>
      <c r="O165" s="1751" t="s">
        <v>1559</v>
      </c>
      <c r="P165" s="626"/>
      <c r="Q165" s="626"/>
    </row>
    <row r="166" spans="2:17" ht="15" customHeight="1">
      <c r="B166" s="709" t="s">
        <v>1133</v>
      </c>
      <c r="C166" s="712" t="s">
        <v>92</v>
      </c>
      <c r="D166" s="1305">
        <f t="shared" si="66"/>
        <v>53740</v>
      </c>
      <c r="E166" s="1407"/>
      <c r="F166" s="1308"/>
      <c r="G166" s="657">
        <v>1</v>
      </c>
      <c r="H166" s="1288">
        <f t="shared" si="67"/>
        <v>53740</v>
      </c>
      <c r="I166" s="1302">
        <f>SUMIF(建具の明細!C$63:C$69,建具!B166,建具の明細!K$63:K$69)</f>
        <v>0</v>
      </c>
      <c r="J166" s="1311">
        <f t="shared" si="68"/>
        <v>0</v>
      </c>
      <c r="K166" s="1308">
        <v>53749</v>
      </c>
      <c r="L166" s="713"/>
      <c r="M166" s="714"/>
      <c r="N166" s="626" t="b">
        <f t="shared" si="65"/>
        <v>0</v>
      </c>
      <c r="O166" s="1751" t="s">
        <v>1559</v>
      </c>
      <c r="P166" s="626"/>
      <c r="Q166" s="626"/>
    </row>
    <row r="167" spans="2:17" ht="15" customHeight="1">
      <c r="B167" s="709" t="s">
        <v>1134</v>
      </c>
      <c r="C167" s="712" t="s">
        <v>92</v>
      </c>
      <c r="D167" s="1305">
        <f t="shared" si="66"/>
        <v>32010</v>
      </c>
      <c r="E167" s="1407"/>
      <c r="F167" s="1308"/>
      <c r="G167" s="657">
        <v>1</v>
      </c>
      <c r="H167" s="1288">
        <f t="shared" si="67"/>
        <v>32010</v>
      </c>
      <c r="I167" s="1302">
        <f>SUMIF(建具の明細!C$63:C$69,建具!B167,建具の明細!K$63:K$69)</f>
        <v>0</v>
      </c>
      <c r="J167" s="1311">
        <f t="shared" si="68"/>
        <v>0</v>
      </c>
      <c r="K167" s="1308">
        <v>32011</v>
      </c>
      <c r="L167" s="713"/>
      <c r="M167" s="714"/>
      <c r="N167" s="626" t="b">
        <f t="shared" si="65"/>
        <v>0</v>
      </c>
      <c r="O167" s="1751" t="s">
        <v>1559</v>
      </c>
      <c r="P167" s="626"/>
      <c r="Q167" s="626"/>
    </row>
    <row r="168" spans="2:17" ht="15" customHeight="1">
      <c r="B168" s="709" t="s">
        <v>97</v>
      </c>
      <c r="C168" s="712" t="s">
        <v>92</v>
      </c>
      <c r="D168" s="1305">
        <f t="shared" si="66"/>
        <v>28780</v>
      </c>
      <c r="E168" s="1407"/>
      <c r="F168" s="1308"/>
      <c r="G168" s="657">
        <v>1</v>
      </c>
      <c r="H168" s="1288">
        <f t="shared" si="67"/>
        <v>28780</v>
      </c>
      <c r="I168" s="1302">
        <f>SUMIF(建具の明細!C$63:C$69,建具!B168,建具の明細!K$63:K$69)</f>
        <v>0</v>
      </c>
      <c r="J168" s="1311">
        <f t="shared" si="68"/>
        <v>0</v>
      </c>
      <c r="K168" s="1308">
        <v>28784</v>
      </c>
      <c r="L168" s="713"/>
      <c r="M168" s="714"/>
      <c r="N168" s="626" t="b">
        <f t="shared" si="65"/>
        <v>0</v>
      </c>
      <c r="O168" s="1751" t="s">
        <v>1560</v>
      </c>
      <c r="P168" s="626"/>
      <c r="Q168" s="626" t="s">
        <v>1622</v>
      </c>
    </row>
    <row r="169" spans="2:17" ht="15" customHeight="1">
      <c r="B169" s="709" t="s">
        <v>1135</v>
      </c>
      <c r="C169" s="712" t="s">
        <v>92</v>
      </c>
      <c r="D169" s="1305">
        <f t="shared" si="66"/>
        <v>25550</v>
      </c>
      <c r="E169" s="1407"/>
      <c r="F169" s="1308"/>
      <c r="G169" s="657">
        <v>1</v>
      </c>
      <c r="H169" s="1288">
        <f t="shared" si="67"/>
        <v>25550</v>
      </c>
      <c r="I169" s="1302">
        <f>SUMIF(建具の明細!C$63:C$69,建具!B169,建具の明細!K$63:K$69)</f>
        <v>0</v>
      </c>
      <c r="J169" s="1311">
        <f t="shared" si="68"/>
        <v>0</v>
      </c>
      <c r="K169" s="1308">
        <v>25558</v>
      </c>
      <c r="L169" s="713"/>
      <c r="M169" s="714"/>
      <c r="N169" s="626" t="b">
        <f t="shared" si="65"/>
        <v>0</v>
      </c>
      <c r="O169" s="1751" t="s">
        <v>1560</v>
      </c>
      <c r="P169" s="626"/>
      <c r="Q169" s="626" t="s">
        <v>1622</v>
      </c>
    </row>
    <row r="170" spans="2:17" ht="15" customHeight="1">
      <c r="B170" s="709" t="s">
        <v>98</v>
      </c>
      <c r="C170" s="712" t="s">
        <v>92</v>
      </c>
      <c r="D170" s="1305">
        <f t="shared" si="66"/>
        <v>12730</v>
      </c>
      <c r="E170" s="1407"/>
      <c r="F170" s="1308"/>
      <c r="G170" s="657">
        <v>1</v>
      </c>
      <c r="H170" s="1288">
        <f t="shared" si="67"/>
        <v>12730</v>
      </c>
      <c r="I170" s="1302">
        <f>SUMIF(建具の明細!C$63:C$69,建具!B170,建具の明細!K$63:K$69)</f>
        <v>0</v>
      </c>
      <c r="J170" s="1311">
        <f t="shared" si="68"/>
        <v>0</v>
      </c>
      <c r="K170" s="1308">
        <v>12736</v>
      </c>
      <c r="L170" s="713"/>
      <c r="M170" s="714"/>
      <c r="N170" s="626" t="b">
        <f t="shared" si="65"/>
        <v>0</v>
      </c>
      <c r="O170" s="1751" t="s">
        <v>1560</v>
      </c>
      <c r="P170" s="626"/>
      <c r="Q170" s="626" t="s">
        <v>1622</v>
      </c>
    </row>
    <row r="171" spans="2:17" ht="15" customHeight="1">
      <c r="B171" s="715" t="s">
        <v>99</v>
      </c>
      <c r="C171" s="716" t="s">
        <v>100</v>
      </c>
      <c r="D171" s="1305">
        <f t="shared" si="66"/>
        <v>0</v>
      </c>
      <c r="E171" s="1407"/>
      <c r="F171" s="1308"/>
      <c r="G171" s="657">
        <v>1</v>
      </c>
      <c r="H171" s="1289">
        <f t="shared" si="67"/>
        <v>0</v>
      </c>
      <c r="I171" s="663">
        <f>SUMIF(建具の明細!C$63:C$69,建具!B171,建具の明細!K$63:K$69)</f>
        <v>0</v>
      </c>
      <c r="J171" s="1290">
        <f t="shared" si="68"/>
        <v>0</v>
      </c>
      <c r="K171" s="1309"/>
      <c r="L171" s="718"/>
      <c r="M171" s="717"/>
      <c r="N171" s="626" t="b">
        <f t="shared" si="65"/>
        <v>0</v>
      </c>
      <c r="O171" s="626"/>
      <c r="P171" s="626"/>
      <c r="Q171" s="626"/>
    </row>
    <row r="172" spans="2:17" ht="15" customHeight="1">
      <c r="B172" s="719" t="s">
        <v>101</v>
      </c>
      <c r="C172" s="716" t="s">
        <v>100</v>
      </c>
      <c r="D172" s="1306">
        <f t="shared" si="66"/>
        <v>0</v>
      </c>
      <c r="E172" s="1408"/>
      <c r="F172" s="1409"/>
      <c r="G172" s="657">
        <v>1</v>
      </c>
      <c r="H172" s="1307">
        <f t="shared" si="67"/>
        <v>0</v>
      </c>
      <c r="I172" s="663">
        <f>SUMIF(建具の明細!C$63:C$69,建具!B172,建具の明細!K$63:K$69)</f>
        <v>0</v>
      </c>
      <c r="J172" s="1312">
        <f t="shared" si="68"/>
        <v>0</v>
      </c>
      <c r="K172" s="1310"/>
      <c r="L172" s="721"/>
      <c r="M172" s="720"/>
      <c r="N172" s="626" t="b">
        <f t="shared" si="65"/>
        <v>0</v>
      </c>
      <c r="O172" s="626"/>
      <c r="P172" s="626"/>
      <c r="Q172" s="626"/>
    </row>
    <row r="173" spans="2:17" ht="15" customHeight="1" thickBot="1">
      <c r="B173" s="3385" t="s">
        <v>1266</v>
      </c>
      <c r="C173" s="3386"/>
      <c r="D173" s="3386"/>
      <c r="E173" s="3386"/>
      <c r="F173" s="3386"/>
      <c r="G173" s="3386"/>
      <c r="H173" s="3386"/>
      <c r="I173" s="3387"/>
      <c r="J173" s="691">
        <f>SUM(J153:J172)</f>
        <v>0</v>
      </c>
      <c r="K173" s="692"/>
      <c r="L173" s="693"/>
      <c r="M173" s="692"/>
      <c r="N173" s="626" t="b">
        <f>J173&lt;&gt;0</f>
        <v>0</v>
      </c>
      <c r="O173" s="626"/>
      <c r="P173" s="626"/>
      <c r="Q173" s="626"/>
    </row>
    <row r="174" spans="2:17" ht="15" customHeight="1">
      <c r="N174" s="626"/>
      <c r="O174" s="626"/>
      <c r="P174" s="626"/>
      <c r="Q174" s="626"/>
    </row>
    <row r="175" spans="2:17" ht="15" customHeight="1">
      <c r="N175" s="626"/>
      <c r="O175" s="626"/>
      <c r="P175" s="626"/>
      <c r="Q175" s="626"/>
    </row>
    <row r="176" spans="2:17" ht="15" customHeight="1">
      <c r="N176" s="626"/>
      <c r="O176" s="626"/>
      <c r="P176" s="626"/>
      <c r="Q176" s="626"/>
    </row>
    <row r="177" spans="14:17" ht="15" customHeight="1">
      <c r="N177" s="626"/>
      <c r="O177" s="626"/>
      <c r="P177" s="626"/>
      <c r="Q177" s="626"/>
    </row>
    <row r="178" spans="14:17" ht="15" customHeight="1">
      <c r="N178" s="626"/>
      <c r="O178" s="626"/>
      <c r="P178" s="626"/>
      <c r="Q178" s="626"/>
    </row>
    <row r="179" spans="14:17" ht="15" customHeight="1">
      <c r="N179" s="626"/>
      <c r="O179" s="626"/>
      <c r="P179" s="626"/>
      <c r="Q179" s="626"/>
    </row>
    <row r="180" spans="14:17" ht="15" customHeight="1">
      <c r="N180" s="626"/>
      <c r="O180" s="626"/>
      <c r="P180" s="626"/>
      <c r="Q180" s="626"/>
    </row>
    <row r="181" spans="14:17" ht="15" customHeight="1">
      <c r="N181" s="626"/>
      <c r="O181" s="626"/>
      <c r="P181" s="626"/>
      <c r="Q181" s="626"/>
    </row>
    <row r="182" spans="14:17" ht="15" customHeight="1">
      <c r="N182" s="626"/>
      <c r="O182" s="626"/>
      <c r="P182" s="626"/>
      <c r="Q182" s="626"/>
    </row>
    <row r="183" spans="14:17" ht="15" customHeight="1">
      <c r="N183" s="626"/>
      <c r="O183" s="626"/>
      <c r="P183" s="626"/>
      <c r="Q183" s="626"/>
    </row>
    <row r="184" spans="14:17" ht="15" customHeight="1">
      <c r="N184" s="626"/>
      <c r="O184" s="626"/>
      <c r="P184" s="626"/>
      <c r="Q184" s="626"/>
    </row>
    <row r="185" spans="14:17" ht="15" customHeight="1">
      <c r="N185" s="626"/>
      <c r="O185" s="626"/>
      <c r="P185" s="626"/>
      <c r="Q185" s="626"/>
    </row>
    <row r="186" spans="14:17" ht="15" customHeight="1">
      <c r="N186" s="626"/>
      <c r="O186" s="626"/>
      <c r="P186" s="626"/>
      <c r="Q186" s="626"/>
    </row>
    <row r="187" spans="14:17" ht="15" customHeight="1">
      <c r="N187" s="626"/>
      <c r="O187" s="626"/>
      <c r="P187" s="626"/>
      <c r="Q187" s="626"/>
    </row>
    <row r="188" spans="14:17" ht="15" customHeight="1">
      <c r="N188" s="626"/>
      <c r="O188" s="626"/>
      <c r="P188" s="626"/>
      <c r="Q188" s="626"/>
    </row>
    <row r="189" spans="14:17" ht="15" customHeight="1">
      <c r="N189" s="626"/>
      <c r="O189" s="626"/>
      <c r="P189" s="626"/>
      <c r="Q189" s="626"/>
    </row>
    <row r="190" spans="14:17" ht="15" customHeight="1">
      <c r="N190" s="626"/>
      <c r="O190" s="626"/>
      <c r="P190" s="626"/>
      <c r="Q190" s="626"/>
    </row>
    <row r="191" spans="14:17" ht="15" customHeight="1">
      <c r="N191" s="626"/>
      <c r="O191" s="626"/>
      <c r="P191" s="626"/>
      <c r="Q191" s="626"/>
    </row>
    <row r="192" spans="14:17" ht="15" customHeight="1">
      <c r="N192" s="626"/>
      <c r="O192" s="626"/>
      <c r="P192" s="626"/>
      <c r="Q192" s="626"/>
    </row>
    <row r="193" spans="14:17" ht="15" customHeight="1">
      <c r="N193" s="626"/>
      <c r="O193" s="626"/>
      <c r="P193" s="626"/>
      <c r="Q193" s="626"/>
    </row>
    <row r="194" spans="14:17" ht="15" customHeight="1">
      <c r="N194" s="626"/>
      <c r="O194" s="626"/>
      <c r="P194" s="626"/>
      <c r="Q194" s="626"/>
    </row>
    <row r="195" spans="14:17" ht="15" customHeight="1">
      <c r="N195" s="626"/>
      <c r="O195" s="626"/>
      <c r="P195" s="626"/>
      <c r="Q195" s="626"/>
    </row>
    <row r="196" spans="14:17" ht="15" customHeight="1">
      <c r="N196" s="626"/>
      <c r="O196" s="626"/>
      <c r="P196" s="626"/>
      <c r="Q196" s="626"/>
    </row>
    <row r="197" spans="14:17" ht="15" customHeight="1">
      <c r="N197" s="626"/>
      <c r="O197" s="626"/>
      <c r="P197" s="626"/>
      <c r="Q197" s="626"/>
    </row>
    <row r="198" spans="14:17" ht="15" customHeight="1">
      <c r="N198" s="626"/>
      <c r="O198" s="626"/>
      <c r="P198" s="626"/>
      <c r="Q198" s="626"/>
    </row>
    <row r="199" spans="14:17" ht="15" customHeight="1">
      <c r="N199" s="626"/>
      <c r="O199" s="626"/>
      <c r="P199" s="626"/>
      <c r="Q199" s="626"/>
    </row>
    <row r="200" spans="14:17" ht="15" customHeight="1">
      <c r="N200" s="626"/>
      <c r="O200" s="626"/>
      <c r="P200" s="626"/>
      <c r="Q200" s="626"/>
    </row>
    <row r="201" spans="14:17" ht="15" customHeight="1">
      <c r="N201" s="626"/>
      <c r="O201" s="626"/>
      <c r="P201" s="626"/>
      <c r="Q201" s="626"/>
    </row>
    <row r="202" spans="14:17" ht="15" customHeight="1">
      <c r="N202" s="626"/>
      <c r="O202" s="626"/>
      <c r="P202" s="626"/>
      <c r="Q202" s="626"/>
    </row>
    <row r="203" spans="14:17" ht="15" customHeight="1">
      <c r="N203" s="626"/>
      <c r="O203" s="626"/>
      <c r="P203" s="626"/>
      <c r="Q203" s="626"/>
    </row>
    <row r="204" spans="14:17" ht="15" customHeight="1">
      <c r="N204" s="626"/>
      <c r="O204" s="626"/>
      <c r="P204" s="626"/>
      <c r="Q204" s="626"/>
    </row>
    <row r="205" spans="14:17" ht="15" customHeight="1">
      <c r="N205" s="626"/>
      <c r="O205" s="626"/>
      <c r="P205" s="626"/>
      <c r="Q205" s="626"/>
    </row>
    <row r="206" spans="14:17" ht="15" customHeight="1">
      <c r="N206" s="626"/>
      <c r="O206" s="626"/>
      <c r="P206" s="626"/>
      <c r="Q206" s="626"/>
    </row>
    <row r="207" spans="14:17" ht="15" customHeight="1">
      <c r="N207" s="626"/>
      <c r="O207" s="626"/>
      <c r="P207" s="626"/>
      <c r="Q207" s="626"/>
    </row>
    <row r="208" spans="14:17" ht="15" customHeight="1">
      <c r="N208" s="626"/>
      <c r="O208" s="626"/>
      <c r="P208" s="626"/>
      <c r="Q208" s="626"/>
    </row>
    <row r="209" spans="14:17" ht="15" customHeight="1">
      <c r="N209" s="626"/>
      <c r="O209" s="626"/>
      <c r="P209" s="626"/>
      <c r="Q209" s="626"/>
    </row>
    <row r="210" spans="14:17" ht="15" customHeight="1">
      <c r="N210" s="626"/>
      <c r="O210" s="626"/>
      <c r="P210" s="626"/>
      <c r="Q210" s="626"/>
    </row>
    <row r="211" spans="14:17" ht="15" customHeight="1">
      <c r="N211" s="626"/>
      <c r="O211" s="626"/>
      <c r="P211" s="626"/>
      <c r="Q211" s="626"/>
    </row>
    <row r="212" spans="14:17" ht="15" customHeight="1">
      <c r="N212" s="626"/>
      <c r="O212" s="626"/>
      <c r="P212" s="626"/>
      <c r="Q212" s="626"/>
    </row>
    <row r="213" spans="14:17" ht="15" customHeight="1">
      <c r="N213" s="626"/>
      <c r="O213" s="626"/>
      <c r="P213" s="626"/>
      <c r="Q213" s="626"/>
    </row>
    <row r="214" spans="14:17" ht="15" customHeight="1">
      <c r="N214" s="626"/>
      <c r="O214" s="626"/>
      <c r="P214" s="626"/>
      <c r="Q214" s="626"/>
    </row>
    <row r="215" spans="14:17" ht="15" customHeight="1">
      <c r="N215" s="626"/>
      <c r="O215" s="626"/>
      <c r="P215" s="626"/>
      <c r="Q215" s="626"/>
    </row>
    <row r="216" spans="14:17" ht="15" customHeight="1">
      <c r="N216" s="626"/>
      <c r="O216" s="626"/>
      <c r="P216" s="626"/>
      <c r="Q216" s="626"/>
    </row>
    <row r="217" spans="14:17" ht="15" customHeight="1">
      <c r="N217" s="626"/>
      <c r="O217" s="626"/>
      <c r="P217" s="626"/>
      <c r="Q217" s="626"/>
    </row>
    <row r="218" spans="14:17" ht="15" customHeight="1">
      <c r="N218" s="626"/>
      <c r="O218" s="626"/>
      <c r="P218" s="626"/>
      <c r="Q218" s="626"/>
    </row>
    <row r="219" spans="14:17" ht="15" customHeight="1">
      <c r="N219" s="626"/>
      <c r="O219" s="626"/>
      <c r="P219" s="626"/>
      <c r="Q219" s="626"/>
    </row>
    <row r="220" spans="14:17" ht="15" customHeight="1">
      <c r="N220" s="626"/>
      <c r="O220" s="626"/>
      <c r="P220" s="626"/>
      <c r="Q220" s="626"/>
    </row>
    <row r="221" spans="14:17" ht="15" customHeight="1">
      <c r="N221" s="626"/>
      <c r="O221" s="626"/>
      <c r="P221" s="626"/>
      <c r="Q221" s="626"/>
    </row>
    <row r="222" spans="14:17" ht="15" customHeight="1">
      <c r="N222" s="626"/>
      <c r="O222" s="626"/>
      <c r="P222" s="626"/>
      <c r="Q222" s="626"/>
    </row>
    <row r="223" spans="14:17" ht="15" customHeight="1">
      <c r="N223" s="626"/>
      <c r="O223" s="626"/>
      <c r="P223" s="626"/>
      <c r="Q223" s="626"/>
    </row>
    <row r="224" spans="14:17" ht="15" customHeight="1">
      <c r="N224" s="626"/>
      <c r="O224" s="626"/>
      <c r="P224" s="626"/>
      <c r="Q224" s="626"/>
    </row>
    <row r="225" spans="14:17" ht="15" customHeight="1">
      <c r="N225" s="626"/>
      <c r="O225" s="626"/>
      <c r="P225" s="626"/>
      <c r="Q225" s="626"/>
    </row>
    <row r="226" spans="14:17" ht="15" customHeight="1">
      <c r="N226" s="626"/>
      <c r="O226" s="626"/>
      <c r="P226" s="626"/>
      <c r="Q226" s="626"/>
    </row>
    <row r="227" spans="14:17" ht="15" customHeight="1">
      <c r="N227" s="626"/>
      <c r="O227" s="626"/>
      <c r="P227" s="626"/>
      <c r="Q227" s="626"/>
    </row>
    <row r="228" spans="14:17" ht="15" customHeight="1">
      <c r="N228" s="626"/>
      <c r="O228" s="626"/>
      <c r="P228" s="626"/>
      <c r="Q228" s="626"/>
    </row>
    <row r="229" spans="14:17" ht="15" customHeight="1">
      <c r="N229" s="626"/>
      <c r="O229" s="626"/>
      <c r="P229" s="626"/>
      <c r="Q229" s="626"/>
    </row>
    <row r="230" spans="14:17" ht="15" customHeight="1">
      <c r="N230" s="626"/>
      <c r="O230" s="626"/>
      <c r="P230" s="626"/>
      <c r="Q230" s="626"/>
    </row>
    <row r="231" spans="14:17" ht="15" customHeight="1">
      <c r="N231" s="626"/>
      <c r="O231" s="626"/>
      <c r="P231" s="626"/>
      <c r="Q231" s="626"/>
    </row>
    <row r="232" spans="14:17" ht="15" customHeight="1">
      <c r="N232" s="626"/>
      <c r="O232" s="626"/>
      <c r="P232" s="626"/>
      <c r="Q232" s="626"/>
    </row>
    <row r="233" spans="14:17" ht="15" customHeight="1">
      <c r="N233" s="626"/>
      <c r="O233" s="626"/>
      <c r="P233" s="626"/>
      <c r="Q233" s="626"/>
    </row>
    <row r="234" spans="14:17" ht="15" customHeight="1">
      <c r="N234" s="626"/>
      <c r="O234" s="626"/>
      <c r="P234" s="626"/>
      <c r="Q234" s="626"/>
    </row>
    <row r="235" spans="14:17" ht="15" customHeight="1">
      <c r="N235" s="626"/>
      <c r="O235" s="626"/>
      <c r="P235" s="626"/>
      <c r="Q235" s="626"/>
    </row>
    <row r="236" spans="14:17" ht="15" customHeight="1">
      <c r="N236" s="626"/>
      <c r="O236" s="626"/>
      <c r="P236" s="626"/>
      <c r="Q236" s="626"/>
    </row>
    <row r="237" spans="14:17" ht="15" customHeight="1">
      <c r="N237" s="626"/>
      <c r="O237" s="626"/>
      <c r="P237" s="626"/>
      <c r="Q237" s="626"/>
    </row>
    <row r="238" spans="14:17" ht="15" customHeight="1">
      <c r="N238" s="626"/>
      <c r="O238" s="626"/>
      <c r="P238" s="626"/>
      <c r="Q238" s="626"/>
    </row>
    <row r="239" spans="14:17" ht="15" customHeight="1">
      <c r="N239" s="626"/>
      <c r="O239" s="626"/>
      <c r="P239" s="626"/>
      <c r="Q239" s="626"/>
    </row>
    <row r="240" spans="14:17" ht="15" customHeight="1">
      <c r="N240" s="626"/>
      <c r="O240" s="626"/>
      <c r="P240" s="626"/>
      <c r="Q240" s="626"/>
    </row>
    <row r="241" spans="14:17" ht="15" customHeight="1">
      <c r="N241" s="626"/>
      <c r="O241" s="626"/>
      <c r="P241" s="626"/>
      <c r="Q241" s="626"/>
    </row>
    <row r="242" spans="14:17" ht="15" customHeight="1">
      <c r="N242" s="626"/>
      <c r="O242" s="626"/>
      <c r="P242" s="626"/>
      <c r="Q242" s="626"/>
    </row>
    <row r="243" spans="14:17" ht="15" customHeight="1">
      <c r="N243" s="626"/>
      <c r="O243" s="626"/>
      <c r="P243" s="626"/>
      <c r="Q243" s="626"/>
    </row>
    <row r="244" spans="14:17" ht="15" customHeight="1">
      <c r="N244" s="626"/>
      <c r="O244" s="626"/>
      <c r="P244" s="626"/>
      <c r="Q244" s="626"/>
    </row>
    <row r="245" spans="14:17" ht="15" customHeight="1">
      <c r="N245" s="626"/>
      <c r="O245" s="626"/>
      <c r="P245" s="626"/>
      <c r="Q245" s="626"/>
    </row>
    <row r="246" spans="14:17" ht="15" customHeight="1">
      <c r="N246" s="626"/>
      <c r="O246" s="626"/>
      <c r="P246" s="626"/>
      <c r="Q246" s="626"/>
    </row>
    <row r="247" spans="14:17" ht="15" customHeight="1">
      <c r="N247" s="626"/>
      <c r="O247" s="626"/>
      <c r="P247" s="626"/>
      <c r="Q247" s="626"/>
    </row>
    <row r="248" spans="14:17" ht="15" customHeight="1">
      <c r="N248" s="626"/>
      <c r="O248" s="626"/>
      <c r="P248" s="626"/>
      <c r="Q248" s="626"/>
    </row>
    <row r="249" spans="14:17" ht="15" customHeight="1">
      <c r="N249" s="626"/>
      <c r="O249" s="626"/>
      <c r="P249" s="626"/>
      <c r="Q249" s="626"/>
    </row>
    <row r="250" spans="14:17" ht="15" customHeight="1">
      <c r="N250" s="626"/>
      <c r="O250" s="626"/>
      <c r="P250" s="626"/>
      <c r="Q250" s="626"/>
    </row>
    <row r="251" spans="14:17" ht="15" customHeight="1">
      <c r="N251" s="626"/>
      <c r="O251" s="626"/>
      <c r="P251" s="626"/>
      <c r="Q251" s="626"/>
    </row>
    <row r="252" spans="14:17" ht="15" customHeight="1">
      <c r="N252" s="626"/>
      <c r="O252" s="626"/>
      <c r="P252" s="626"/>
      <c r="Q252" s="626"/>
    </row>
    <row r="253" spans="14:17" ht="15" customHeight="1">
      <c r="N253" s="626"/>
      <c r="O253" s="626"/>
      <c r="P253" s="626"/>
      <c r="Q253" s="626"/>
    </row>
    <row r="254" spans="14:17" ht="15" customHeight="1">
      <c r="N254" s="626"/>
      <c r="O254" s="626"/>
      <c r="P254" s="626"/>
      <c r="Q254" s="626"/>
    </row>
    <row r="255" spans="14:17" ht="15" customHeight="1">
      <c r="N255" s="626"/>
      <c r="O255" s="626"/>
      <c r="P255" s="626"/>
      <c r="Q255" s="626"/>
    </row>
    <row r="256" spans="14:17" ht="15" customHeight="1">
      <c r="N256" s="626"/>
      <c r="O256" s="626"/>
      <c r="P256" s="626"/>
      <c r="Q256" s="626"/>
    </row>
    <row r="257" spans="14:17" ht="15" customHeight="1">
      <c r="N257" s="626"/>
      <c r="O257" s="626"/>
      <c r="P257" s="626"/>
      <c r="Q257" s="626"/>
    </row>
    <row r="258" spans="14:17" ht="15" customHeight="1">
      <c r="N258" s="626"/>
      <c r="O258" s="626"/>
      <c r="P258" s="626"/>
      <c r="Q258" s="626"/>
    </row>
    <row r="259" spans="14:17" ht="15" customHeight="1">
      <c r="N259" s="626"/>
      <c r="O259" s="626"/>
      <c r="P259" s="626"/>
      <c r="Q259" s="626"/>
    </row>
    <row r="260" spans="14:17" ht="15" customHeight="1">
      <c r="N260" s="626"/>
      <c r="O260" s="626"/>
      <c r="P260" s="626"/>
      <c r="Q260" s="626"/>
    </row>
    <row r="261" spans="14:17" ht="15" customHeight="1">
      <c r="N261" s="626"/>
      <c r="O261" s="626"/>
      <c r="P261" s="626"/>
      <c r="Q261" s="626"/>
    </row>
    <row r="262" spans="14:17" ht="15" customHeight="1">
      <c r="N262" s="626"/>
      <c r="O262" s="626"/>
      <c r="P262" s="626"/>
      <c r="Q262" s="626"/>
    </row>
    <row r="263" spans="14:17" ht="15" customHeight="1">
      <c r="N263" s="626"/>
      <c r="O263" s="626"/>
      <c r="P263" s="626"/>
      <c r="Q263" s="626"/>
    </row>
    <row r="264" spans="14:17" ht="15" customHeight="1">
      <c r="N264" s="626"/>
      <c r="O264" s="626"/>
      <c r="P264" s="626"/>
      <c r="Q264" s="626"/>
    </row>
    <row r="265" spans="14:17" ht="15" customHeight="1">
      <c r="N265" s="626"/>
      <c r="O265" s="626"/>
      <c r="P265" s="626"/>
      <c r="Q265" s="626"/>
    </row>
    <row r="266" spans="14:17" ht="15" customHeight="1">
      <c r="N266" s="626"/>
      <c r="O266" s="626"/>
      <c r="P266" s="626"/>
      <c r="Q266" s="626"/>
    </row>
    <row r="267" spans="14:17" ht="15" customHeight="1">
      <c r="N267" s="626"/>
      <c r="O267" s="626"/>
      <c r="P267" s="626"/>
      <c r="Q267" s="626"/>
    </row>
    <row r="268" spans="14:17" ht="15" customHeight="1">
      <c r="N268" s="626"/>
      <c r="O268" s="626"/>
      <c r="P268" s="626"/>
      <c r="Q268" s="626"/>
    </row>
    <row r="269" spans="14:17" ht="15" customHeight="1">
      <c r="N269" s="626"/>
      <c r="O269" s="626"/>
      <c r="P269" s="626"/>
      <c r="Q269" s="626"/>
    </row>
    <row r="270" spans="14:17" ht="15" customHeight="1">
      <c r="N270" s="626"/>
      <c r="O270" s="626"/>
      <c r="P270" s="626"/>
      <c r="Q270" s="626"/>
    </row>
    <row r="271" spans="14:17" ht="15" customHeight="1">
      <c r="N271" s="626"/>
      <c r="O271" s="626"/>
      <c r="P271" s="626"/>
      <c r="Q271" s="626"/>
    </row>
    <row r="272" spans="14:17" ht="15" customHeight="1">
      <c r="N272" s="626"/>
      <c r="O272" s="626"/>
      <c r="P272" s="626"/>
      <c r="Q272" s="626"/>
    </row>
    <row r="273" spans="14:17" ht="15" customHeight="1">
      <c r="N273" s="626"/>
      <c r="O273" s="626"/>
      <c r="P273" s="626"/>
      <c r="Q273" s="626"/>
    </row>
    <row r="274" spans="14:17" ht="15" customHeight="1">
      <c r="N274" s="626"/>
      <c r="O274" s="626"/>
      <c r="P274" s="626"/>
      <c r="Q274" s="626"/>
    </row>
    <row r="275" spans="14:17" ht="15" customHeight="1">
      <c r="N275" s="626"/>
      <c r="O275" s="626"/>
      <c r="P275" s="626"/>
      <c r="Q275" s="626"/>
    </row>
    <row r="276" spans="14:17" ht="15" customHeight="1">
      <c r="N276" s="626"/>
      <c r="O276" s="626"/>
      <c r="P276" s="626"/>
      <c r="Q276" s="626"/>
    </row>
    <row r="277" spans="14:17" ht="15" customHeight="1">
      <c r="N277" s="626"/>
      <c r="O277" s="626"/>
      <c r="P277" s="626"/>
      <c r="Q277" s="626"/>
    </row>
    <row r="278" spans="14:17" ht="15" customHeight="1">
      <c r="N278" s="626"/>
      <c r="O278" s="626"/>
      <c r="P278" s="626"/>
      <c r="Q278" s="626"/>
    </row>
    <row r="279" spans="14:17" ht="15" customHeight="1">
      <c r="N279" s="626"/>
      <c r="O279" s="626"/>
      <c r="P279" s="626"/>
      <c r="Q279" s="626"/>
    </row>
    <row r="280" spans="14:17" ht="15" customHeight="1">
      <c r="N280" s="626"/>
      <c r="O280" s="626"/>
      <c r="P280" s="626"/>
      <c r="Q280" s="626"/>
    </row>
    <row r="281" spans="14:17" ht="15" customHeight="1">
      <c r="N281" s="626"/>
      <c r="O281" s="626"/>
      <c r="P281" s="626"/>
      <c r="Q281" s="626"/>
    </row>
    <row r="282" spans="14:17" ht="15" customHeight="1">
      <c r="N282" s="626"/>
      <c r="O282" s="626"/>
      <c r="P282" s="626"/>
      <c r="Q282" s="626"/>
    </row>
    <row r="283" spans="14:17" ht="15" customHeight="1">
      <c r="N283" s="626"/>
      <c r="O283" s="626"/>
      <c r="P283" s="626"/>
      <c r="Q283" s="626"/>
    </row>
    <row r="284" spans="14:17" ht="15" customHeight="1">
      <c r="N284" s="626"/>
      <c r="O284" s="626"/>
      <c r="P284" s="626"/>
      <c r="Q284" s="626"/>
    </row>
    <row r="285" spans="14:17" ht="15" customHeight="1">
      <c r="N285" s="626"/>
      <c r="O285" s="626"/>
      <c r="P285" s="626"/>
      <c r="Q285" s="626"/>
    </row>
    <row r="286" spans="14:17" ht="15" customHeight="1">
      <c r="N286" s="626"/>
      <c r="O286" s="626"/>
      <c r="P286" s="626"/>
      <c r="Q286" s="626"/>
    </row>
    <row r="287" spans="14:17" ht="15" customHeight="1">
      <c r="N287" s="626"/>
      <c r="O287" s="626"/>
      <c r="P287" s="626"/>
      <c r="Q287" s="626"/>
    </row>
    <row r="288" spans="14:17" ht="15" customHeight="1">
      <c r="N288" s="626"/>
      <c r="O288" s="626"/>
      <c r="P288" s="626"/>
      <c r="Q288" s="626"/>
    </row>
    <row r="289" spans="14:17" ht="15" customHeight="1">
      <c r="N289" s="626"/>
      <c r="O289" s="626"/>
      <c r="P289" s="626"/>
      <c r="Q289" s="626"/>
    </row>
    <row r="290" spans="14:17" ht="15" customHeight="1">
      <c r="N290" s="626"/>
      <c r="O290" s="626"/>
      <c r="P290" s="626"/>
      <c r="Q290" s="626"/>
    </row>
    <row r="291" spans="14:17" ht="15" customHeight="1">
      <c r="N291" s="626"/>
      <c r="O291" s="626"/>
      <c r="P291" s="626"/>
      <c r="Q291" s="626"/>
    </row>
    <row r="292" spans="14:17" ht="15" customHeight="1">
      <c r="N292" s="626"/>
      <c r="O292" s="626"/>
      <c r="P292" s="626"/>
      <c r="Q292" s="626"/>
    </row>
    <row r="293" spans="14:17" ht="15" customHeight="1">
      <c r="N293" s="626"/>
      <c r="O293" s="626"/>
      <c r="P293" s="626"/>
      <c r="Q293" s="626"/>
    </row>
    <row r="294" spans="14:17" ht="15" customHeight="1">
      <c r="N294" s="626"/>
      <c r="O294" s="626"/>
      <c r="P294" s="626"/>
      <c r="Q294" s="626"/>
    </row>
    <row r="295" spans="14:17" ht="15" customHeight="1">
      <c r="N295" s="626"/>
      <c r="O295" s="626"/>
      <c r="P295" s="626"/>
      <c r="Q295" s="626"/>
    </row>
    <row r="296" spans="14:17" ht="15" customHeight="1">
      <c r="N296" s="626"/>
      <c r="O296" s="626"/>
      <c r="P296" s="626"/>
      <c r="Q296" s="626"/>
    </row>
    <row r="297" spans="14:17" ht="15" customHeight="1">
      <c r="N297" s="626"/>
      <c r="O297" s="626"/>
      <c r="P297" s="626"/>
      <c r="Q297" s="626"/>
    </row>
    <row r="298" spans="14:17" ht="15" customHeight="1">
      <c r="N298" s="626"/>
      <c r="O298" s="626"/>
      <c r="P298" s="626"/>
      <c r="Q298" s="626"/>
    </row>
    <row r="299" spans="14:17" ht="15" customHeight="1">
      <c r="N299" s="626"/>
      <c r="O299" s="626"/>
      <c r="P299" s="626"/>
      <c r="Q299" s="626"/>
    </row>
    <row r="300" spans="14:17" ht="15" customHeight="1">
      <c r="N300" s="626"/>
      <c r="O300" s="626"/>
      <c r="P300" s="626"/>
      <c r="Q300" s="626"/>
    </row>
    <row r="301" spans="14:17" ht="15" customHeight="1">
      <c r="N301" s="626"/>
      <c r="O301" s="626"/>
      <c r="P301" s="626"/>
      <c r="Q301" s="626"/>
    </row>
    <row r="302" spans="14:17" ht="15" customHeight="1">
      <c r="N302" s="626"/>
      <c r="O302" s="626"/>
      <c r="P302" s="626"/>
      <c r="Q302" s="626"/>
    </row>
    <row r="303" spans="14:17" ht="15" customHeight="1">
      <c r="N303" s="626"/>
      <c r="O303" s="626"/>
      <c r="P303" s="626"/>
      <c r="Q303" s="626"/>
    </row>
    <row r="304" spans="14:17" ht="15" customHeight="1">
      <c r="N304" s="626"/>
      <c r="O304" s="626"/>
      <c r="P304" s="626"/>
      <c r="Q304" s="626"/>
    </row>
    <row r="305" spans="14:17" ht="15" customHeight="1">
      <c r="N305" s="626"/>
      <c r="O305" s="626"/>
      <c r="P305" s="626"/>
      <c r="Q305" s="626"/>
    </row>
    <row r="306" spans="14:17" ht="15" customHeight="1">
      <c r="N306" s="626"/>
      <c r="O306" s="626"/>
      <c r="P306" s="626"/>
      <c r="Q306" s="626"/>
    </row>
    <row r="307" spans="14:17" ht="15" customHeight="1">
      <c r="N307" s="626"/>
      <c r="O307" s="626"/>
      <c r="P307" s="626"/>
      <c r="Q307" s="626"/>
    </row>
    <row r="308" spans="14:17" ht="15" customHeight="1">
      <c r="N308" s="626"/>
      <c r="O308" s="626"/>
      <c r="P308" s="626"/>
      <c r="Q308" s="626"/>
    </row>
    <row r="309" spans="14:17" ht="15" customHeight="1">
      <c r="N309" s="626"/>
      <c r="O309" s="626"/>
      <c r="P309" s="626"/>
      <c r="Q309" s="626"/>
    </row>
    <row r="310" spans="14:17" ht="15" customHeight="1">
      <c r="N310" s="626"/>
      <c r="O310" s="626"/>
      <c r="P310" s="626"/>
      <c r="Q310" s="626"/>
    </row>
    <row r="311" spans="14:17" ht="15" customHeight="1">
      <c r="N311" s="626"/>
      <c r="O311" s="626"/>
      <c r="P311" s="626"/>
      <c r="Q311" s="626"/>
    </row>
    <row r="312" spans="14:17" ht="15" customHeight="1">
      <c r="N312" s="626"/>
      <c r="O312" s="626"/>
      <c r="P312" s="626"/>
      <c r="Q312" s="626"/>
    </row>
    <row r="313" spans="14:17" ht="15" customHeight="1">
      <c r="N313" s="626"/>
      <c r="O313" s="626"/>
      <c r="P313" s="626"/>
      <c r="Q313" s="626"/>
    </row>
    <row r="314" spans="14:17" ht="15" customHeight="1">
      <c r="N314" s="626"/>
      <c r="O314" s="626"/>
      <c r="P314" s="626"/>
      <c r="Q314" s="626"/>
    </row>
    <row r="315" spans="14:17" ht="15" customHeight="1">
      <c r="N315" s="626"/>
      <c r="O315" s="626"/>
      <c r="P315" s="626"/>
      <c r="Q315" s="626"/>
    </row>
    <row r="316" spans="14:17" ht="15" customHeight="1">
      <c r="N316" s="626"/>
      <c r="O316" s="626"/>
      <c r="P316" s="626"/>
      <c r="Q316" s="626"/>
    </row>
    <row r="317" spans="14:17" ht="15" customHeight="1">
      <c r="N317" s="626"/>
      <c r="O317" s="626"/>
      <c r="P317" s="626"/>
      <c r="Q317" s="626"/>
    </row>
    <row r="318" spans="14:17" ht="15" customHeight="1">
      <c r="N318" s="626"/>
      <c r="O318" s="626"/>
      <c r="P318" s="626"/>
      <c r="Q318" s="626"/>
    </row>
    <row r="319" spans="14:17" ht="15" customHeight="1">
      <c r="N319" s="626"/>
      <c r="O319" s="626"/>
      <c r="P319" s="626"/>
      <c r="Q319" s="626"/>
    </row>
    <row r="320" spans="14:17" ht="15" customHeight="1">
      <c r="N320" s="626"/>
      <c r="O320" s="626"/>
      <c r="P320" s="626"/>
      <c r="Q320" s="626"/>
    </row>
    <row r="321" spans="14:17" ht="15" customHeight="1">
      <c r="N321" s="626"/>
      <c r="O321" s="626"/>
      <c r="P321" s="626"/>
      <c r="Q321" s="626"/>
    </row>
    <row r="322" spans="14:17" ht="15" customHeight="1">
      <c r="N322" s="626"/>
      <c r="O322" s="626"/>
      <c r="P322" s="626"/>
      <c r="Q322" s="626"/>
    </row>
    <row r="323" spans="14:17" ht="15" customHeight="1">
      <c r="N323" s="626"/>
      <c r="O323" s="626"/>
      <c r="P323" s="626"/>
      <c r="Q323" s="626"/>
    </row>
    <row r="324" spans="14:17" ht="15" customHeight="1">
      <c r="N324" s="626"/>
      <c r="O324" s="626"/>
      <c r="P324" s="626"/>
      <c r="Q324" s="626"/>
    </row>
    <row r="325" spans="14:17" ht="15" customHeight="1">
      <c r="N325" s="626"/>
      <c r="O325" s="626"/>
      <c r="P325" s="626"/>
      <c r="Q325" s="626"/>
    </row>
    <row r="326" spans="14:17" ht="15" customHeight="1">
      <c r="N326" s="626"/>
      <c r="O326" s="626"/>
      <c r="P326" s="626"/>
      <c r="Q326" s="626"/>
    </row>
    <row r="327" spans="14:17" ht="15" customHeight="1">
      <c r="N327" s="626"/>
      <c r="O327" s="626"/>
      <c r="P327" s="626"/>
      <c r="Q327" s="626"/>
    </row>
    <row r="328" spans="14:17" ht="15" customHeight="1">
      <c r="N328" s="626"/>
      <c r="O328" s="626"/>
      <c r="P328" s="626"/>
      <c r="Q328" s="626"/>
    </row>
    <row r="329" spans="14:17" ht="15" customHeight="1">
      <c r="N329" s="626"/>
      <c r="O329" s="626"/>
      <c r="P329" s="626"/>
      <c r="Q329" s="626"/>
    </row>
    <row r="330" spans="14:17" ht="15" customHeight="1">
      <c r="N330" s="626"/>
      <c r="O330" s="626"/>
      <c r="P330" s="626"/>
      <c r="Q330" s="626"/>
    </row>
    <row r="331" spans="14:17" ht="15" customHeight="1">
      <c r="N331" s="626"/>
      <c r="O331" s="626"/>
      <c r="P331" s="626"/>
      <c r="Q331" s="626"/>
    </row>
    <row r="332" spans="14:17" ht="15" customHeight="1">
      <c r="N332" s="626"/>
      <c r="O332" s="626"/>
      <c r="P332" s="626"/>
      <c r="Q332" s="626"/>
    </row>
    <row r="333" spans="14:17" ht="15" customHeight="1">
      <c r="N333" s="626"/>
      <c r="O333" s="626"/>
      <c r="P333" s="626"/>
      <c r="Q333" s="626"/>
    </row>
    <row r="334" spans="14:17" ht="15" customHeight="1">
      <c r="N334" s="626"/>
      <c r="O334" s="626"/>
      <c r="P334" s="626"/>
      <c r="Q334" s="626"/>
    </row>
    <row r="335" spans="14:17" ht="15" customHeight="1">
      <c r="N335" s="626"/>
      <c r="O335" s="626"/>
      <c r="P335" s="626"/>
      <c r="Q335" s="626"/>
    </row>
    <row r="336" spans="14:17" ht="15" customHeight="1">
      <c r="N336" s="626"/>
      <c r="O336" s="626"/>
      <c r="P336" s="626"/>
      <c r="Q336" s="626"/>
    </row>
    <row r="337" spans="14:17" ht="15" customHeight="1">
      <c r="N337" s="626"/>
      <c r="O337" s="626"/>
      <c r="P337" s="626"/>
      <c r="Q337" s="626"/>
    </row>
    <row r="338" spans="14:17" ht="15" customHeight="1">
      <c r="N338" s="626"/>
      <c r="O338" s="626"/>
      <c r="P338" s="626"/>
      <c r="Q338" s="626"/>
    </row>
    <row r="339" spans="14:17" ht="15" customHeight="1">
      <c r="N339" s="626"/>
      <c r="O339" s="626"/>
      <c r="P339" s="626"/>
      <c r="Q339" s="626"/>
    </row>
    <row r="340" spans="14:17" ht="15" customHeight="1">
      <c r="N340" s="626"/>
      <c r="O340" s="626"/>
      <c r="P340" s="626"/>
      <c r="Q340" s="626"/>
    </row>
    <row r="341" spans="14:17" ht="15" customHeight="1">
      <c r="N341" s="626"/>
      <c r="O341" s="626"/>
      <c r="P341" s="626"/>
      <c r="Q341" s="626"/>
    </row>
    <row r="342" spans="14:17" ht="15" customHeight="1">
      <c r="N342" s="626"/>
      <c r="O342" s="626"/>
      <c r="P342" s="626"/>
      <c r="Q342" s="626"/>
    </row>
    <row r="343" spans="14:17" ht="15" customHeight="1">
      <c r="N343" s="626"/>
      <c r="O343" s="626"/>
      <c r="P343" s="626"/>
      <c r="Q343" s="626"/>
    </row>
    <row r="344" spans="14:17" ht="15" customHeight="1">
      <c r="N344" s="626"/>
      <c r="O344" s="626"/>
      <c r="P344" s="626"/>
      <c r="Q344" s="626"/>
    </row>
    <row r="345" spans="14:17" ht="15" customHeight="1">
      <c r="N345" s="626"/>
      <c r="O345" s="626"/>
      <c r="P345" s="626"/>
      <c r="Q345" s="626"/>
    </row>
    <row r="346" spans="14:17" ht="15" customHeight="1">
      <c r="N346" s="626"/>
      <c r="O346" s="626"/>
      <c r="P346" s="626"/>
      <c r="Q346" s="626"/>
    </row>
    <row r="347" spans="14:17" ht="15" customHeight="1">
      <c r="N347" s="626"/>
      <c r="O347" s="626"/>
      <c r="P347" s="626"/>
      <c r="Q347" s="626"/>
    </row>
    <row r="348" spans="14:17" ht="15" customHeight="1">
      <c r="N348" s="626"/>
      <c r="O348" s="626"/>
      <c r="P348" s="626"/>
      <c r="Q348" s="626"/>
    </row>
    <row r="349" spans="14:17" ht="15" customHeight="1">
      <c r="N349" s="626"/>
      <c r="O349" s="626"/>
      <c r="P349" s="626"/>
      <c r="Q349" s="626"/>
    </row>
    <row r="350" spans="14:17" ht="15" customHeight="1">
      <c r="N350" s="626"/>
      <c r="O350" s="626"/>
      <c r="P350" s="626"/>
      <c r="Q350" s="626"/>
    </row>
    <row r="351" spans="14:17" ht="15" customHeight="1">
      <c r="N351" s="626"/>
      <c r="O351" s="626"/>
      <c r="P351" s="626"/>
      <c r="Q351" s="626"/>
    </row>
    <row r="352" spans="14:17" ht="15" customHeight="1">
      <c r="N352" s="626"/>
      <c r="O352" s="626"/>
      <c r="P352" s="626"/>
      <c r="Q352" s="626"/>
    </row>
    <row r="353" spans="14:17" ht="15" customHeight="1">
      <c r="N353" s="626"/>
      <c r="O353" s="626"/>
      <c r="P353" s="626"/>
      <c r="Q353" s="626"/>
    </row>
    <row r="354" spans="14:17" ht="15" customHeight="1">
      <c r="N354" s="626"/>
      <c r="O354" s="626"/>
      <c r="P354" s="626"/>
      <c r="Q354" s="626"/>
    </row>
    <row r="355" spans="14:17" ht="15" customHeight="1">
      <c r="N355" s="626"/>
      <c r="O355" s="626"/>
      <c r="P355" s="626"/>
      <c r="Q355" s="626"/>
    </row>
    <row r="356" spans="14:17" ht="15" customHeight="1">
      <c r="N356" s="626"/>
      <c r="O356" s="626"/>
      <c r="P356" s="626"/>
      <c r="Q356" s="626"/>
    </row>
    <row r="357" spans="14:17" ht="15" customHeight="1">
      <c r="N357" s="626"/>
      <c r="O357" s="626"/>
      <c r="P357" s="626"/>
      <c r="Q357" s="626"/>
    </row>
    <row r="358" spans="14:17" ht="15" customHeight="1">
      <c r="N358" s="626"/>
      <c r="O358" s="626"/>
      <c r="P358" s="626"/>
      <c r="Q358" s="626"/>
    </row>
    <row r="359" spans="14:17" ht="15" customHeight="1">
      <c r="N359" s="626"/>
      <c r="O359" s="626"/>
      <c r="P359" s="626"/>
      <c r="Q359" s="626"/>
    </row>
    <row r="360" spans="14:17" ht="15" customHeight="1">
      <c r="N360" s="626"/>
      <c r="O360" s="626"/>
      <c r="P360" s="626"/>
      <c r="Q360" s="626"/>
    </row>
    <row r="361" spans="14:17" ht="15" customHeight="1">
      <c r="N361" s="626"/>
      <c r="O361" s="626"/>
      <c r="P361" s="626"/>
      <c r="Q361" s="626"/>
    </row>
    <row r="362" spans="14:17" ht="15" customHeight="1">
      <c r="N362" s="626"/>
      <c r="O362" s="626"/>
      <c r="P362" s="626"/>
      <c r="Q362" s="626"/>
    </row>
    <row r="363" spans="14:17" ht="15" customHeight="1">
      <c r="N363" s="626"/>
      <c r="O363" s="626"/>
      <c r="P363" s="626"/>
      <c r="Q363" s="626"/>
    </row>
    <row r="364" spans="14:17" ht="15" customHeight="1">
      <c r="N364" s="626"/>
      <c r="O364" s="626"/>
      <c r="P364" s="626"/>
      <c r="Q364" s="626"/>
    </row>
    <row r="365" spans="14:17" ht="15" customHeight="1">
      <c r="N365" s="626"/>
      <c r="O365" s="626"/>
      <c r="P365" s="626"/>
      <c r="Q365" s="626"/>
    </row>
    <row r="366" spans="14:17" ht="15" customHeight="1">
      <c r="N366" s="626"/>
      <c r="O366" s="626"/>
      <c r="P366" s="626"/>
      <c r="Q366" s="626"/>
    </row>
    <row r="367" spans="14:17" ht="15" customHeight="1">
      <c r="N367" s="626"/>
      <c r="O367" s="626"/>
      <c r="P367" s="626"/>
      <c r="Q367" s="626"/>
    </row>
    <row r="368" spans="14:17" ht="15" customHeight="1">
      <c r="N368" s="626"/>
      <c r="O368" s="626"/>
      <c r="P368" s="626"/>
      <c r="Q368" s="626"/>
    </row>
    <row r="369" spans="14:17" ht="15" customHeight="1">
      <c r="N369" s="626"/>
      <c r="O369" s="626"/>
      <c r="P369" s="626"/>
      <c r="Q369" s="626"/>
    </row>
    <row r="370" spans="14:17" ht="15" customHeight="1">
      <c r="N370" s="626"/>
      <c r="O370" s="626"/>
      <c r="P370" s="626"/>
      <c r="Q370" s="626"/>
    </row>
    <row r="371" spans="14:17" ht="15" customHeight="1">
      <c r="N371" s="626"/>
      <c r="O371" s="626"/>
      <c r="P371" s="626"/>
      <c r="Q371" s="626"/>
    </row>
    <row r="372" spans="14:17" ht="15" customHeight="1">
      <c r="N372" s="626"/>
      <c r="O372" s="626"/>
      <c r="P372" s="626"/>
      <c r="Q372" s="626"/>
    </row>
    <row r="373" spans="14:17" ht="15" customHeight="1">
      <c r="N373" s="626"/>
      <c r="O373" s="626"/>
      <c r="P373" s="626"/>
      <c r="Q373" s="626"/>
    </row>
    <row r="374" spans="14:17" ht="15" customHeight="1">
      <c r="N374" s="626"/>
      <c r="O374" s="626"/>
      <c r="P374" s="626"/>
      <c r="Q374" s="626"/>
    </row>
    <row r="375" spans="14:17" ht="15" customHeight="1">
      <c r="N375" s="626"/>
      <c r="O375" s="626"/>
      <c r="P375" s="626"/>
      <c r="Q375" s="626"/>
    </row>
    <row r="376" spans="14:17" ht="15" customHeight="1">
      <c r="N376" s="626"/>
      <c r="O376" s="626"/>
      <c r="P376" s="626"/>
      <c r="Q376" s="626"/>
    </row>
    <row r="377" spans="14:17" ht="15" customHeight="1">
      <c r="N377" s="626"/>
      <c r="O377" s="626"/>
      <c r="P377" s="626"/>
      <c r="Q377" s="626"/>
    </row>
    <row r="378" spans="14:17" ht="15" customHeight="1">
      <c r="N378" s="626"/>
      <c r="O378" s="626"/>
      <c r="P378" s="626"/>
      <c r="Q378" s="626"/>
    </row>
    <row r="379" spans="14:17" ht="15" customHeight="1">
      <c r="N379" s="626"/>
      <c r="O379" s="626"/>
      <c r="P379" s="626"/>
      <c r="Q379" s="626"/>
    </row>
    <row r="380" spans="14:17" ht="15" customHeight="1">
      <c r="N380" s="626"/>
      <c r="O380" s="626"/>
      <c r="P380" s="626"/>
      <c r="Q380" s="626"/>
    </row>
    <row r="381" spans="14:17" ht="15" customHeight="1">
      <c r="N381" s="626"/>
      <c r="O381" s="626"/>
      <c r="P381" s="626"/>
      <c r="Q381" s="626"/>
    </row>
    <row r="382" spans="14:17" ht="15" customHeight="1">
      <c r="N382" s="626"/>
      <c r="O382" s="626"/>
      <c r="P382" s="626"/>
      <c r="Q382" s="626"/>
    </row>
    <row r="383" spans="14:17" ht="15" customHeight="1">
      <c r="N383" s="626"/>
      <c r="O383" s="626"/>
      <c r="P383" s="626"/>
      <c r="Q383" s="626"/>
    </row>
    <row r="384" spans="14:17" ht="15" customHeight="1">
      <c r="N384" s="626"/>
      <c r="O384" s="626"/>
      <c r="P384" s="626"/>
      <c r="Q384" s="626"/>
    </row>
    <row r="385" spans="14:17" ht="15" customHeight="1">
      <c r="N385" s="626"/>
      <c r="O385" s="626"/>
      <c r="P385" s="626"/>
      <c r="Q385" s="626"/>
    </row>
    <row r="386" spans="14:17" ht="15" customHeight="1">
      <c r="N386" s="626"/>
      <c r="O386" s="626"/>
      <c r="P386" s="626"/>
      <c r="Q386" s="626"/>
    </row>
    <row r="387" spans="14:17" ht="15" customHeight="1">
      <c r="N387" s="626"/>
      <c r="O387" s="626"/>
      <c r="P387" s="626"/>
      <c r="Q387" s="626"/>
    </row>
    <row r="388" spans="14:17" ht="15" customHeight="1">
      <c r="N388" s="626"/>
      <c r="O388" s="626"/>
      <c r="P388" s="626"/>
      <c r="Q388" s="626"/>
    </row>
    <row r="389" spans="14:17" ht="15" customHeight="1">
      <c r="N389" s="626"/>
      <c r="O389" s="626"/>
      <c r="P389" s="626"/>
      <c r="Q389" s="626"/>
    </row>
    <row r="390" spans="14:17" ht="15" customHeight="1">
      <c r="N390" s="626"/>
      <c r="O390" s="626"/>
      <c r="P390" s="626"/>
      <c r="Q390" s="626"/>
    </row>
    <row r="391" spans="14:17" ht="15" customHeight="1">
      <c r="N391" s="626"/>
      <c r="O391" s="626"/>
      <c r="P391" s="626"/>
      <c r="Q391" s="626"/>
    </row>
    <row r="392" spans="14:17" ht="15" customHeight="1">
      <c r="N392" s="626"/>
      <c r="O392" s="626"/>
      <c r="P392" s="626"/>
      <c r="Q392" s="626"/>
    </row>
    <row r="393" spans="14:17" ht="15" customHeight="1">
      <c r="N393" s="626"/>
      <c r="O393" s="626"/>
      <c r="P393" s="626"/>
      <c r="Q393" s="626"/>
    </row>
    <row r="394" spans="14:17" ht="15" customHeight="1">
      <c r="N394" s="626"/>
      <c r="O394" s="626"/>
      <c r="P394" s="626"/>
      <c r="Q394" s="626"/>
    </row>
    <row r="395" spans="14:17" ht="15" customHeight="1">
      <c r="N395" s="626"/>
      <c r="O395" s="626"/>
      <c r="P395" s="626"/>
      <c r="Q395" s="626"/>
    </row>
    <row r="396" spans="14:17" ht="15" customHeight="1">
      <c r="N396" s="626"/>
      <c r="O396" s="626"/>
      <c r="P396" s="626"/>
      <c r="Q396" s="626"/>
    </row>
    <row r="397" spans="14:17" ht="15" customHeight="1">
      <c r="N397" s="626"/>
      <c r="O397" s="626"/>
      <c r="P397" s="626"/>
      <c r="Q397" s="626"/>
    </row>
    <row r="398" spans="14:17" ht="15" customHeight="1">
      <c r="N398" s="626"/>
      <c r="O398" s="626"/>
      <c r="P398" s="626"/>
      <c r="Q398" s="626"/>
    </row>
    <row r="399" spans="14:17" ht="15" customHeight="1">
      <c r="N399" s="626"/>
      <c r="O399" s="626"/>
      <c r="P399" s="626"/>
      <c r="Q399" s="626"/>
    </row>
    <row r="400" spans="14:17" ht="15" customHeight="1">
      <c r="N400" s="626"/>
      <c r="O400" s="626"/>
      <c r="P400" s="626"/>
      <c r="Q400" s="626"/>
    </row>
    <row r="401" spans="14:17" ht="15" customHeight="1">
      <c r="N401" s="626"/>
      <c r="O401" s="626"/>
      <c r="P401" s="626"/>
      <c r="Q401" s="626"/>
    </row>
    <row r="402" spans="14:17" ht="15" customHeight="1">
      <c r="N402" s="626"/>
      <c r="O402" s="626"/>
      <c r="P402" s="626"/>
      <c r="Q402" s="626"/>
    </row>
    <row r="403" spans="14:17" ht="15" customHeight="1">
      <c r="N403" s="626"/>
      <c r="O403" s="626"/>
      <c r="P403" s="626"/>
      <c r="Q403" s="626"/>
    </row>
    <row r="404" spans="14:17" ht="15" customHeight="1">
      <c r="N404" s="626"/>
      <c r="O404" s="626"/>
      <c r="P404" s="626"/>
      <c r="Q404" s="626"/>
    </row>
    <row r="405" spans="14:17" ht="15" customHeight="1">
      <c r="N405" s="626"/>
      <c r="O405" s="626"/>
      <c r="P405" s="626"/>
      <c r="Q405" s="626"/>
    </row>
    <row r="406" spans="14:17" ht="15" customHeight="1">
      <c r="N406" s="626"/>
      <c r="O406" s="626"/>
      <c r="P406" s="626"/>
      <c r="Q406" s="626"/>
    </row>
    <row r="407" spans="14:17" ht="15" customHeight="1">
      <c r="N407" s="626"/>
      <c r="O407" s="626"/>
      <c r="P407" s="626"/>
      <c r="Q407" s="626"/>
    </row>
    <row r="408" spans="14:17" ht="15" customHeight="1">
      <c r="N408" s="626"/>
      <c r="O408" s="626"/>
      <c r="P408" s="626"/>
      <c r="Q408" s="626"/>
    </row>
    <row r="409" spans="14:17" ht="15" customHeight="1">
      <c r="N409" s="626"/>
      <c r="O409" s="626"/>
      <c r="P409" s="626"/>
      <c r="Q409" s="626"/>
    </row>
    <row r="410" spans="14:17" ht="15" customHeight="1">
      <c r="N410" s="626"/>
      <c r="O410" s="626"/>
      <c r="P410" s="626"/>
      <c r="Q410" s="626"/>
    </row>
    <row r="411" spans="14:17" ht="15" customHeight="1">
      <c r="N411" s="626"/>
      <c r="O411" s="626"/>
      <c r="P411" s="626"/>
      <c r="Q411" s="626"/>
    </row>
    <row r="412" spans="14:17" ht="15" customHeight="1">
      <c r="N412" s="626"/>
      <c r="O412" s="626"/>
      <c r="P412" s="626"/>
      <c r="Q412" s="626"/>
    </row>
    <row r="413" spans="14:17" ht="15" customHeight="1">
      <c r="N413" s="626"/>
      <c r="O413" s="626"/>
      <c r="P413" s="626"/>
      <c r="Q413" s="626"/>
    </row>
    <row r="414" spans="14:17" ht="15" customHeight="1">
      <c r="N414" s="626"/>
      <c r="O414" s="626"/>
      <c r="P414" s="626"/>
      <c r="Q414" s="626"/>
    </row>
    <row r="415" spans="14:17" ht="15" customHeight="1">
      <c r="N415" s="626"/>
      <c r="O415" s="626"/>
      <c r="P415" s="626"/>
      <c r="Q415" s="626"/>
    </row>
    <row r="416" spans="14:17" ht="15" customHeight="1">
      <c r="N416" s="626"/>
      <c r="O416" s="626"/>
      <c r="P416" s="626"/>
      <c r="Q416" s="626"/>
    </row>
    <row r="417" spans="14:17" ht="15" customHeight="1">
      <c r="N417" s="626"/>
      <c r="O417" s="626"/>
      <c r="P417" s="626"/>
      <c r="Q417" s="626"/>
    </row>
    <row r="418" spans="14:17" ht="15" customHeight="1">
      <c r="N418" s="626"/>
      <c r="O418" s="626"/>
      <c r="P418" s="626"/>
      <c r="Q418" s="626"/>
    </row>
    <row r="419" spans="14:17" ht="15" customHeight="1">
      <c r="N419" s="626"/>
      <c r="O419" s="626"/>
      <c r="P419" s="626"/>
      <c r="Q419" s="626"/>
    </row>
    <row r="420" spans="14:17" ht="15" customHeight="1">
      <c r="N420" s="626"/>
      <c r="O420" s="626"/>
      <c r="P420" s="626"/>
      <c r="Q420" s="626"/>
    </row>
    <row r="421" spans="14:17" ht="15" customHeight="1">
      <c r="N421" s="626"/>
      <c r="O421" s="626"/>
      <c r="P421" s="626"/>
      <c r="Q421" s="626"/>
    </row>
    <row r="422" spans="14:17" ht="15" customHeight="1">
      <c r="N422" s="626"/>
      <c r="O422" s="626"/>
      <c r="P422" s="626"/>
      <c r="Q422" s="626"/>
    </row>
    <row r="423" spans="14:17" ht="15" customHeight="1">
      <c r="N423" s="626"/>
      <c r="O423" s="626"/>
      <c r="P423" s="626"/>
      <c r="Q423" s="626"/>
    </row>
    <row r="424" spans="14:17" ht="15" customHeight="1">
      <c r="N424" s="626"/>
      <c r="O424" s="626"/>
      <c r="P424" s="626"/>
      <c r="Q424" s="626"/>
    </row>
    <row r="425" spans="14:17" ht="15" customHeight="1">
      <c r="N425" s="626"/>
      <c r="O425" s="626"/>
      <c r="P425" s="626"/>
      <c r="Q425" s="626"/>
    </row>
    <row r="426" spans="14:17" ht="15" customHeight="1">
      <c r="N426" s="626"/>
      <c r="O426" s="626"/>
      <c r="P426" s="626"/>
      <c r="Q426" s="626"/>
    </row>
    <row r="427" spans="14:17" ht="15" customHeight="1">
      <c r="N427" s="626"/>
      <c r="O427" s="626"/>
      <c r="P427" s="626"/>
      <c r="Q427" s="626"/>
    </row>
    <row r="428" spans="14:17" ht="15" customHeight="1">
      <c r="N428" s="626"/>
      <c r="O428" s="626"/>
      <c r="P428" s="626"/>
      <c r="Q428" s="626"/>
    </row>
    <row r="429" spans="14:17" ht="15" customHeight="1">
      <c r="N429" s="626"/>
      <c r="O429" s="626"/>
      <c r="P429" s="626"/>
      <c r="Q429" s="626"/>
    </row>
    <row r="430" spans="14:17" ht="15" customHeight="1">
      <c r="N430" s="626"/>
      <c r="O430" s="626"/>
      <c r="P430" s="626"/>
      <c r="Q430" s="626"/>
    </row>
    <row r="431" spans="14:17" ht="15" customHeight="1">
      <c r="N431" s="626"/>
      <c r="O431" s="626"/>
      <c r="P431" s="626"/>
      <c r="Q431" s="626"/>
    </row>
    <row r="432" spans="14:17" ht="15" customHeight="1">
      <c r="N432" s="626"/>
      <c r="O432" s="626"/>
      <c r="P432" s="626"/>
      <c r="Q432" s="626"/>
    </row>
    <row r="433" spans="14:17" ht="15" customHeight="1">
      <c r="N433" s="626"/>
      <c r="O433" s="626"/>
      <c r="P433" s="626"/>
      <c r="Q433" s="626"/>
    </row>
    <row r="434" spans="14:17" ht="15" customHeight="1">
      <c r="N434" s="626"/>
      <c r="O434" s="626"/>
      <c r="P434" s="626"/>
      <c r="Q434" s="626"/>
    </row>
    <row r="435" spans="14:17" ht="15" customHeight="1">
      <c r="N435" s="626"/>
      <c r="O435" s="626"/>
      <c r="P435" s="626"/>
      <c r="Q435" s="626"/>
    </row>
    <row r="436" spans="14:17" ht="15" customHeight="1">
      <c r="N436" s="626"/>
      <c r="O436" s="626"/>
      <c r="P436" s="626"/>
      <c r="Q436" s="626"/>
    </row>
    <row r="437" spans="14:17" ht="15" customHeight="1">
      <c r="N437" s="626"/>
      <c r="O437" s="626"/>
      <c r="P437" s="626"/>
      <c r="Q437" s="626"/>
    </row>
    <row r="438" spans="14:17" ht="15" customHeight="1">
      <c r="N438" s="626"/>
      <c r="O438" s="626"/>
      <c r="P438" s="626"/>
      <c r="Q438" s="626"/>
    </row>
    <row r="439" spans="14:17" ht="15" customHeight="1">
      <c r="N439" s="626"/>
      <c r="O439" s="626"/>
      <c r="P439" s="626"/>
      <c r="Q439" s="626"/>
    </row>
    <row r="440" spans="14:17" ht="15" customHeight="1">
      <c r="N440" s="626"/>
      <c r="O440" s="626"/>
      <c r="P440" s="626"/>
      <c r="Q440" s="626"/>
    </row>
    <row r="441" spans="14:17" ht="15" customHeight="1">
      <c r="N441" s="626"/>
      <c r="O441" s="626"/>
      <c r="P441" s="626"/>
      <c r="Q441" s="626"/>
    </row>
    <row r="442" spans="14:17" ht="15" customHeight="1">
      <c r="N442" s="626"/>
      <c r="O442" s="626"/>
      <c r="P442" s="626"/>
      <c r="Q442" s="626"/>
    </row>
    <row r="443" spans="14:17" ht="15" customHeight="1">
      <c r="N443" s="626"/>
      <c r="O443" s="626"/>
      <c r="P443" s="626"/>
      <c r="Q443" s="626"/>
    </row>
    <row r="444" spans="14:17" ht="15" customHeight="1">
      <c r="N444" s="626"/>
      <c r="O444" s="626"/>
      <c r="P444" s="626"/>
      <c r="Q444" s="626"/>
    </row>
    <row r="445" spans="14:17" ht="15" customHeight="1">
      <c r="N445" s="626"/>
      <c r="O445" s="626"/>
      <c r="P445" s="626"/>
      <c r="Q445" s="626"/>
    </row>
    <row r="446" spans="14:17" ht="15" customHeight="1">
      <c r="N446" s="626"/>
      <c r="O446" s="626"/>
      <c r="P446" s="626"/>
      <c r="Q446" s="626"/>
    </row>
    <row r="447" spans="14:17" ht="15" customHeight="1">
      <c r="N447" s="626"/>
      <c r="O447" s="626"/>
      <c r="P447" s="626"/>
      <c r="Q447" s="626"/>
    </row>
    <row r="448" spans="14:17" ht="15" customHeight="1">
      <c r="N448" s="626"/>
      <c r="O448" s="626"/>
      <c r="P448" s="626"/>
      <c r="Q448" s="626"/>
    </row>
    <row r="449" spans="14:17" ht="15" customHeight="1">
      <c r="N449" s="626"/>
      <c r="O449" s="626"/>
      <c r="P449" s="626"/>
      <c r="Q449" s="626"/>
    </row>
    <row r="450" spans="14:17" ht="15" customHeight="1">
      <c r="N450" s="626"/>
      <c r="O450" s="626"/>
      <c r="P450" s="626"/>
      <c r="Q450" s="626"/>
    </row>
    <row r="451" spans="14:17" ht="15" customHeight="1">
      <c r="N451" s="626"/>
      <c r="O451" s="626"/>
      <c r="P451" s="626"/>
      <c r="Q451" s="626"/>
    </row>
    <row r="452" spans="14:17" ht="15" customHeight="1">
      <c r="N452" s="626"/>
      <c r="O452" s="626"/>
      <c r="P452" s="626"/>
      <c r="Q452" s="626"/>
    </row>
    <row r="453" spans="14:17" ht="15" customHeight="1">
      <c r="N453" s="626"/>
      <c r="O453" s="626"/>
      <c r="P453" s="626"/>
      <c r="Q453" s="626"/>
    </row>
    <row r="454" spans="14:17" ht="15" customHeight="1">
      <c r="N454" s="626"/>
      <c r="O454" s="626"/>
      <c r="P454" s="626"/>
      <c r="Q454" s="626"/>
    </row>
    <row r="455" spans="14:17" ht="15" customHeight="1">
      <c r="N455" s="626"/>
      <c r="O455" s="626"/>
      <c r="P455" s="626"/>
      <c r="Q455" s="626"/>
    </row>
    <row r="456" spans="14:17" ht="15" customHeight="1">
      <c r="N456" s="626"/>
      <c r="O456" s="626"/>
      <c r="P456" s="626"/>
      <c r="Q456" s="626"/>
    </row>
    <row r="457" spans="14:17" ht="15" customHeight="1">
      <c r="N457" s="626"/>
      <c r="O457" s="626"/>
      <c r="P457" s="626"/>
      <c r="Q457" s="626"/>
    </row>
    <row r="458" spans="14:17" ht="15" customHeight="1">
      <c r="N458" s="626"/>
      <c r="O458" s="626"/>
      <c r="P458" s="626"/>
      <c r="Q458" s="626"/>
    </row>
    <row r="459" spans="14:17" ht="15" customHeight="1">
      <c r="N459" s="626"/>
      <c r="O459" s="626"/>
      <c r="P459" s="626"/>
      <c r="Q459" s="626"/>
    </row>
    <row r="460" spans="14:17" ht="15" customHeight="1">
      <c r="N460" s="626"/>
      <c r="O460" s="626"/>
      <c r="P460" s="626"/>
      <c r="Q460" s="626"/>
    </row>
    <row r="461" spans="14:17" ht="15" customHeight="1">
      <c r="N461" s="626"/>
      <c r="O461" s="626"/>
      <c r="P461" s="626"/>
      <c r="Q461" s="626"/>
    </row>
    <row r="462" spans="14:17" ht="15" customHeight="1">
      <c r="N462" s="626"/>
      <c r="O462" s="626"/>
      <c r="P462" s="626"/>
      <c r="Q462" s="626"/>
    </row>
    <row r="463" spans="14:17" ht="15" customHeight="1">
      <c r="N463" s="626"/>
      <c r="O463" s="626"/>
      <c r="P463" s="626"/>
      <c r="Q463" s="626"/>
    </row>
    <row r="464" spans="14:17" ht="15" customHeight="1">
      <c r="N464" s="626"/>
      <c r="O464" s="626"/>
      <c r="P464" s="626"/>
      <c r="Q464" s="626"/>
    </row>
    <row r="465" spans="14:17" ht="15" customHeight="1">
      <c r="N465" s="626"/>
      <c r="O465" s="626"/>
      <c r="P465" s="626"/>
      <c r="Q465" s="626"/>
    </row>
    <row r="466" spans="14:17" ht="15" customHeight="1">
      <c r="N466" s="626"/>
      <c r="O466" s="626"/>
      <c r="P466" s="626"/>
      <c r="Q466" s="626"/>
    </row>
    <row r="467" spans="14:17" ht="15" customHeight="1">
      <c r="N467" s="626"/>
      <c r="O467" s="626"/>
      <c r="P467" s="626"/>
      <c r="Q467" s="626"/>
    </row>
    <row r="468" spans="14:17" ht="15" customHeight="1">
      <c r="N468" s="626"/>
      <c r="O468" s="626"/>
      <c r="P468" s="626"/>
      <c r="Q468" s="626"/>
    </row>
    <row r="469" spans="14:17" ht="15" customHeight="1">
      <c r="N469" s="626"/>
      <c r="O469" s="626"/>
      <c r="P469" s="626"/>
      <c r="Q469" s="626"/>
    </row>
    <row r="470" spans="14:17" ht="15" customHeight="1">
      <c r="N470" s="626"/>
      <c r="O470" s="626"/>
      <c r="P470" s="626"/>
      <c r="Q470" s="626"/>
    </row>
    <row r="471" spans="14:17" ht="15" customHeight="1">
      <c r="N471" s="626"/>
      <c r="O471" s="626"/>
      <c r="P471" s="626"/>
      <c r="Q471" s="626"/>
    </row>
    <row r="472" spans="14:17" ht="15" customHeight="1">
      <c r="N472" s="626"/>
      <c r="O472" s="626"/>
      <c r="P472" s="626"/>
      <c r="Q472" s="626"/>
    </row>
    <row r="473" spans="14:17" ht="15" customHeight="1">
      <c r="N473" s="626"/>
      <c r="O473" s="626"/>
      <c r="P473" s="626"/>
      <c r="Q473" s="626"/>
    </row>
    <row r="474" spans="14:17" ht="15" customHeight="1">
      <c r="N474" s="626"/>
      <c r="O474" s="626"/>
      <c r="P474" s="626"/>
      <c r="Q474" s="626"/>
    </row>
    <row r="475" spans="14:17" ht="15" customHeight="1">
      <c r="N475" s="626"/>
      <c r="O475" s="626"/>
      <c r="P475" s="626"/>
      <c r="Q475" s="626"/>
    </row>
    <row r="476" spans="14:17" ht="15" customHeight="1">
      <c r="N476" s="626"/>
      <c r="O476" s="626"/>
      <c r="P476" s="626"/>
      <c r="Q476" s="626"/>
    </row>
    <row r="477" spans="14:17" ht="15" customHeight="1">
      <c r="N477" s="626"/>
      <c r="O477" s="626"/>
      <c r="P477" s="626"/>
      <c r="Q477" s="626"/>
    </row>
    <row r="478" spans="14:17" ht="15" customHeight="1">
      <c r="N478" s="626"/>
      <c r="O478" s="626"/>
      <c r="P478" s="626"/>
      <c r="Q478" s="626"/>
    </row>
    <row r="479" spans="14:17" ht="15" customHeight="1">
      <c r="N479" s="626"/>
      <c r="O479" s="626"/>
      <c r="P479" s="626"/>
      <c r="Q479" s="626"/>
    </row>
    <row r="480" spans="14:17" ht="15" customHeight="1">
      <c r="N480" s="626"/>
      <c r="O480" s="626"/>
      <c r="P480" s="626"/>
      <c r="Q480" s="626"/>
    </row>
    <row r="481" spans="14:17" ht="15" customHeight="1">
      <c r="N481" s="626"/>
      <c r="O481" s="626"/>
      <c r="P481" s="626"/>
      <c r="Q481" s="626"/>
    </row>
    <row r="482" spans="14:17" ht="15" customHeight="1">
      <c r="N482" s="626"/>
      <c r="O482" s="626"/>
      <c r="P482" s="626"/>
      <c r="Q482" s="626"/>
    </row>
    <row r="483" spans="14:17" ht="15" customHeight="1">
      <c r="N483" s="626"/>
      <c r="O483" s="626"/>
      <c r="P483" s="626"/>
      <c r="Q483" s="626"/>
    </row>
    <row r="484" spans="14:17" ht="15" customHeight="1">
      <c r="N484" s="626"/>
      <c r="O484" s="626"/>
      <c r="P484" s="626"/>
      <c r="Q484" s="626"/>
    </row>
    <row r="485" spans="14:17" ht="15" customHeight="1">
      <c r="N485" s="626"/>
      <c r="O485" s="626"/>
      <c r="P485" s="626"/>
      <c r="Q485" s="626"/>
    </row>
    <row r="486" spans="14:17" ht="15" customHeight="1">
      <c r="N486" s="626"/>
      <c r="O486" s="626"/>
      <c r="P486" s="626"/>
      <c r="Q486" s="626"/>
    </row>
    <row r="487" spans="14:17" ht="15" customHeight="1">
      <c r="N487" s="626"/>
      <c r="O487" s="626"/>
      <c r="P487" s="626"/>
      <c r="Q487" s="626"/>
    </row>
    <row r="488" spans="14:17" ht="15" customHeight="1">
      <c r="N488" s="626"/>
      <c r="O488" s="626"/>
      <c r="P488" s="626"/>
      <c r="Q488" s="626"/>
    </row>
    <row r="489" spans="14:17" ht="15" customHeight="1">
      <c r="N489" s="626"/>
      <c r="O489" s="626"/>
      <c r="P489" s="626"/>
      <c r="Q489" s="626"/>
    </row>
    <row r="490" spans="14:17" ht="15" customHeight="1">
      <c r="N490" s="626"/>
      <c r="O490" s="626"/>
      <c r="P490" s="626"/>
      <c r="Q490" s="626"/>
    </row>
    <row r="491" spans="14:17" ht="15" customHeight="1">
      <c r="N491" s="626"/>
      <c r="O491" s="626"/>
      <c r="P491" s="626"/>
      <c r="Q491" s="626"/>
    </row>
    <row r="492" spans="14:17" ht="15" customHeight="1">
      <c r="N492" s="626"/>
      <c r="O492" s="626"/>
      <c r="P492" s="626"/>
      <c r="Q492" s="626"/>
    </row>
    <row r="493" spans="14:17" ht="15" customHeight="1">
      <c r="N493" s="626"/>
      <c r="O493" s="626"/>
      <c r="P493" s="626"/>
      <c r="Q493" s="626"/>
    </row>
    <row r="494" spans="14:17" ht="15" customHeight="1">
      <c r="N494" s="626"/>
      <c r="O494" s="626"/>
      <c r="P494" s="626"/>
      <c r="Q494" s="626"/>
    </row>
    <row r="495" spans="14:17" ht="15" customHeight="1">
      <c r="N495" s="626"/>
      <c r="O495" s="626"/>
      <c r="P495" s="626"/>
      <c r="Q495" s="626"/>
    </row>
    <row r="496" spans="14:17" ht="15" customHeight="1">
      <c r="N496" s="626"/>
      <c r="O496" s="626"/>
      <c r="P496" s="626"/>
      <c r="Q496" s="626"/>
    </row>
    <row r="497" spans="14:17" ht="15" customHeight="1">
      <c r="N497" s="626"/>
      <c r="O497" s="626"/>
      <c r="P497" s="626"/>
      <c r="Q497" s="626"/>
    </row>
    <row r="498" spans="14:17" ht="15" customHeight="1">
      <c r="N498" s="626"/>
      <c r="O498" s="626"/>
      <c r="P498" s="626"/>
      <c r="Q498" s="626"/>
    </row>
    <row r="499" spans="14:17" ht="15" customHeight="1">
      <c r="N499" s="626"/>
      <c r="O499" s="626"/>
      <c r="P499" s="626"/>
      <c r="Q499" s="626"/>
    </row>
    <row r="500" spans="14:17" ht="15" customHeight="1">
      <c r="N500" s="626"/>
      <c r="O500" s="626"/>
      <c r="P500" s="626"/>
      <c r="Q500" s="626"/>
    </row>
    <row r="501" spans="14:17" ht="15" customHeight="1">
      <c r="N501" s="626"/>
      <c r="O501" s="626"/>
      <c r="P501" s="626"/>
      <c r="Q501" s="626"/>
    </row>
    <row r="502" spans="14:17" ht="15" customHeight="1">
      <c r="N502" s="626"/>
      <c r="O502" s="626"/>
      <c r="P502" s="626"/>
      <c r="Q502" s="626"/>
    </row>
    <row r="503" spans="14:17" ht="15" customHeight="1">
      <c r="N503" s="626"/>
      <c r="O503" s="626"/>
      <c r="P503" s="626"/>
      <c r="Q503" s="626"/>
    </row>
    <row r="504" spans="14:17" ht="15" customHeight="1">
      <c r="N504" s="626"/>
      <c r="O504" s="626"/>
      <c r="P504" s="626"/>
      <c r="Q504" s="626"/>
    </row>
    <row r="505" spans="14:17" ht="15" customHeight="1">
      <c r="N505" s="626"/>
      <c r="O505" s="626"/>
      <c r="P505" s="626"/>
      <c r="Q505" s="626"/>
    </row>
    <row r="506" spans="14:17" ht="15" customHeight="1">
      <c r="N506" s="626"/>
      <c r="O506" s="626"/>
      <c r="P506" s="626"/>
      <c r="Q506" s="626"/>
    </row>
    <row r="507" spans="14:17" ht="15" customHeight="1">
      <c r="N507" s="626"/>
      <c r="O507" s="626"/>
      <c r="P507" s="626"/>
      <c r="Q507" s="626"/>
    </row>
    <row r="508" spans="14:17" ht="15" customHeight="1">
      <c r="N508" s="626"/>
      <c r="O508" s="626"/>
      <c r="P508" s="626"/>
      <c r="Q508" s="626"/>
    </row>
    <row r="509" spans="14:17" ht="15" customHeight="1">
      <c r="N509" s="626"/>
      <c r="O509" s="626"/>
      <c r="P509" s="626"/>
      <c r="Q509" s="626"/>
    </row>
    <row r="510" spans="14:17" ht="15" customHeight="1">
      <c r="N510" s="626"/>
      <c r="O510" s="626"/>
      <c r="P510" s="626"/>
      <c r="Q510" s="626"/>
    </row>
    <row r="511" spans="14:17" ht="15" customHeight="1">
      <c r="N511" s="626"/>
      <c r="O511" s="626"/>
      <c r="P511" s="626"/>
      <c r="Q511" s="626"/>
    </row>
    <row r="512" spans="14:17" ht="15" customHeight="1">
      <c r="N512" s="626"/>
      <c r="O512" s="626"/>
      <c r="P512" s="626"/>
      <c r="Q512" s="626"/>
    </row>
    <row r="513" spans="14:17" ht="15" customHeight="1">
      <c r="N513" s="626"/>
      <c r="O513" s="626"/>
      <c r="P513" s="626"/>
      <c r="Q513" s="626"/>
    </row>
    <row r="514" spans="14:17" ht="15" customHeight="1">
      <c r="N514" s="626"/>
      <c r="O514" s="626"/>
      <c r="P514" s="626"/>
      <c r="Q514" s="626"/>
    </row>
    <row r="515" spans="14:17" ht="15" customHeight="1">
      <c r="N515" s="626"/>
      <c r="O515" s="626"/>
      <c r="P515" s="626"/>
      <c r="Q515" s="626"/>
    </row>
    <row r="516" spans="14:17" ht="15" customHeight="1">
      <c r="N516" s="626"/>
      <c r="O516" s="626"/>
      <c r="P516" s="626"/>
      <c r="Q516" s="626"/>
    </row>
    <row r="517" spans="14:17" ht="15" customHeight="1">
      <c r="N517" s="626"/>
      <c r="O517" s="626"/>
      <c r="P517" s="626"/>
      <c r="Q517" s="626"/>
    </row>
    <row r="518" spans="14:17" ht="15" customHeight="1">
      <c r="N518" s="626"/>
      <c r="O518" s="626"/>
      <c r="P518" s="626"/>
      <c r="Q518" s="626"/>
    </row>
    <row r="519" spans="14:17" ht="15" customHeight="1">
      <c r="N519" s="626"/>
      <c r="O519" s="626"/>
      <c r="P519" s="626"/>
      <c r="Q519" s="626"/>
    </row>
    <row r="520" spans="14:17" ht="15" customHeight="1">
      <c r="N520" s="626"/>
      <c r="O520" s="626"/>
      <c r="P520" s="626"/>
      <c r="Q520" s="626"/>
    </row>
    <row r="521" spans="14:17" ht="15" customHeight="1">
      <c r="N521" s="626"/>
      <c r="O521" s="626"/>
      <c r="P521" s="626"/>
      <c r="Q521" s="626"/>
    </row>
    <row r="522" spans="14:17" ht="15" customHeight="1">
      <c r="N522" s="626"/>
      <c r="O522" s="626"/>
      <c r="P522" s="626"/>
      <c r="Q522" s="626"/>
    </row>
    <row r="523" spans="14:17" ht="15" customHeight="1">
      <c r="N523" s="626"/>
      <c r="O523" s="626"/>
      <c r="P523" s="626"/>
      <c r="Q523" s="626"/>
    </row>
    <row r="524" spans="14:17" ht="15" customHeight="1">
      <c r="N524" s="626"/>
      <c r="O524" s="626"/>
      <c r="P524" s="626"/>
      <c r="Q524" s="626"/>
    </row>
    <row r="525" spans="14:17" ht="15" customHeight="1">
      <c r="N525" s="626"/>
      <c r="O525" s="626"/>
      <c r="P525" s="626"/>
      <c r="Q525" s="626"/>
    </row>
    <row r="526" spans="14:17" ht="15" customHeight="1">
      <c r="N526" s="626"/>
      <c r="O526" s="626"/>
      <c r="P526" s="626"/>
      <c r="Q526" s="626"/>
    </row>
    <row r="527" spans="14:17" ht="15" customHeight="1">
      <c r="N527" s="626"/>
      <c r="O527" s="626"/>
      <c r="P527" s="626"/>
      <c r="Q527" s="626"/>
    </row>
    <row r="528" spans="14:17" ht="15" customHeight="1">
      <c r="N528" s="626"/>
      <c r="O528" s="626"/>
      <c r="P528" s="626"/>
      <c r="Q528" s="626"/>
    </row>
    <row r="529" spans="14:17" ht="15" customHeight="1">
      <c r="N529" s="626"/>
      <c r="O529" s="626"/>
      <c r="P529" s="626"/>
      <c r="Q529" s="626"/>
    </row>
    <row r="530" spans="14:17" ht="15" customHeight="1">
      <c r="N530" s="626"/>
      <c r="O530" s="626"/>
      <c r="P530" s="626"/>
      <c r="Q530" s="626"/>
    </row>
    <row r="531" spans="14:17" ht="15" customHeight="1">
      <c r="N531" s="626"/>
      <c r="O531" s="626"/>
      <c r="P531" s="626"/>
      <c r="Q531" s="626"/>
    </row>
    <row r="532" spans="14:17" ht="15" customHeight="1">
      <c r="N532" s="626"/>
      <c r="O532" s="626"/>
      <c r="P532" s="626"/>
      <c r="Q532" s="626"/>
    </row>
    <row r="533" spans="14:17" ht="15" customHeight="1">
      <c r="N533" s="626"/>
      <c r="O533" s="626"/>
      <c r="P533" s="626"/>
      <c r="Q533" s="626"/>
    </row>
    <row r="534" spans="14:17" ht="15" customHeight="1">
      <c r="N534" s="626"/>
      <c r="O534" s="626"/>
      <c r="P534" s="626"/>
      <c r="Q534" s="626"/>
    </row>
    <row r="535" spans="14:17" ht="15" customHeight="1">
      <c r="N535" s="626"/>
      <c r="O535" s="626"/>
      <c r="P535" s="626"/>
      <c r="Q535" s="626"/>
    </row>
    <row r="536" spans="14:17" ht="15" customHeight="1">
      <c r="N536" s="626"/>
      <c r="O536" s="626"/>
      <c r="P536" s="626"/>
      <c r="Q536" s="626"/>
    </row>
    <row r="537" spans="14:17" ht="15" customHeight="1">
      <c r="N537" s="626"/>
      <c r="O537" s="626"/>
      <c r="P537" s="626"/>
      <c r="Q537" s="626"/>
    </row>
    <row r="538" spans="14:17" ht="15" customHeight="1">
      <c r="N538" s="626"/>
      <c r="O538" s="626"/>
      <c r="P538" s="626"/>
      <c r="Q538" s="626"/>
    </row>
    <row r="539" spans="14:17" ht="15" customHeight="1">
      <c r="N539" s="626"/>
      <c r="O539" s="626"/>
      <c r="P539" s="626"/>
      <c r="Q539" s="626"/>
    </row>
    <row r="540" spans="14:17" ht="15" customHeight="1">
      <c r="N540" s="626"/>
      <c r="O540" s="626"/>
      <c r="P540" s="626"/>
      <c r="Q540" s="626"/>
    </row>
    <row r="541" spans="14:17" ht="15" customHeight="1">
      <c r="N541" s="626"/>
      <c r="O541" s="626"/>
      <c r="P541" s="626"/>
      <c r="Q541" s="626"/>
    </row>
    <row r="542" spans="14:17" ht="15" customHeight="1">
      <c r="N542" s="626"/>
      <c r="O542" s="626"/>
      <c r="P542" s="626"/>
      <c r="Q542" s="626"/>
    </row>
    <row r="543" spans="14:17" ht="15" customHeight="1">
      <c r="N543" s="626"/>
      <c r="O543" s="626"/>
      <c r="P543" s="626"/>
      <c r="Q543" s="626"/>
    </row>
    <row r="544" spans="14:17" ht="15" customHeight="1">
      <c r="N544" s="626"/>
      <c r="O544" s="626"/>
      <c r="P544" s="626"/>
      <c r="Q544" s="626"/>
    </row>
    <row r="545" spans="14:17" ht="15" customHeight="1">
      <c r="N545" s="626"/>
      <c r="O545" s="626"/>
      <c r="P545" s="626"/>
      <c r="Q545" s="626"/>
    </row>
    <row r="546" spans="14:17" ht="15" customHeight="1">
      <c r="N546" s="626"/>
      <c r="O546" s="626"/>
      <c r="P546" s="626"/>
      <c r="Q546" s="626"/>
    </row>
    <row r="547" spans="14:17" ht="15" customHeight="1">
      <c r="N547" s="626"/>
      <c r="O547" s="626"/>
      <c r="P547" s="626"/>
      <c r="Q547" s="626"/>
    </row>
    <row r="548" spans="14:17" ht="15" customHeight="1">
      <c r="N548" s="626"/>
      <c r="O548" s="626"/>
      <c r="P548" s="626"/>
      <c r="Q548" s="626"/>
    </row>
    <row r="549" spans="14:17" ht="15" customHeight="1">
      <c r="N549" s="626"/>
      <c r="O549" s="626"/>
      <c r="P549" s="626"/>
      <c r="Q549" s="626"/>
    </row>
    <row r="550" spans="14:17" ht="15" customHeight="1">
      <c r="N550" s="626"/>
      <c r="O550" s="626"/>
      <c r="P550" s="626"/>
      <c r="Q550" s="626"/>
    </row>
    <row r="551" spans="14:17" ht="15" customHeight="1">
      <c r="N551" s="626"/>
      <c r="O551" s="626"/>
      <c r="P551" s="626"/>
      <c r="Q551" s="626"/>
    </row>
    <row r="552" spans="14:17" ht="15" customHeight="1">
      <c r="N552" s="626"/>
      <c r="O552" s="626"/>
      <c r="P552" s="626"/>
      <c r="Q552" s="626"/>
    </row>
    <row r="553" spans="14:17" ht="15" customHeight="1">
      <c r="N553" s="626"/>
      <c r="O553" s="626"/>
      <c r="P553" s="626"/>
      <c r="Q553" s="626"/>
    </row>
    <row r="554" spans="14:17" ht="15" customHeight="1">
      <c r="N554" s="626"/>
      <c r="O554" s="626"/>
      <c r="P554" s="626"/>
      <c r="Q554" s="626"/>
    </row>
    <row r="555" spans="14:17" ht="15" customHeight="1">
      <c r="N555" s="626"/>
      <c r="O555" s="626"/>
      <c r="P555" s="626"/>
      <c r="Q555" s="626"/>
    </row>
    <row r="556" spans="14:17" ht="15" customHeight="1">
      <c r="N556" s="626"/>
      <c r="O556" s="626"/>
      <c r="P556" s="626"/>
      <c r="Q556" s="626"/>
    </row>
    <row r="557" spans="14:17" ht="15" customHeight="1">
      <c r="N557" s="626"/>
      <c r="O557" s="626"/>
      <c r="P557" s="626"/>
      <c r="Q557" s="626"/>
    </row>
    <row r="558" spans="14:17" ht="15" customHeight="1">
      <c r="N558" s="626"/>
      <c r="O558" s="626"/>
      <c r="P558" s="626"/>
      <c r="Q558" s="626"/>
    </row>
    <row r="559" spans="14:17" ht="15" customHeight="1">
      <c r="N559" s="626"/>
      <c r="O559" s="626"/>
      <c r="P559" s="626"/>
      <c r="Q559" s="626"/>
    </row>
    <row r="560" spans="14:17" ht="15" customHeight="1">
      <c r="N560" s="626"/>
      <c r="O560" s="626"/>
      <c r="P560" s="626"/>
      <c r="Q560" s="626"/>
    </row>
    <row r="561" spans="14:17" ht="15" customHeight="1">
      <c r="N561" s="626"/>
      <c r="O561" s="626"/>
      <c r="P561" s="626"/>
      <c r="Q561" s="626"/>
    </row>
    <row r="562" spans="14:17" ht="15" customHeight="1">
      <c r="N562" s="626"/>
      <c r="O562" s="626"/>
      <c r="P562" s="626"/>
      <c r="Q562" s="626"/>
    </row>
    <row r="563" spans="14:17" ht="15" customHeight="1">
      <c r="N563" s="626"/>
      <c r="O563" s="626"/>
      <c r="P563" s="626"/>
      <c r="Q563" s="626"/>
    </row>
    <row r="564" spans="14:17" ht="15" customHeight="1">
      <c r="N564" s="626"/>
      <c r="O564" s="626"/>
      <c r="P564" s="626"/>
      <c r="Q564" s="626"/>
    </row>
    <row r="565" spans="14:17" ht="15" customHeight="1">
      <c r="N565" s="626"/>
      <c r="O565" s="626"/>
      <c r="P565" s="626"/>
      <c r="Q565" s="626"/>
    </row>
    <row r="566" spans="14:17" ht="15" customHeight="1">
      <c r="N566" s="626"/>
      <c r="O566" s="626"/>
      <c r="P566" s="626"/>
      <c r="Q566" s="626"/>
    </row>
    <row r="567" spans="14:17" ht="15" customHeight="1">
      <c r="N567" s="626"/>
      <c r="O567" s="626"/>
      <c r="P567" s="626"/>
      <c r="Q567" s="626"/>
    </row>
    <row r="568" spans="14:17" ht="15" customHeight="1">
      <c r="N568" s="626"/>
      <c r="O568" s="626"/>
      <c r="P568" s="626"/>
      <c r="Q568" s="626"/>
    </row>
    <row r="569" spans="14:17" ht="15" customHeight="1">
      <c r="N569" s="626"/>
      <c r="O569" s="626"/>
      <c r="P569" s="626"/>
      <c r="Q569" s="626"/>
    </row>
    <row r="570" spans="14:17" ht="15" customHeight="1">
      <c r="N570" s="626"/>
      <c r="O570" s="626"/>
      <c r="P570" s="626"/>
      <c r="Q570" s="626"/>
    </row>
    <row r="571" spans="14:17" ht="15" customHeight="1">
      <c r="N571" s="626"/>
      <c r="O571" s="626"/>
      <c r="P571" s="626"/>
      <c r="Q571" s="626"/>
    </row>
    <row r="572" spans="14:17" ht="15" customHeight="1">
      <c r="N572" s="626"/>
      <c r="O572" s="626"/>
      <c r="P572" s="626"/>
      <c r="Q572" s="626"/>
    </row>
    <row r="573" spans="14:17" ht="15" customHeight="1">
      <c r="N573" s="626"/>
      <c r="O573" s="626"/>
      <c r="P573" s="626"/>
      <c r="Q573" s="626"/>
    </row>
    <row r="574" spans="14:17" ht="15" customHeight="1">
      <c r="N574" s="626"/>
      <c r="O574" s="626"/>
      <c r="P574" s="626"/>
      <c r="Q574" s="626"/>
    </row>
    <row r="575" spans="14:17" ht="15" customHeight="1">
      <c r="N575" s="626"/>
      <c r="O575" s="626"/>
      <c r="P575" s="626"/>
      <c r="Q575" s="626"/>
    </row>
    <row r="576" spans="14:17" ht="15" customHeight="1">
      <c r="N576" s="626"/>
      <c r="O576" s="626"/>
      <c r="P576" s="626"/>
      <c r="Q576" s="626"/>
    </row>
    <row r="577" spans="14:17" ht="15" customHeight="1">
      <c r="N577" s="626"/>
      <c r="O577" s="626"/>
      <c r="P577" s="626"/>
      <c r="Q577" s="626"/>
    </row>
    <row r="578" spans="14:17" ht="15" customHeight="1">
      <c r="N578" s="626"/>
      <c r="O578" s="626"/>
      <c r="P578" s="626"/>
      <c r="Q578" s="626"/>
    </row>
    <row r="579" spans="14:17" ht="15" customHeight="1">
      <c r="N579" s="626"/>
      <c r="O579" s="626"/>
      <c r="P579" s="626"/>
      <c r="Q579" s="626"/>
    </row>
    <row r="580" spans="14:17" ht="15" customHeight="1">
      <c r="N580" s="626"/>
      <c r="O580" s="626"/>
      <c r="P580" s="626"/>
      <c r="Q580" s="626"/>
    </row>
    <row r="581" spans="14:17" ht="15" customHeight="1">
      <c r="N581" s="626"/>
      <c r="O581" s="626"/>
      <c r="P581" s="626"/>
      <c r="Q581" s="626"/>
    </row>
    <row r="582" spans="14:17" ht="15" customHeight="1">
      <c r="N582" s="626"/>
      <c r="O582" s="626"/>
      <c r="P582" s="626"/>
      <c r="Q582" s="626"/>
    </row>
    <row r="583" spans="14:17" ht="15" customHeight="1">
      <c r="N583" s="626"/>
      <c r="O583" s="626"/>
      <c r="P583" s="626"/>
      <c r="Q583" s="626"/>
    </row>
    <row r="584" spans="14:17" ht="15" customHeight="1">
      <c r="N584" s="626"/>
      <c r="O584" s="626"/>
      <c r="P584" s="626"/>
      <c r="Q584" s="626"/>
    </row>
    <row r="585" spans="14:17" ht="15" customHeight="1">
      <c r="N585" s="626"/>
      <c r="O585" s="626"/>
      <c r="P585" s="626"/>
      <c r="Q585" s="626"/>
    </row>
    <row r="586" spans="14:17" ht="15" customHeight="1">
      <c r="N586" s="626"/>
      <c r="O586" s="626"/>
      <c r="P586" s="626"/>
      <c r="Q586" s="626"/>
    </row>
    <row r="587" spans="14:17" ht="15" customHeight="1">
      <c r="N587" s="626"/>
      <c r="O587" s="626"/>
      <c r="P587" s="626"/>
      <c r="Q587" s="626"/>
    </row>
    <row r="588" spans="14:17" ht="15" customHeight="1">
      <c r="N588" s="626"/>
      <c r="O588" s="626"/>
      <c r="P588" s="626"/>
      <c r="Q588" s="626"/>
    </row>
    <row r="589" spans="14:17" ht="15" customHeight="1">
      <c r="N589" s="626"/>
      <c r="O589" s="626"/>
      <c r="P589" s="626"/>
      <c r="Q589" s="626"/>
    </row>
    <row r="590" spans="14:17" ht="15" customHeight="1">
      <c r="N590" s="626"/>
      <c r="O590" s="626"/>
      <c r="P590" s="626"/>
      <c r="Q590" s="626"/>
    </row>
    <row r="591" spans="14:17" ht="15" customHeight="1">
      <c r="N591" s="626"/>
      <c r="O591" s="626"/>
      <c r="P591" s="626"/>
      <c r="Q591" s="626"/>
    </row>
    <row r="592" spans="14:17" ht="15" customHeight="1">
      <c r="N592" s="626"/>
      <c r="O592" s="626"/>
      <c r="P592" s="626"/>
      <c r="Q592" s="626"/>
    </row>
    <row r="593" spans="14:17" ht="15" customHeight="1">
      <c r="N593" s="626"/>
      <c r="O593" s="626"/>
      <c r="P593" s="626"/>
      <c r="Q593" s="626"/>
    </row>
    <row r="594" spans="14:17" ht="15" customHeight="1">
      <c r="N594" s="626"/>
      <c r="O594" s="626"/>
      <c r="P594" s="626"/>
      <c r="Q594" s="626"/>
    </row>
    <row r="595" spans="14:17" ht="15" customHeight="1">
      <c r="N595" s="626"/>
      <c r="O595" s="626"/>
      <c r="P595" s="626"/>
      <c r="Q595" s="626"/>
    </row>
    <row r="596" spans="14:17" ht="15" customHeight="1">
      <c r="N596" s="626"/>
      <c r="O596" s="626"/>
      <c r="P596" s="626"/>
      <c r="Q596" s="626"/>
    </row>
    <row r="597" spans="14:17" ht="15" customHeight="1">
      <c r="N597" s="626"/>
      <c r="O597" s="626"/>
      <c r="P597" s="626"/>
      <c r="Q597" s="626"/>
    </row>
    <row r="598" spans="14:17" ht="15" customHeight="1">
      <c r="N598" s="626"/>
      <c r="O598" s="626"/>
      <c r="P598" s="626"/>
      <c r="Q598" s="626"/>
    </row>
    <row r="599" spans="14:17" ht="15" customHeight="1">
      <c r="N599" s="626"/>
      <c r="O599" s="626"/>
      <c r="P599" s="626"/>
      <c r="Q599" s="626"/>
    </row>
    <row r="600" spans="14:17" ht="15" customHeight="1">
      <c r="N600" s="626"/>
      <c r="O600" s="626"/>
      <c r="P600" s="626"/>
      <c r="Q600" s="626"/>
    </row>
    <row r="601" spans="14:17" ht="15" customHeight="1">
      <c r="N601" s="626"/>
      <c r="O601" s="626"/>
      <c r="P601" s="626"/>
      <c r="Q601" s="626"/>
    </row>
    <row r="602" spans="14:17" ht="15" customHeight="1">
      <c r="N602" s="626"/>
      <c r="O602" s="626"/>
      <c r="P602" s="626"/>
      <c r="Q602" s="626"/>
    </row>
    <row r="603" spans="14:17" ht="15" customHeight="1">
      <c r="N603" s="626"/>
      <c r="O603" s="626"/>
      <c r="P603" s="626"/>
      <c r="Q603" s="626"/>
    </row>
    <row r="604" spans="14:17" ht="15" customHeight="1">
      <c r="N604" s="626"/>
      <c r="O604" s="626"/>
      <c r="P604" s="626"/>
      <c r="Q604" s="626"/>
    </row>
    <row r="605" spans="14:17" ht="15" customHeight="1">
      <c r="N605" s="626"/>
      <c r="O605" s="626"/>
      <c r="P605" s="626"/>
      <c r="Q605" s="626"/>
    </row>
    <row r="606" spans="14:17" ht="15" customHeight="1">
      <c r="N606" s="626"/>
      <c r="O606" s="626"/>
      <c r="P606" s="626"/>
      <c r="Q606" s="626"/>
    </row>
    <row r="607" spans="14:17" ht="15" customHeight="1">
      <c r="N607" s="626"/>
      <c r="O607" s="626"/>
      <c r="P607" s="626"/>
      <c r="Q607" s="626"/>
    </row>
    <row r="608" spans="14:17" ht="15" customHeight="1">
      <c r="N608" s="626"/>
      <c r="O608" s="626"/>
      <c r="P608" s="626"/>
      <c r="Q608" s="626"/>
    </row>
    <row r="609" spans="14:17" ht="15" customHeight="1">
      <c r="N609" s="626"/>
      <c r="O609" s="626"/>
      <c r="P609" s="626"/>
      <c r="Q609" s="626"/>
    </row>
    <row r="610" spans="14:17" ht="15" customHeight="1">
      <c r="N610" s="626"/>
      <c r="O610" s="626"/>
      <c r="P610" s="626"/>
      <c r="Q610" s="626"/>
    </row>
    <row r="611" spans="14:17" ht="15" customHeight="1">
      <c r="N611" s="626"/>
      <c r="O611" s="626"/>
      <c r="P611" s="626"/>
      <c r="Q611" s="626"/>
    </row>
    <row r="612" spans="14:17" ht="15" customHeight="1">
      <c r="N612" s="626"/>
      <c r="O612" s="626"/>
      <c r="P612" s="626"/>
      <c r="Q612" s="626"/>
    </row>
    <row r="613" spans="14:17" ht="15" customHeight="1">
      <c r="N613" s="626"/>
      <c r="O613" s="626"/>
      <c r="P613" s="626"/>
      <c r="Q613" s="626"/>
    </row>
    <row r="614" spans="14:17" ht="15" customHeight="1">
      <c r="N614" s="626"/>
      <c r="O614" s="626"/>
      <c r="P614" s="626"/>
      <c r="Q614" s="626"/>
    </row>
    <row r="615" spans="14:17" ht="15" customHeight="1">
      <c r="N615" s="626"/>
      <c r="O615" s="626"/>
      <c r="P615" s="626"/>
      <c r="Q615" s="626"/>
    </row>
    <row r="616" spans="14:17" ht="15" customHeight="1">
      <c r="N616" s="626"/>
      <c r="O616" s="626"/>
      <c r="P616" s="626"/>
      <c r="Q616" s="626"/>
    </row>
    <row r="617" spans="14:17" ht="15" customHeight="1">
      <c r="N617" s="626"/>
      <c r="O617" s="626"/>
      <c r="P617" s="626"/>
      <c r="Q617" s="626"/>
    </row>
    <row r="618" spans="14:17" ht="15" customHeight="1">
      <c r="N618" s="626"/>
      <c r="O618" s="626"/>
      <c r="P618" s="626"/>
      <c r="Q618" s="626"/>
    </row>
    <row r="619" spans="14:17" ht="15" customHeight="1">
      <c r="N619" s="626"/>
      <c r="O619" s="626"/>
      <c r="P619" s="626"/>
      <c r="Q619" s="626"/>
    </row>
    <row r="620" spans="14:17" ht="15" customHeight="1">
      <c r="N620" s="626"/>
      <c r="O620" s="626"/>
      <c r="P620" s="626"/>
      <c r="Q620" s="626"/>
    </row>
    <row r="621" spans="14:17" ht="15" customHeight="1">
      <c r="N621" s="626"/>
      <c r="O621" s="626"/>
      <c r="P621" s="626"/>
      <c r="Q621" s="626"/>
    </row>
    <row r="622" spans="14:17" ht="15" customHeight="1">
      <c r="N622" s="626"/>
      <c r="O622" s="626"/>
      <c r="P622" s="626"/>
      <c r="Q622" s="626"/>
    </row>
    <row r="623" spans="14:17" ht="15" customHeight="1">
      <c r="N623" s="626"/>
      <c r="O623" s="626"/>
      <c r="P623" s="626"/>
      <c r="Q623" s="626"/>
    </row>
    <row r="624" spans="14:17" ht="15" customHeight="1">
      <c r="N624" s="626"/>
      <c r="O624" s="626"/>
      <c r="P624" s="626"/>
      <c r="Q624" s="626"/>
    </row>
    <row r="625" spans="14:17" ht="15" customHeight="1">
      <c r="N625" s="626"/>
      <c r="O625" s="626"/>
      <c r="P625" s="626"/>
      <c r="Q625" s="626"/>
    </row>
    <row r="626" spans="14:17" ht="15" customHeight="1">
      <c r="N626" s="626"/>
      <c r="O626" s="626"/>
      <c r="P626" s="626"/>
      <c r="Q626" s="626"/>
    </row>
    <row r="627" spans="14:17" ht="15" customHeight="1">
      <c r="N627" s="626"/>
      <c r="O627" s="626"/>
      <c r="P627" s="626"/>
      <c r="Q627" s="626"/>
    </row>
    <row r="628" spans="14:17" ht="15" customHeight="1">
      <c r="N628" s="626"/>
      <c r="O628" s="626"/>
      <c r="P628" s="626"/>
      <c r="Q628" s="626"/>
    </row>
    <row r="629" spans="14:17" ht="15" customHeight="1">
      <c r="N629" s="626"/>
      <c r="O629" s="626"/>
      <c r="P629" s="626"/>
      <c r="Q629" s="626"/>
    </row>
    <row r="630" spans="14:17" ht="15" customHeight="1">
      <c r="N630" s="626"/>
      <c r="O630" s="626"/>
      <c r="P630" s="626"/>
      <c r="Q630" s="626"/>
    </row>
    <row r="631" spans="14:17" ht="15" customHeight="1">
      <c r="N631" s="626"/>
      <c r="O631" s="626"/>
      <c r="P631" s="626"/>
      <c r="Q631" s="626"/>
    </row>
    <row r="632" spans="14:17" ht="15" customHeight="1">
      <c r="N632" s="626"/>
      <c r="O632" s="626"/>
      <c r="P632" s="626"/>
      <c r="Q632" s="626"/>
    </row>
    <row r="633" spans="14:17" ht="15" customHeight="1">
      <c r="N633" s="626"/>
      <c r="O633" s="626"/>
      <c r="P633" s="626"/>
      <c r="Q633" s="626"/>
    </row>
    <row r="634" spans="14:17" ht="15" customHeight="1">
      <c r="N634" s="626"/>
      <c r="O634" s="626"/>
      <c r="P634" s="626"/>
      <c r="Q634" s="626"/>
    </row>
    <row r="635" spans="14:17" ht="15" customHeight="1">
      <c r="N635" s="626"/>
      <c r="O635" s="626"/>
      <c r="P635" s="626"/>
      <c r="Q635" s="626"/>
    </row>
    <row r="636" spans="14:17" ht="15" customHeight="1">
      <c r="N636" s="626"/>
      <c r="O636" s="626"/>
      <c r="P636" s="626"/>
      <c r="Q636" s="626"/>
    </row>
    <row r="637" spans="14:17" ht="15" customHeight="1">
      <c r="N637" s="626"/>
      <c r="O637" s="626"/>
      <c r="P637" s="626"/>
      <c r="Q637" s="626"/>
    </row>
    <row r="638" spans="14:17" ht="15" customHeight="1">
      <c r="N638" s="626"/>
      <c r="O638" s="626"/>
      <c r="P638" s="626"/>
      <c r="Q638" s="626"/>
    </row>
    <row r="639" spans="14:17" ht="15" customHeight="1">
      <c r="N639" s="626"/>
      <c r="O639" s="626"/>
      <c r="P639" s="626"/>
      <c r="Q639" s="626"/>
    </row>
    <row r="640" spans="14:17" ht="15" customHeight="1">
      <c r="N640" s="626"/>
      <c r="O640" s="626"/>
      <c r="P640" s="626"/>
      <c r="Q640" s="626"/>
    </row>
    <row r="641" spans="14:17" ht="15" customHeight="1">
      <c r="N641" s="626"/>
      <c r="O641" s="626"/>
      <c r="P641" s="626"/>
      <c r="Q641" s="626"/>
    </row>
    <row r="642" spans="14:17" ht="15" customHeight="1">
      <c r="N642" s="626"/>
      <c r="O642" s="626"/>
      <c r="P642" s="626"/>
      <c r="Q642" s="626"/>
    </row>
    <row r="643" spans="14:17" ht="15" customHeight="1">
      <c r="N643" s="626"/>
      <c r="O643" s="626"/>
      <c r="P643" s="626"/>
      <c r="Q643" s="626"/>
    </row>
    <row r="644" spans="14:17" ht="15" customHeight="1">
      <c r="N644" s="626"/>
      <c r="O644" s="626"/>
      <c r="P644" s="626"/>
      <c r="Q644" s="626"/>
    </row>
    <row r="645" spans="14:17" ht="15" customHeight="1">
      <c r="N645" s="626"/>
      <c r="O645" s="626"/>
      <c r="P645" s="626"/>
      <c r="Q645" s="626"/>
    </row>
    <row r="646" spans="14:17" ht="15" customHeight="1">
      <c r="N646" s="626"/>
      <c r="O646" s="626"/>
      <c r="P646" s="626"/>
      <c r="Q646" s="626"/>
    </row>
    <row r="647" spans="14:17" ht="15" customHeight="1">
      <c r="N647" s="626"/>
      <c r="O647" s="626"/>
      <c r="P647" s="626"/>
      <c r="Q647" s="626"/>
    </row>
    <row r="648" spans="14:17" ht="15" customHeight="1">
      <c r="N648" s="626"/>
      <c r="O648" s="626"/>
      <c r="P648" s="626"/>
      <c r="Q648" s="626"/>
    </row>
    <row r="649" spans="14:17" ht="15" customHeight="1">
      <c r="N649" s="626"/>
      <c r="O649" s="626"/>
      <c r="P649" s="626"/>
      <c r="Q649" s="626"/>
    </row>
    <row r="650" spans="14:17" ht="15" customHeight="1">
      <c r="N650" s="626"/>
      <c r="O650" s="626"/>
      <c r="P650" s="626"/>
      <c r="Q650" s="626"/>
    </row>
    <row r="651" spans="14:17" ht="15" customHeight="1">
      <c r="N651" s="626"/>
      <c r="O651" s="626"/>
      <c r="P651" s="626"/>
      <c r="Q651" s="626"/>
    </row>
    <row r="652" spans="14:17" ht="15" customHeight="1">
      <c r="N652" s="626"/>
      <c r="O652" s="626"/>
      <c r="P652" s="626"/>
      <c r="Q652" s="626"/>
    </row>
    <row r="653" spans="14:17" ht="15" customHeight="1">
      <c r="N653" s="626"/>
      <c r="O653" s="626"/>
      <c r="P653" s="626"/>
      <c r="Q653" s="626"/>
    </row>
    <row r="654" spans="14:17" ht="15" customHeight="1">
      <c r="N654" s="626"/>
      <c r="O654" s="626"/>
      <c r="P654" s="626"/>
      <c r="Q654" s="626"/>
    </row>
    <row r="655" spans="14:17" ht="15" customHeight="1">
      <c r="N655" s="626"/>
      <c r="O655" s="626"/>
      <c r="P655" s="626"/>
      <c r="Q655" s="626"/>
    </row>
    <row r="656" spans="14:17" ht="15" customHeight="1">
      <c r="N656" s="626"/>
      <c r="O656" s="626"/>
      <c r="P656" s="626"/>
      <c r="Q656" s="626"/>
    </row>
    <row r="657" spans="14:17" ht="15" customHeight="1">
      <c r="N657" s="626"/>
      <c r="O657" s="626"/>
      <c r="P657" s="626"/>
      <c r="Q657" s="626"/>
    </row>
    <row r="658" spans="14:17" ht="15" customHeight="1">
      <c r="N658" s="626"/>
      <c r="O658" s="626"/>
      <c r="P658" s="626"/>
      <c r="Q658" s="626"/>
    </row>
    <row r="659" spans="14:17" ht="15" customHeight="1">
      <c r="N659" s="626"/>
      <c r="O659" s="626"/>
      <c r="P659" s="626"/>
      <c r="Q659" s="626"/>
    </row>
    <row r="660" spans="14:17" ht="15" customHeight="1">
      <c r="N660" s="626"/>
      <c r="O660" s="626"/>
      <c r="P660" s="626"/>
      <c r="Q660" s="626"/>
    </row>
    <row r="661" spans="14:17" ht="15" customHeight="1">
      <c r="N661" s="626"/>
      <c r="O661" s="626"/>
      <c r="P661" s="626"/>
      <c r="Q661" s="626"/>
    </row>
    <row r="662" spans="14:17" ht="15" customHeight="1">
      <c r="N662" s="626"/>
      <c r="O662" s="626"/>
      <c r="P662" s="626"/>
      <c r="Q662" s="626"/>
    </row>
    <row r="663" spans="14:17" ht="15" customHeight="1">
      <c r="N663" s="626"/>
      <c r="O663" s="626"/>
      <c r="P663" s="626"/>
      <c r="Q663" s="626"/>
    </row>
    <row r="664" spans="14:17" ht="15" customHeight="1">
      <c r="N664" s="626"/>
      <c r="O664" s="626"/>
      <c r="P664" s="626"/>
      <c r="Q664" s="626"/>
    </row>
    <row r="665" spans="14:17" ht="15" customHeight="1">
      <c r="N665" s="626"/>
      <c r="O665" s="626"/>
      <c r="P665" s="626"/>
      <c r="Q665" s="626"/>
    </row>
    <row r="666" spans="14:17" ht="15" customHeight="1">
      <c r="N666" s="626"/>
      <c r="O666" s="626"/>
      <c r="P666" s="626"/>
      <c r="Q666" s="626"/>
    </row>
    <row r="667" spans="14:17" ht="15" customHeight="1">
      <c r="N667" s="626"/>
      <c r="O667" s="626"/>
      <c r="P667" s="626"/>
      <c r="Q667" s="626"/>
    </row>
    <row r="668" spans="14:17" ht="15" customHeight="1">
      <c r="N668" s="626"/>
      <c r="O668" s="626"/>
      <c r="P668" s="626"/>
      <c r="Q668" s="626"/>
    </row>
    <row r="669" spans="14:17" ht="15" customHeight="1">
      <c r="N669" s="626"/>
      <c r="O669" s="626"/>
      <c r="P669" s="626"/>
      <c r="Q669" s="626"/>
    </row>
    <row r="670" spans="14:17" ht="15" customHeight="1">
      <c r="N670" s="626"/>
      <c r="O670" s="626"/>
      <c r="P670" s="626"/>
      <c r="Q670" s="626"/>
    </row>
    <row r="671" spans="14:17" ht="15" customHeight="1">
      <c r="N671" s="626"/>
      <c r="O671" s="626"/>
      <c r="P671" s="626"/>
      <c r="Q671" s="626"/>
    </row>
    <row r="672" spans="14:17" ht="15" customHeight="1">
      <c r="N672" s="626"/>
      <c r="O672" s="626"/>
      <c r="P672" s="626"/>
      <c r="Q672" s="626"/>
    </row>
    <row r="673" spans="14:17" ht="15" customHeight="1">
      <c r="N673" s="626"/>
      <c r="O673" s="626"/>
      <c r="P673" s="626"/>
      <c r="Q673" s="626"/>
    </row>
    <row r="674" spans="14:17" ht="15" customHeight="1">
      <c r="N674" s="626"/>
      <c r="O674" s="626"/>
      <c r="P674" s="626"/>
      <c r="Q674" s="626"/>
    </row>
    <row r="675" spans="14:17" ht="15" customHeight="1">
      <c r="N675" s="626"/>
      <c r="O675" s="626"/>
      <c r="P675" s="626"/>
      <c r="Q675" s="626"/>
    </row>
    <row r="676" spans="14:17" ht="15" customHeight="1">
      <c r="N676" s="626"/>
      <c r="O676" s="626"/>
      <c r="P676" s="626"/>
      <c r="Q676" s="626"/>
    </row>
    <row r="677" spans="14:17" ht="15" customHeight="1">
      <c r="N677" s="626"/>
      <c r="O677" s="626"/>
      <c r="P677" s="626"/>
      <c r="Q677" s="626"/>
    </row>
    <row r="678" spans="14:17" ht="15" customHeight="1">
      <c r="N678" s="626"/>
      <c r="O678" s="626"/>
      <c r="P678" s="626"/>
      <c r="Q678" s="626"/>
    </row>
    <row r="679" spans="14:17" ht="15" customHeight="1">
      <c r="N679" s="626"/>
      <c r="O679" s="626"/>
      <c r="P679" s="626"/>
      <c r="Q679" s="626"/>
    </row>
    <row r="680" spans="14:17" ht="15" customHeight="1">
      <c r="N680" s="626"/>
      <c r="O680" s="626"/>
      <c r="P680" s="626"/>
      <c r="Q680" s="626"/>
    </row>
    <row r="681" spans="14:17" ht="15" customHeight="1">
      <c r="N681" s="626"/>
      <c r="O681" s="626"/>
      <c r="P681" s="626"/>
      <c r="Q681" s="626"/>
    </row>
    <row r="682" spans="14:17" ht="15" customHeight="1">
      <c r="N682" s="626"/>
      <c r="O682" s="626"/>
      <c r="P682" s="626"/>
      <c r="Q682" s="626"/>
    </row>
    <row r="683" spans="14:17" ht="15" customHeight="1">
      <c r="N683" s="626"/>
      <c r="O683" s="626"/>
      <c r="P683" s="626"/>
      <c r="Q683" s="626"/>
    </row>
    <row r="684" spans="14:17" ht="15" customHeight="1">
      <c r="N684" s="626"/>
      <c r="O684" s="626"/>
      <c r="P684" s="626"/>
      <c r="Q684" s="626"/>
    </row>
    <row r="685" spans="14:17" ht="15" customHeight="1">
      <c r="N685" s="626"/>
      <c r="O685" s="626"/>
      <c r="P685" s="626"/>
      <c r="Q685" s="626"/>
    </row>
    <row r="686" spans="14:17" ht="15" customHeight="1">
      <c r="N686" s="626"/>
      <c r="O686" s="626"/>
      <c r="P686" s="626"/>
      <c r="Q686" s="626"/>
    </row>
    <row r="687" spans="14:17" ht="15" customHeight="1">
      <c r="N687" s="626"/>
      <c r="O687" s="626"/>
      <c r="P687" s="626"/>
      <c r="Q687" s="626"/>
    </row>
    <row r="688" spans="14:17" ht="15" customHeight="1">
      <c r="N688" s="626"/>
      <c r="O688" s="626"/>
      <c r="P688" s="626"/>
      <c r="Q688" s="626"/>
    </row>
    <row r="689" spans="14:17" ht="15" customHeight="1">
      <c r="N689" s="626"/>
      <c r="O689" s="626"/>
      <c r="P689" s="626"/>
      <c r="Q689" s="626"/>
    </row>
    <row r="690" spans="14:17" ht="15" customHeight="1">
      <c r="N690" s="626"/>
      <c r="O690" s="626"/>
      <c r="P690" s="626"/>
      <c r="Q690" s="626"/>
    </row>
    <row r="691" spans="14:17" ht="15" customHeight="1">
      <c r="N691" s="626"/>
      <c r="O691" s="626"/>
      <c r="P691" s="626"/>
      <c r="Q691" s="626"/>
    </row>
    <row r="692" spans="14:17" ht="15" customHeight="1">
      <c r="N692" s="626"/>
      <c r="O692" s="626"/>
      <c r="P692" s="626"/>
      <c r="Q692" s="626"/>
    </row>
    <row r="693" spans="14:17" ht="15" customHeight="1">
      <c r="N693" s="626"/>
      <c r="O693" s="626"/>
      <c r="P693" s="626"/>
      <c r="Q693" s="626"/>
    </row>
    <row r="694" spans="14:17" ht="15" customHeight="1">
      <c r="N694" s="626"/>
      <c r="O694" s="626"/>
      <c r="P694" s="626"/>
      <c r="Q694" s="626"/>
    </row>
    <row r="695" spans="14:17" ht="15" customHeight="1">
      <c r="N695" s="626"/>
      <c r="O695" s="626"/>
      <c r="P695" s="626"/>
      <c r="Q695" s="626"/>
    </row>
    <row r="696" spans="14:17" ht="15" customHeight="1">
      <c r="N696" s="626"/>
      <c r="O696" s="626"/>
      <c r="P696" s="626"/>
      <c r="Q696" s="626"/>
    </row>
    <row r="697" spans="14:17" ht="15" customHeight="1">
      <c r="N697" s="626"/>
      <c r="O697" s="626"/>
      <c r="P697" s="626"/>
      <c r="Q697" s="626"/>
    </row>
    <row r="698" spans="14:17" ht="15" customHeight="1">
      <c r="N698" s="626"/>
      <c r="O698" s="626"/>
      <c r="P698" s="626"/>
      <c r="Q698" s="626"/>
    </row>
    <row r="699" spans="14:17" ht="15" customHeight="1">
      <c r="N699" s="626"/>
      <c r="O699" s="626"/>
      <c r="P699" s="626"/>
      <c r="Q699" s="626"/>
    </row>
    <row r="700" spans="14:17" ht="15" customHeight="1">
      <c r="N700" s="626"/>
      <c r="O700" s="626"/>
      <c r="P700" s="626"/>
      <c r="Q700" s="626"/>
    </row>
    <row r="701" spans="14:17" ht="15" customHeight="1">
      <c r="N701" s="626"/>
      <c r="O701" s="626"/>
      <c r="P701" s="626"/>
      <c r="Q701" s="626"/>
    </row>
    <row r="702" spans="14:17" ht="15" customHeight="1">
      <c r="N702" s="626"/>
      <c r="O702" s="626"/>
      <c r="P702" s="626"/>
      <c r="Q702" s="626"/>
    </row>
    <row r="703" spans="14:17" ht="15" customHeight="1">
      <c r="N703" s="626"/>
      <c r="O703" s="626"/>
      <c r="P703" s="626"/>
      <c r="Q703" s="626"/>
    </row>
    <row r="704" spans="14:17" ht="15" customHeight="1">
      <c r="N704" s="626"/>
      <c r="O704" s="626"/>
      <c r="P704" s="626"/>
      <c r="Q704" s="626"/>
    </row>
    <row r="705" spans="14:17" ht="15" customHeight="1">
      <c r="N705" s="626"/>
      <c r="O705" s="626"/>
      <c r="P705" s="626"/>
      <c r="Q705" s="626"/>
    </row>
    <row r="706" spans="14:17" ht="15" customHeight="1">
      <c r="N706" s="626"/>
      <c r="O706" s="626"/>
      <c r="P706" s="626"/>
      <c r="Q706" s="626"/>
    </row>
    <row r="707" spans="14:17" ht="15" customHeight="1">
      <c r="N707" s="626"/>
      <c r="O707" s="626"/>
      <c r="P707" s="626"/>
      <c r="Q707" s="626"/>
    </row>
    <row r="708" spans="14:17" ht="15" customHeight="1">
      <c r="N708" s="626"/>
      <c r="O708" s="626"/>
      <c r="P708" s="626"/>
      <c r="Q708" s="626"/>
    </row>
    <row r="709" spans="14:17" ht="15" customHeight="1">
      <c r="N709" s="626"/>
      <c r="O709" s="626"/>
      <c r="P709" s="626"/>
      <c r="Q709" s="626"/>
    </row>
    <row r="710" spans="14:17" ht="15" customHeight="1">
      <c r="N710" s="626"/>
      <c r="O710" s="626"/>
      <c r="P710" s="626"/>
      <c r="Q710" s="626"/>
    </row>
    <row r="711" spans="14:17" ht="15" customHeight="1">
      <c r="N711" s="626"/>
      <c r="O711" s="626"/>
      <c r="P711" s="626"/>
      <c r="Q711" s="626"/>
    </row>
    <row r="712" spans="14:17" ht="15" customHeight="1">
      <c r="N712" s="626"/>
      <c r="O712" s="626"/>
      <c r="P712" s="626"/>
      <c r="Q712" s="626"/>
    </row>
    <row r="713" spans="14:17" ht="15" customHeight="1">
      <c r="N713" s="626"/>
      <c r="O713" s="626"/>
      <c r="P713" s="626"/>
      <c r="Q713" s="626"/>
    </row>
    <row r="714" spans="14:17" ht="15" customHeight="1">
      <c r="N714" s="626"/>
      <c r="O714" s="626"/>
      <c r="P714" s="626"/>
      <c r="Q714" s="626"/>
    </row>
    <row r="715" spans="14:17" ht="15" customHeight="1">
      <c r="N715" s="626"/>
      <c r="O715" s="626"/>
      <c r="P715" s="626"/>
      <c r="Q715" s="626"/>
    </row>
    <row r="716" spans="14:17" ht="15" customHeight="1">
      <c r="N716" s="626"/>
      <c r="O716" s="626"/>
      <c r="P716" s="626"/>
      <c r="Q716" s="626"/>
    </row>
    <row r="717" spans="14:17" ht="15" customHeight="1">
      <c r="N717" s="626"/>
      <c r="O717" s="626"/>
      <c r="P717" s="626"/>
      <c r="Q717" s="626"/>
    </row>
    <row r="718" spans="14:17" ht="15" customHeight="1">
      <c r="N718" s="626"/>
      <c r="O718" s="626"/>
      <c r="P718" s="626"/>
      <c r="Q718" s="626"/>
    </row>
    <row r="719" spans="14:17" ht="15" customHeight="1">
      <c r="N719" s="626"/>
      <c r="O719" s="626"/>
      <c r="P719" s="626"/>
      <c r="Q719" s="626"/>
    </row>
    <row r="720" spans="14:17" ht="15" customHeight="1">
      <c r="N720" s="626"/>
      <c r="O720" s="626"/>
      <c r="P720" s="626"/>
      <c r="Q720" s="626"/>
    </row>
    <row r="721" spans="14:17" ht="15" customHeight="1">
      <c r="N721" s="626"/>
      <c r="O721" s="626"/>
      <c r="P721" s="626"/>
      <c r="Q721" s="626"/>
    </row>
    <row r="722" spans="14:17" ht="15" customHeight="1">
      <c r="N722" s="626"/>
      <c r="O722" s="626"/>
      <c r="P722" s="626"/>
      <c r="Q722" s="626"/>
    </row>
    <row r="724" spans="14:17" ht="15" customHeight="1">
      <c r="N724" s="626"/>
      <c r="O724" s="626"/>
      <c r="P724" s="626"/>
      <c r="Q724" s="626"/>
    </row>
    <row r="725" spans="14:17" ht="15" customHeight="1">
      <c r="N725" s="626"/>
      <c r="O725" s="626"/>
      <c r="P725" s="626"/>
      <c r="Q725" s="626"/>
    </row>
    <row r="726" spans="14:17" ht="15" customHeight="1">
      <c r="N726" s="626"/>
      <c r="O726" s="626"/>
      <c r="P726" s="626"/>
      <c r="Q726" s="626"/>
    </row>
    <row r="727" spans="14:17" ht="15" customHeight="1">
      <c r="N727" s="626"/>
      <c r="O727" s="626"/>
      <c r="P727" s="626"/>
      <c r="Q727" s="626"/>
    </row>
    <row r="728" spans="14:17" ht="15" customHeight="1">
      <c r="N728" s="626"/>
      <c r="O728" s="626"/>
      <c r="P728" s="626"/>
      <c r="Q728" s="626"/>
    </row>
    <row r="729" spans="14:17" ht="15" customHeight="1">
      <c r="N729" s="626"/>
      <c r="O729" s="626"/>
      <c r="P729" s="626"/>
      <c r="Q729" s="626"/>
    </row>
    <row r="730" spans="14:17" ht="15" customHeight="1">
      <c r="N730" s="626"/>
      <c r="O730" s="626"/>
      <c r="P730" s="626"/>
      <c r="Q730" s="626"/>
    </row>
    <row r="731" spans="14:17" ht="15" customHeight="1">
      <c r="N731" s="626"/>
      <c r="O731" s="626"/>
      <c r="P731" s="626"/>
      <c r="Q731" s="626"/>
    </row>
    <row r="732" spans="14:17" ht="15" customHeight="1">
      <c r="N732" s="626"/>
      <c r="O732" s="626"/>
      <c r="P732" s="626"/>
      <c r="Q732" s="626"/>
    </row>
    <row r="733" spans="14:17" ht="15" customHeight="1">
      <c r="N733" s="626"/>
      <c r="O733" s="626"/>
      <c r="P733" s="626"/>
      <c r="Q733" s="626"/>
    </row>
    <row r="734" spans="14:17" ht="15" customHeight="1">
      <c r="N734" s="626"/>
      <c r="O734" s="626"/>
      <c r="P734" s="626"/>
      <c r="Q734" s="626"/>
    </row>
    <row r="735" spans="14:17" ht="15" customHeight="1">
      <c r="N735" s="626"/>
      <c r="O735" s="626"/>
      <c r="P735" s="626"/>
      <c r="Q735" s="626"/>
    </row>
    <row r="736" spans="14:17" ht="15" customHeight="1">
      <c r="N736" s="626"/>
      <c r="O736" s="626"/>
      <c r="P736" s="626"/>
      <c r="Q736" s="626"/>
    </row>
    <row r="737" spans="14:17" ht="15" customHeight="1">
      <c r="N737" s="626"/>
      <c r="O737" s="626"/>
      <c r="P737" s="626"/>
      <c r="Q737" s="626"/>
    </row>
    <row r="738" spans="14:17" ht="15" customHeight="1">
      <c r="N738" s="626"/>
      <c r="O738" s="626"/>
      <c r="P738" s="626"/>
      <c r="Q738" s="626"/>
    </row>
    <row r="739" spans="14:17" ht="15" customHeight="1">
      <c r="N739" s="626"/>
      <c r="O739" s="626"/>
      <c r="P739" s="626"/>
      <c r="Q739" s="626"/>
    </row>
    <row r="740" spans="14:17" ht="15" customHeight="1">
      <c r="N740" s="626"/>
      <c r="O740" s="626"/>
      <c r="P740" s="626"/>
      <c r="Q740" s="626"/>
    </row>
    <row r="741" spans="14:17" ht="15" customHeight="1">
      <c r="N741" s="626"/>
      <c r="O741" s="626"/>
      <c r="P741" s="626"/>
      <c r="Q741" s="626"/>
    </row>
    <row r="742" spans="14:17" ht="15" customHeight="1">
      <c r="N742" s="626"/>
      <c r="O742" s="626"/>
      <c r="P742" s="626"/>
      <c r="Q742" s="626"/>
    </row>
    <row r="743" spans="14:17" ht="15" customHeight="1">
      <c r="N743" s="626"/>
      <c r="O743" s="626"/>
      <c r="P743" s="626"/>
      <c r="Q743" s="626"/>
    </row>
    <row r="744" spans="14:17" ht="15" customHeight="1">
      <c r="N744" s="626"/>
      <c r="O744" s="626"/>
      <c r="P744" s="626"/>
      <c r="Q744" s="626"/>
    </row>
    <row r="745" spans="14:17" ht="15" customHeight="1">
      <c r="N745" s="626"/>
      <c r="O745" s="626"/>
      <c r="P745" s="626"/>
      <c r="Q745" s="626"/>
    </row>
    <row r="746" spans="14:17" ht="15" customHeight="1">
      <c r="N746" s="626"/>
      <c r="O746" s="626"/>
      <c r="P746" s="626"/>
      <c r="Q746" s="626"/>
    </row>
    <row r="747" spans="14:17" ht="15" customHeight="1">
      <c r="N747" s="626"/>
      <c r="O747" s="626"/>
      <c r="P747" s="626"/>
      <c r="Q747" s="626"/>
    </row>
    <row r="748" spans="14:17" ht="15" customHeight="1">
      <c r="N748" s="626"/>
      <c r="O748" s="626"/>
      <c r="P748" s="626"/>
      <c r="Q748" s="626"/>
    </row>
    <row r="749" spans="14:17" ht="15" customHeight="1">
      <c r="N749" s="626"/>
      <c r="O749" s="626"/>
      <c r="P749" s="626"/>
      <c r="Q749" s="626"/>
    </row>
    <row r="750" spans="14:17" ht="15" customHeight="1">
      <c r="N750" s="626"/>
      <c r="O750" s="626"/>
      <c r="P750" s="626"/>
      <c r="Q750" s="626"/>
    </row>
    <row r="751" spans="14:17" ht="15" customHeight="1">
      <c r="N751" s="626"/>
      <c r="O751" s="626"/>
      <c r="P751" s="626"/>
      <c r="Q751" s="626"/>
    </row>
    <row r="752" spans="14:17" ht="15" customHeight="1">
      <c r="N752" s="626"/>
      <c r="O752" s="626"/>
      <c r="P752" s="626"/>
      <c r="Q752" s="626"/>
    </row>
    <row r="753" spans="14:17" ht="15" customHeight="1">
      <c r="N753" s="626"/>
      <c r="O753" s="626"/>
      <c r="P753" s="626"/>
      <c r="Q753" s="626"/>
    </row>
    <row r="754" spans="14:17" ht="15" customHeight="1">
      <c r="N754" s="626"/>
      <c r="O754" s="626"/>
      <c r="P754" s="626"/>
      <c r="Q754" s="626"/>
    </row>
    <row r="755" spans="14:17" ht="15" customHeight="1">
      <c r="N755" s="626"/>
      <c r="O755" s="626"/>
      <c r="P755" s="626"/>
      <c r="Q755" s="626"/>
    </row>
    <row r="756" spans="14:17" ht="15" customHeight="1">
      <c r="N756" s="626"/>
      <c r="O756" s="626"/>
      <c r="P756" s="626"/>
      <c r="Q756" s="626"/>
    </row>
    <row r="757" spans="14:17" ht="15" customHeight="1">
      <c r="N757" s="626"/>
      <c r="O757" s="626"/>
      <c r="P757" s="626"/>
      <c r="Q757" s="626"/>
    </row>
    <row r="758" spans="14:17" ht="15" customHeight="1">
      <c r="N758" s="626"/>
      <c r="O758" s="626"/>
      <c r="P758" s="626"/>
      <c r="Q758" s="626"/>
    </row>
    <row r="759" spans="14:17" ht="15" customHeight="1">
      <c r="N759" s="626"/>
      <c r="O759" s="626"/>
      <c r="P759" s="626"/>
      <c r="Q759" s="626"/>
    </row>
    <row r="760" spans="14:17" ht="15" customHeight="1">
      <c r="N760" s="626"/>
      <c r="O760" s="626"/>
      <c r="P760" s="626"/>
      <c r="Q760" s="626"/>
    </row>
    <row r="761" spans="14:17" ht="15" customHeight="1">
      <c r="N761" s="626"/>
      <c r="O761" s="626"/>
      <c r="P761" s="626"/>
      <c r="Q761" s="626"/>
    </row>
    <row r="762" spans="14:17" ht="15" customHeight="1">
      <c r="N762" s="626"/>
      <c r="O762" s="626"/>
      <c r="P762" s="626"/>
      <c r="Q762" s="626"/>
    </row>
    <row r="763" spans="14:17" ht="15" customHeight="1">
      <c r="N763" s="626"/>
      <c r="O763" s="626"/>
      <c r="P763" s="626"/>
      <c r="Q763" s="626"/>
    </row>
    <row r="764" spans="14:17" ht="15" customHeight="1">
      <c r="N764" s="626"/>
      <c r="O764" s="626"/>
      <c r="P764" s="626"/>
      <c r="Q764" s="626"/>
    </row>
    <row r="765" spans="14:17" ht="15" customHeight="1">
      <c r="N765" s="626"/>
      <c r="O765" s="626"/>
      <c r="P765" s="626"/>
      <c r="Q765" s="626"/>
    </row>
    <row r="766" spans="14:17" ht="15" customHeight="1">
      <c r="N766" s="626"/>
      <c r="O766" s="626"/>
      <c r="P766" s="626"/>
      <c r="Q766" s="626"/>
    </row>
    <row r="767" spans="14:17" ht="15" customHeight="1">
      <c r="N767" s="626"/>
      <c r="O767" s="626"/>
      <c r="P767" s="626"/>
      <c r="Q767" s="626"/>
    </row>
    <row r="768" spans="14:17" ht="15" customHeight="1">
      <c r="N768" s="626"/>
      <c r="O768" s="626"/>
      <c r="P768" s="626"/>
      <c r="Q768" s="626"/>
    </row>
    <row r="769" spans="14:17" ht="15" customHeight="1">
      <c r="N769" s="626"/>
      <c r="O769" s="626"/>
      <c r="P769" s="626"/>
      <c r="Q769" s="626"/>
    </row>
    <row r="770" spans="14:17" ht="15" customHeight="1">
      <c r="N770" s="626"/>
      <c r="O770" s="626"/>
      <c r="P770" s="626"/>
      <c r="Q770" s="626"/>
    </row>
    <row r="771" spans="14:17" ht="15" customHeight="1">
      <c r="N771" s="626"/>
      <c r="O771" s="626"/>
      <c r="P771" s="626"/>
      <c r="Q771" s="626"/>
    </row>
    <row r="772" spans="14:17" ht="15" customHeight="1">
      <c r="N772" s="626"/>
      <c r="O772" s="626"/>
      <c r="P772" s="626"/>
      <c r="Q772" s="626"/>
    </row>
    <row r="773" spans="14:17" ht="15" customHeight="1">
      <c r="N773" s="626"/>
      <c r="O773" s="626"/>
      <c r="P773" s="626"/>
      <c r="Q773" s="626"/>
    </row>
    <row r="774" spans="14:17" ht="15" customHeight="1">
      <c r="N774" s="626"/>
      <c r="O774" s="626"/>
      <c r="P774" s="626"/>
      <c r="Q774" s="626"/>
    </row>
    <row r="775" spans="14:17" ht="15" customHeight="1">
      <c r="N775" s="626"/>
      <c r="O775" s="626"/>
      <c r="P775" s="626"/>
      <c r="Q775" s="626"/>
    </row>
    <row r="776" spans="14:17" ht="15" customHeight="1">
      <c r="N776" s="626"/>
      <c r="O776" s="626"/>
      <c r="P776" s="626"/>
      <c r="Q776" s="626"/>
    </row>
    <row r="777" spans="14:17" ht="15" customHeight="1">
      <c r="N777" s="626"/>
      <c r="O777" s="626"/>
      <c r="P777" s="626"/>
      <c r="Q777" s="626"/>
    </row>
    <row r="778" spans="14:17" ht="15" customHeight="1">
      <c r="N778" s="626"/>
      <c r="O778" s="626"/>
      <c r="P778" s="626"/>
      <c r="Q778" s="626"/>
    </row>
    <row r="779" spans="14:17" ht="15" customHeight="1">
      <c r="N779" s="626"/>
      <c r="O779" s="626"/>
      <c r="P779" s="626"/>
      <c r="Q779" s="626"/>
    </row>
    <row r="780" spans="14:17" ht="15" customHeight="1">
      <c r="N780" s="626"/>
      <c r="O780" s="626"/>
      <c r="P780" s="626"/>
      <c r="Q780" s="626"/>
    </row>
    <row r="781" spans="14:17" ht="15" customHeight="1">
      <c r="N781" s="626"/>
      <c r="O781" s="626"/>
      <c r="P781" s="626"/>
      <c r="Q781" s="626"/>
    </row>
    <row r="782" spans="14:17" ht="15" customHeight="1">
      <c r="N782" s="626"/>
      <c r="O782" s="626"/>
      <c r="P782" s="626"/>
      <c r="Q782" s="626"/>
    </row>
    <row r="783" spans="14:17" ht="15" customHeight="1">
      <c r="N783" s="626"/>
      <c r="O783" s="626"/>
      <c r="P783" s="626"/>
      <c r="Q783" s="626"/>
    </row>
    <row r="784" spans="14:17" ht="15" customHeight="1">
      <c r="N784" s="626"/>
      <c r="O784" s="626"/>
      <c r="P784" s="626"/>
      <c r="Q784" s="626"/>
    </row>
    <row r="785" spans="14:17" ht="15" customHeight="1">
      <c r="N785" s="626"/>
      <c r="O785" s="626"/>
      <c r="P785" s="626"/>
      <c r="Q785" s="626"/>
    </row>
    <row r="786" spans="14:17" ht="15" customHeight="1">
      <c r="N786" s="626"/>
      <c r="O786" s="626"/>
      <c r="P786" s="626"/>
      <c r="Q786" s="626"/>
    </row>
    <row r="787" spans="14:17" ht="15" customHeight="1">
      <c r="N787" s="626"/>
      <c r="O787" s="626"/>
      <c r="P787" s="626"/>
      <c r="Q787" s="626"/>
    </row>
    <row r="788" spans="14:17" ht="15" customHeight="1">
      <c r="N788" s="626"/>
      <c r="O788" s="626"/>
      <c r="P788" s="626"/>
      <c r="Q788" s="626"/>
    </row>
    <row r="789" spans="14:17" ht="15" customHeight="1">
      <c r="N789" s="626"/>
      <c r="O789" s="626"/>
      <c r="P789" s="626"/>
      <c r="Q789" s="626"/>
    </row>
    <row r="790" spans="14:17" ht="15" customHeight="1">
      <c r="N790" s="626"/>
      <c r="O790" s="626"/>
      <c r="P790" s="626"/>
      <c r="Q790" s="626"/>
    </row>
    <row r="791" spans="14:17" ht="15" customHeight="1">
      <c r="N791" s="626"/>
      <c r="O791" s="626"/>
      <c r="P791" s="626"/>
      <c r="Q791" s="626"/>
    </row>
    <row r="792" spans="14:17" ht="15" customHeight="1">
      <c r="N792" s="626"/>
      <c r="O792" s="626"/>
      <c r="P792" s="626"/>
      <c r="Q792" s="626"/>
    </row>
    <row r="793" spans="14:17" ht="15" customHeight="1">
      <c r="N793" s="626"/>
      <c r="O793" s="626"/>
      <c r="P793" s="626"/>
      <c r="Q793" s="626"/>
    </row>
    <row r="794" spans="14:17" ht="15" customHeight="1">
      <c r="N794" s="626"/>
      <c r="O794" s="626"/>
      <c r="P794" s="626"/>
      <c r="Q794" s="626"/>
    </row>
    <row r="795" spans="14:17" ht="15" customHeight="1">
      <c r="N795" s="626"/>
      <c r="O795" s="626"/>
      <c r="P795" s="626"/>
      <c r="Q795" s="626"/>
    </row>
    <row r="796" spans="14:17" ht="15" customHeight="1">
      <c r="N796" s="626"/>
      <c r="O796" s="626"/>
      <c r="P796" s="626"/>
      <c r="Q796" s="626"/>
    </row>
    <row r="797" spans="14:17" ht="15" customHeight="1">
      <c r="N797" s="626"/>
      <c r="O797" s="626"/>
      <c r="P797" s="626"/>
      <c r="Q797" s="626"/>
    </row>
    <row r="798" spans="14:17" ht="15" customHeight="1">
      <c r="N798" s="626"/>
      <c r="O798" s="626"/>
      <c r="P798" s="626"/>
      <c r="Q798" s="626"/>
    </row>
    <row r="799" spans="14:17" ht="15" customHeight="1">
      <c r="N799" s="626"/>
      <c r="O799" s="626"/>
      <c r="P799" s="626"/>
      <c r="Q799" s="626"/>
    </row>
    <row r="800" spans="14:17" ht="15" customHeight="1">
      <c r="N800" s="626"/>
      <c r="O800" s="626"/>
      <c r="P800" s="626"/>
      <c r="Q800" s="626"/>
    </row>
    <row r="801" spans="14:17" ht="15" customHeight="1">
      <c r="N801" s="626"/>
      <c r="O801" s="626"/>
      <c r="P801" s="626"/>
      <c r="Q801" s="626"/>
    </row>
    <row r="802" spans="14:17" ht="15" customHeight="1">
      <c r="N802" s="626"/>
      <c r="O802" s="626"/>
      <c r="P802" s="626"/>
      <c r="Q802" s="626"/>
    </row>
    <row r="803" spans="14:17" ht="15" customHeight="1">
      <c r="N803" s="626"/>
      <c r="O803" s="626"/>
      <c r="P803" s="626"/>
      <c r="Q803" s="626"/>
    </row>
    <row r="804" spans="14:17" ht="15" customHeight="1">
      <c r="N804" s="626"/>
      <c r="O804" s="626"/>
      <c r="P804" s="626"/>
      <c r="Q804" s="626"/>
    </row>
    <row r="805" spans="14:17" ht="15" customHeight="1">
      <c r="N805" s="626"/>
      <c r="O805" s="626"/>
      <c r="P805" s="626"/>
      <c r="Q805" s="626"/>
    </row>
    <row r="806" spans="14:17" ht="15" customHeight="1">
      <c r="N806" s="626"/>
      <c r="O806" s="626"/>
      <c r="P806" s="626"/>
      <c r="Q806" s="626"/>
    </row>
    <row r="807" spans="14:17" ht="15" customHeight="1">
      <c r="N807" s="626"/>
      <c r="O807" s="626"/>
      <c r="P807" s="626"/>
      <c r="Q807" s="626"/>
    </row>
    <row r="808" spans="14:17" ht="15" customHeight="1">
      <c r="N808" s="626"/>
      <c r="O808" s="626"/>
      <c r="P808" s="626"/>
      <c r="Q808" s="626"/>
    </row>
    <row r="809" spans="14:17" ht="15" customHeight="1">
      <c r="N809" s="626"/>
      <c r="O809" s="626"/>
      <c r="P809" s="626"/>
      <c r="Q809" s="626"/>
    </row>
    <row r="810" spans="14:17" ht="15" customHeight="1">
      <c r="N810" s="626"/>
      <c r="O810" s="626"/>
      <c r="P810" s="626"/>
      <c r="Q810" s="626"/>
    </row>
    <row r="811" spans="14:17" ht="15" customHeight="1">
      <c r="N811" s="626"/>
      <c r="O811" s="626"/>
      <c r="P811" s="626"/>
      <c r="Q811" s="626"/>
    </row>
    <row r="812" spans="14:17" ht="15" customHeight="1">
      <c r="N812" s="626"/>
      <c r="O812" s="626"/>
      <c r="P812" s="626"/>
      <c r="Q812" s="626"/>
    </row>
    <row r="813" spans="14:17" ht="15" customHeight="1">
      <c r="N813" s="626"/>
      <c r="O813" s="626"/>
      <c r="P813" s="626"/>
      <c r="Q813" s="626"/>
    </row>
    <row r="814" spans="14:17" ht="15" customHeight="1">
      <c r="N814" s="626"/>
      <c r="O814" s="626"/>
      <c r="P814" s="626"/>
      <c r="Q814" s="626"/>
    </row>
    <row r="815" spans="14:17" ht="15" customHeight="1">
      <c r="N815" s="626"/>
      <c r="O815" s="626"/>
      <c r="P815" s="626"/>
      <c r="Q815" s="626"/>
    </row>
    <row r="816" spans="14:17" ht="15" customHeight="1">
      <c r="N816" s="626"/>
      <c r="O816" s="626"/>
      <c r="P816" s="626"/>
      <c r="Q816" s="626"/>
    </row>
    <row r="817" spans="14:17" ht="15" customHeight="1">
      <c r="N817" s="626"/>
      <c r="O817" s="626"/>
      <c r="P817" s="626"/>
      <c r="Q817" s="626"/>
    </row>
    <row r="818" spans="14:17" ht="15" customHeight="1">
      <c r="N818" s="626"/>
      <c r="O818" s="626"/>
      <c r="P818" s="626"/>
      <c r="Q818" s="626"/>
    </row>
    <row r="819" spans="14:17" ht="15" customHeight="1">
      <c r="N819" s="626"/>
      <c r="O819" s="626"/>
      <c r="P819" s="626"/>
      <c r="Q819" s="626"/>
    </row>
    <row r="820" spans="14:17" ht="15" customHeight="1">
      <c r="N820" s="626"/>
      <c r="O820" s="626"/>
      <c r="P820" s="626"/>
      <c r="Q820" s="626"/>
    </row>
    <row r="821" spans="14:17" ht="15" customHeight="1">
      <c r="N821" s="626"/>
      <c r="O821" s="626"/>
      <c r="P821" s="626"/>
      <c r="Q821" s="626"/>
    </row>
    <row r="822" spans="14:17" ht="15" customHeight="1">
      <c r="N822" s="626"/>
      <c r="O822" s="626"/>
      <c r="P822" s="626"/>
      <c r="Q822" s="626"/>
    </row>
    <row r="823" spans="14:17" ht="15" customHeight="1">
      <c r="N823" s="626"/>
      <c r="O823" s="626"/>
      <c r="P823" s="626"/>
      <c r="Q823" s="626"/>
    </row>
    <row r="824" spans="14:17" ht="15" customHeight="1">
      <c r="N824" s="626"/>
      <c r="O824" s="626"/>
      <c r="P824" s="626"/>
      <c r="Q824" s="626"/>
    </row>
    <row r="825" spans="14:17" ht="15" customHeight="1">
      <c r="N825" s="626"/>
      <c r="O825" s="626"/>
      <c r="P825" s="626"/>
      <c r="Q825" s="626"/>
    </row>
    <row r="826" spans="14:17" ht="15" customHeight="1">
      <c r="N826" s="626"/>
      <c r="O826" s="626"/>
      <c r="P826" s="626"/>
      <c r="Q826" s="626"/>
    </row>
    <row r="827" spans="14:17" ht="15" customHeight="1">
      <c r="N827" s="626"/>
      <c r="O827" s="626"/>
      <c r="P827" s="626"/>
      <c r="Q827" s="626"/>
    </row>
    <row r="828" spans="14:17" ht="15" customHeight="1">
      <c r="N828" s="626"/>
      <c r="O828" s="626"/>
      <c r="P828" s="626"/>
      <c r="Q828" s="626"/>
    </row>
    <row r="829" spans="14:17" ht="15" customHeight="1">
      <c r="N829" s="626"/>
      <c r="O829" s="626"/>
      <c r="P829" s="626"/>
      <c r="Q829" s="626"/>
    </row>
    <row r="830" spans="14:17" ht="15" customHeight="1">
      <c r="N830" s="626"/>
      <c r="O830" s="626"/>
      <c r="P830" s="626"/>
      <c r="Q830" s="626"/>
    </row>
    <row r="831" spans="14:17" ht="15" customHeight="1">
      <c r="N831" s="626"/>
      <c r="O831" s="626"/>
      <c r="P831" s="626"/>
      <c r="Q831" s="626"/>
    </row>
    <row r="832" spans="14:17" ht="15" customHeight="1">
      <c r="N832" s="626"/>
      <c r="O832" s="626"/>
      <c r="P832" s="626"/>
      <c r="Q832" s="626"/>
    </row>
    <row r="833" spans="14:17" ht="15" customHeight="1">
      <c r="N833" s="626"/>
      <c r="O833" s="626"/>
      <c r="P833" s="626"/>
      <c r="Q833" s="626"/>
    </row>
    <row r="834" spans="14:17" ht="15" customHeight="1">
      <c r="N834" s="626"/>
      <c r="O834" s="626"/>
      <c r="P834" s="626"/>
      <c r="Q834" s="626"/>
    </row>
    <row r="835" spans="14:17" ht="15" customHeight="1">
      <c r="N835" s="626"/>
      <c r="O835" s="626"/>
      <c r="P835" s="626"/>
      <c r="Q835" s="626"/>
    </row>
    <row r="836" spans="14:17" ht="15" customHeight="1">
      <c r="N836" s="626"/>
      <c r="O836" s="626"/>
      <c r="P836" s="626"/>
      <c r="Q836" s="626"/>
    </row>
    <row r="837" spans="14:17" ht="15" customHeight="1">
      <c r="N837" s="626"/>
      <c r="O837" s="626"/>
      <c r="P837" s="626"/>
      <c r="Q837" s="626"/>
    </row>
    <row r="838" spans="14:17" ht="15" customHeight="1">
      <c r="N838" s="626"/>
      <c r="O838" s="626"/>
      <c r="P838" s="626"/>
      <c r="Q838" s="626"/>
    </row>
    <row r="839" spans="14:17" ht="15" customHeight="1">
      <c r="N839" s="626"/>
      <c r="O839" s="626"/>
      <c r="P839" s="626"/>
      <c r="Q839" s="626"/>
    </row>
    <row r="840" spans="14:17" ht="15" customHeight="1">
      <c r="N840" s="626"/>
      <c r="O840" s="626"/>
      <c r="P840" s="626"/>
      <c r="Q840" s="626"/>
    </row>
    <row r="841" spans="14:17" ht="15" customHeight="1">
      <c r="N841" s="626"/>
      <c r="O841" s="626"/>
      <c r="P841" s="626"/>
      <c r="Q841" s="626"/>
    </row>
    <row r="842" spans="14:17" ht="15" customHeight="1">
      <c r="N842" s="626"/>
      <c r="O842" s="626"/>
      <c r="P842" s="626"/>
      <c r="Q842" s="626"/>
    </row>
    <row r="843" spans="14:17" ht="15" customHeight="1">
      <c r="N843" s="626"/>
      <c r="O843" s="626"/>
      <c r="P843" s="626"/>
      <c r="Q843" s="626"/>
    </row>
    <row r="844" spans="14:17" ht="15" customHeight="1">
      <c r="N844" s="626"/>
      <c r="O844" s="626"/>
      <c r="P844" s="626"/>
      <c r="Q844" s="626"/>
    </row>
    <row r="845" spans="14:17" ht="15" customHeight="1">
      <c r="N845" s="626"/>
      <c r="O845" s="626"/>
      <c r="P845" s="626"/>
      <c r="Q845" s="626"/>
    </row>
    <row r="846" spans="14:17" ht="15" customHeight="1">
      <c r="N846" s="626"/>
      <c r="O846" s="626"/>
      <c r="P846" s="626"/>
      <c r="Q846" s="626"/>
    </row>
    <row r="847" spans="14:17" ht="15" customHeight="1">
      <c r="N847" s="626"/>
      <c r="O847" s="626"/>
      <c r="P847" s="626"/>
      <c r="Q847" s="626"/>
    </row>
    <row r="848" spans="14:17" ht="15" customHeight="1">
      <c r="N848" s="626"/>
      <c r="O848" s="626"/>
      <c r="P848" s="626"/>
      <c r="Q848" s="626"/>
    </row>
    <row r="849" spans="14:17" ht="15" customHeight="1">
      <c r="N849" s="626"/>
      <c r="O849" s="626"/>
      <c r="P849" s="626"/>
      <c r="Q849" s="626"/>
    </row>
    <row r="850" spans="14:17" ht="15" customHeight="1">
      <c r="N850" s="626"/>
      <c r="O850" s="626"/>
      <c r="P850" s="626"/>
      <c r="Q850" s="626"/>
    </row>
    <row r="851" spans="14:17" ht="15" customHeight="1">
      <c r="N851" s="626"/>
      <c r="O851" s="626"/>
      <c r="P851" s="626"/>
      <c r="Q851" s="626"/>
    </row>
    <row r="852" spans="14:17" ht="15" customHeight="1">
      <c r="N852" s="626"/>
      <c r="O852" s="626"/>
      <c r="P852" s="626"/>
      <c r="Q852" s="626"/>
    </row>
    <row r="853" spans="14:17" ht="15" customHeight="1">
      <c r="N853" s="626"/>
      <c r="O853" s="626"/>
      <c r="P853" s="626"/>
      <c r="Q853" s="626"/>
    </row>
    <row r="854" spans="14:17" ht="15" customHeight="1">
      <c r="N854" s="626"/>
      <c r="O854" s="626"/>
      <c r="P854" s="626"/>
      <c r="Q854" s="626"/>
    </row>
    <row r="855" spans="14:17" ht="15" customHeight="1">
      <c r="N855" s="626"/>
      <c r="O855" s="626"/>
      <c r="P855" s="626"/>
      <c r="Q855" s="626"/>
    </row>
    <row r="856" spans="14:17" ht="15" customHeight="1">
      <c r="N856" s="626"/>
      <c r="O856" s="626"/>
      <c r="P856" s="626"/>
      <c r="Q856" s="626"/>
    </row>
    <row r="857" spans="14:17" ht="15" customHeight="1">
      <c r="N857" s="626"/>
      <c r="O857" s="626"/>
      <c r="P857" s="626"/>
      <c r="Q857" s="626"/>
    </row>
    <row r="858" spans="14:17" ht="15" customHeight="1">
      <c r="N858" s="626"/>
      <c r="O858" s="626"/>
      <c r="P858" s="626"/>
      <c r="Q858" s="626"/>
    </row>
    <row r="859" spans="14:17" ht="15" customHeight="1">
      <c r="N859" s="626"/>
      <c r="O859" s="626"/>
      <c r="P859" s="626"/>
      <c r="Q859" s="626"/>
    </row>
    <row r="860" spans="14:17" ht="15" customHeight="1">
      <c r="N860" s="626"/>
      <c r="O860" s="626"/>
      <c r="P860" s="626"/>
      <c r="Q860" s="626"/>
    </row>
    <row r="861" spans="14:17" ht="15" customHeight="1">
      <c r="N861" s="626"/>
      <c r="O861" s="626"/>
      <c r="P861" s="626"/>
      <c r="Q861" s="626"/>
    </row>
    <row r="862" spans="14:17" ht="15" customHeight="1">
      <c r="N862" s="626"/>
      <c r="O862" s="626"/>
      <c r="P862" s="626"/>
      <c r="Q862" s="626"/>
    </row>
    <row r="863" spans="14:17" ht="15" customHeight="1">
      <c r="N863" s="626"/>
      <c r="O863" s="626"/>
      <c r="P863" s="626"/>
      <c r="Q863" s="626"/>
    </row>
    <row r="864" spans="14:17" ht="15" customHeight="1">
      <c r="N864" s="626"/>
      <c r="O864" s="626"/>
      <c r="P864" s="626"/>
      <c r="Q864" s="626"/>
    </row>
    <row r="865" spans="14:17" ht="15" customHeight="1">
      <c r="N865" s="626"/>
      <c r="O865" s="626"/>
      <c r="P865" s="626"/>
      <c r="Q865" s="626"/>
    </row>
    <row r="866" spans="14:17" ht="15" customHeight="1">
      <c r="N866" s="626"/>
      <c r="O866" s="626"/>
      <c r="P866" s="626"/>
      <c r="Q866" s="626"/>
    </row>
    <row r="867" spans="14:17" ht="15" customHeight="1">
      <c r="N867" s="626"/>
      <c r="O867" s="626"/>
      <c r="P867" s="626"/>
      <c r="Q867" s="626"/>
    </row>
    <row r="868" spans="14:17" ht="15" customHeight="1">
      <c r="N868" s="626"/>
      <c r="O868" s="626"/>
      <c r="P868" s="626"/>
      <c r="Q868" s="626"/>
    </row>
    <row r="869" spans="14:17" ht="15" customHeight="1">
      <c r="N869" s="626"/>
      <c r="O869" s="626"/>
      <c r="P869" s="626"/>
      <c r="Q869" s="626"/>
    </row>
    <row r="870" spans="14:17" ht="15" customHeight="1">
      <c r="N870" s="626"/>
      <c r="O870" s="626"/>
      <c r="P870" s="626"/>
      <c r="Q870" s="626"/>
    </row>
    <row r="871" spans="14:17" ht="15" customHeight="1">
      <c r="N871" s="626"/>
      <c r="O871" s="626"/>
      <c r="P871" s="626"/>
      <c r="Q871" s="626"/>
    </row>
    <row r="872" spans="14:17" ht="15" customHeight="1">
      <c r="N872" s="626"/>
      <c r="O872" s="626"/>
      <c r="P872" s="626"/>
      <c r="Q872" s="626"/>
    </row>
    <row r="873" spans="14:17" ht="15" customHeight="1">
      <c r="N873" s="626"/>
      <c r="O873" s="626"/>
      <c r="P873" s="626"/>
      <c r="Q873" s="626"/>
    </row>
    <row r="874" spans="14:17" ht="15" customHeight="1">
      <c r="N874" s="626"/>
      <c r="O874" s="626"/>
      <c r="P874" s="626"/>
      <c r="Q874" s="626"/>
    </row>
    <row r="875" spans="14:17" ht="15" customHeight="1">
      <c r="N875" s="626"/>
      <c r="O875" s="626"/>
      <c r="P875" s="626"/>
      <c r="Q875" s="626"/>
    </row>
    <row r="876" spans="14:17" ht="15" customHeight="1">
      <c r="N876" s="626"/>
      <c r="O876" s="626"/>
      <c r="P876" s="626"/>
      <c r="Q876" s="626"/>
    </row>
    <row r="877" spans="14:17" ht="15" customHeight="1">
      <c r="N877" s="626"/>
      <c r="O877" s="626"/>
      <c r="P877" s="626"/>
      <c r="Q877" s="626"/>
    </row>
    <row r="878" spans="14:17" ht="15" customHeight="1">
      <c r="N878" s="626"/>
      <c r="O878" s="626"/>
      <c r="P878" s="626"/>
      <c r="Q878" s="626"/>
    </row>
    <row r="879" spans="14:17" ht="15" customHeight="1">
      <c r="N879" s="626"/>
      <c r="O879" s="626"/>
      <c r="P879" s="626"/>
      <c r="Q879" s="626"/>
    </row>
    <row r="880" spans="14:17" ht="15" customHeight="1">
      <c r="N880" s="626"/>
      <c r="O880" s="626"/>
      <c r="P880" s="626"/>
      <c r="Q880" s="626"/>
    </row>
    <row r="881" spans="14:17" ht="15" customHeight="1">
      <c r="N881" s="626"/>
      <c r="O881" s="626"/>
      <c r="P881" s="626"/>
      <c r="Q881" s="626"/>
    </row>
    <row r="882" spans="14:17" ht="15" customHeight="1">
      <c r="N882" s="626"/>
      <c r="O882" s="626"/>
      <c r="P882" s="626"/>
      <c r="Q882" s="626"/>
    </row>
    <row r="883" spans="14:17" ht="15" customHeight="1">
      <c r="N883" s="626"/>
      <c r="O883" s="626"/>
      <c r="P883" s="626"/>
      <c r="Q883" s="626"/>
    </row>
    <row r="884" spans="14:17" ht="15" customHeight="1">
      <c r="N884" s="626"/>
      <c r="O884" s="626"/>
      <c r="P884" s="626"/>
      <c r="Q884" s="626"/>
    </row>
    <row r="885" spans="14:17" ht="15" customHeight="1">
      <c r="N885" s="626"/>
      <c r="O885" s="626"/>
      <c r="P885" s="626"/>
      <c r="Q885" s="626"/>
    </row>
    <row r="886" spans="14:17" ht="15" customHeight="1">
      <c r="N886" s="626"/>
      <c r="O886" s="626"/>
      <c r="P886" s="626"/>
      <c r="Q886" s="626"/>
    </row>
    <row r="887" spans="14:17" ht="15" customHeight="1">
      <c r="N887" s="626"/>
      <c r="O887" s="626"/>
      <c r="P887" s="626"/>
      <c r="Q887" s="626"/>
    </row>
    <row r="888" spans="14:17" ht="15" customHeight="1">
      <c r="N888" s="626"/>
      <c r="O888" s="626"/>
      <c r="P888" s="626"/>
      <c r="Q888" s="626"/>
    </row>
    <row r="889" spans="14:17" ht="15" customHeight="1">
      <c r="N889" s="626"/>
      <c r="O889" s="626"/>
      <c r="P889" s="626"/>
      <c r="Q889" s="626"/>
    </row>
    <row r="890" spans="14:17" ht="15" customHeight="1">
      <c r="N890" s="626"/>
      <c r="O890" s="626"/>
      <c r="P890" s="626"/>
      <c r="Q890" s="626"/>
    </row>
    <row r="891" spans="14:17" ht="15" customHeight="1">
      <c r="N891" s="626"/>
      <c r="O891" s="626"/>
      <c r="P891" s="626"/>
      <c r="Q891" s="626"/>
    </row>
    <row r="892" spans="14:17" ht="15" customHeight="1">
      <c r="N892" s="626"/>
      <c r="O892" s="626"/>
      <c r="P892" s="626"/>
      <c r="Q892" s="626"/>
    </row>
    <row r="893" spans="14:17" ht="15" customHeight="1">
      <c r="N893" s="626"/>
      <c r="O893" s="626"/>
      <c r="P893" s="626"/>
      <c r="Q893" s="626"/>
    </row>
    <row r="894" spans="14:17" ht="15" customHeight="1">
      <c r="N894" s="626"/>
      <c r="O894" s="626"/>
      <c r="P894" s="626"/>
      <c r="Q894" s="626"/>
    </row>
    <row r="895" spans="14:17" ht="15" customHeight="1">
      <c r="N895" s="626"/>
      <c r="O895" s="626"/>
      <c r="P895" s="626"/>
      <c r="Q895" s="626"/>
    </row>
    <row r="896" spans="14:17" ht="15" customHeight="1">
      <c r="N896" s="626"/>
      <c r="O896" s="626"/>
      <c r="P896" s="626"/>
      <c r="Q896" s="626"/>
    </row>
    <row r="897" spans="14:17" ht="15" customHeight="1">
      <c r="N897" s="626"/>
      <c r="O897" s="626"/>
      <c r="P897" s="626"/>
      <c r="Q897" s="626"/>
    </row>
    <row r="898" spans="14:17" ht="15" customHeight="1">
      <c r="N898" s="626"/>
      <c r="O898" s="626"/>
      <c r="P898" s="626"/>
      <c r="Q898" s="626"/>
    </row>
    <row r="899" spans="14:17" ht="15" customHeight="1">
      <c r="N899" s="626"/>
      <c r="O899" s="626"/>
      <c r="P899" s="626"/>
      <c r="Q899" s="626"/>
    </row>
    <row r="900" spans="14:17" ht="15" customHeight="1">
      <c r="N900" s="626"/>
      <c r="O900" s="626"/>
      <c r="P900" s="626"/>
      <c r="Q900" s="626"/>
    </row>
    <row r="901" spans="14:17" ht="15" customHeight="1">
      <c r="N901" s="626"/>
      <c r="O901" s="626"/>
      <c r="P901" s="626"/>
      <c r="Q901" s="626"/>
    </row>
    <row r="902" spans="14:17" ht="15" customHeight="1">
      <c r="N902" s="626"/>
      <c r="O902" s="626"/>
      <c r="P902" s="626"/>
      <c r="Q902" s="626"/>
    </row>
    <row r="903" spans="14:17" ht="15" customHeight="1">
      <c r="N903" s="626"/>
      <c r="O903" s="626"/>
      <c r="P903" s="626"/>
      <c r="Q903" s="626"/>
    </row>
    <row r="904" spans="14:17" ht="15" customHeight="1">
      <c r="N904" s="626"/>
      <c r="O904" s="626"/>
      <c r="P904" s="626"/>
      <c r="Q904" s="626"/>
    </row>
    <row r="905" spans="14:17" ht="15" customHeight="1">
      <c r="N905" s="626"/>
      <c r="O905" s="626"/>
      <c r="P905" s="626"/>
      <c r="Q905" s="626"/>
    </row>
    <row r="906" spans="14:17" ht="15" customHeight="1">
      <c r="N906" s="626"/>
      <c r="O906" s="626"/>
      <c r="P906" s="626"/>
      <c r="Q906" s="626"/>
    </row>
    <row r="907" spans="14:17" ht="15" customHeight="1">
      <c r="N907" s="626"/>
      <c r="O907" s="626"/>
      <c r="P907" s="626"/>
      <c r="Q907" s="626"/>
    </row>
    <row r="908" spans="14:17" ht="15" customHeight="1">
      <c r="N908" s="626"/>
      <c r="O908" s="626"/>
      <c r="P908" s="626"/>
      <c r="Q908" s="626"/>
    </row>
    <row r="909" spans="14:17" ht="15" customHeight="1">
      <c r="N909" s="626"/>
      <c r="O909" s="626"/>
      <c r="P909" s="626"/>
      <c r="Q909" s="626"/>
    </row>
    <row r="910" spans="14:17" ht="15" customHeight="1">
      <c r="N910" s="626"/>
      <c r="O910" s="626"/>
      <c r="P910" s="626"/>
      <c r="Q910" s="626"/>
    </row>
    <row r="911" spans="14:17" ht="15" customHeight="1">
      <c r="N911" s="626"/>
      <c r="O911" s="626"/>
      <c r="P911" s="626"/>
      <c r="Q911" s="626"/>
    </row>
    <row r="912" spans="14:17" ht="15" customHeight="1">
      <c r="N912" s="626"/>
      <c r="O912" s="626"/>
      <c r="P912" s="626"/>
      <c r="Q912" s="626"/>
    </row>
    <row r="913" spans="14:17" ht="15" customHeight="1">
      <c r="N913" s="626"/>
      <c r="O913" s="626"/>
      <c r="P913" s="626"/>
      <c r="Q913" s="626"/>
    </row>
    <row r="914" spans="14:17" ht="15" customHeight="1">
      <c r="N914" s="626"/>
      <c r="O914" s="626"/>
      <c r="P914" s="626"/>
      <c r="Q914" s="626"/>
    </row>
    <row r="915" spans="14:17" ht="15" customHeight="1">
      <c r="N915" s="626"/>
      <c r="O915" s="626"/>
      <c r="P915" s="626"/>
      <c r="Q915" s="626"/>
    </row>
    <row r="916" spans="14:17" ht="15" customHeight="1">
      <c r="N916" s="626"/>
      <c r="O916" s="626"/>
      <c r="P916" s="626"/>
      <c r="Q916" s="626"/>
    </row>
    <row r="917" spans="14:17" ht="15" customHeight="1">
      <c r="N917" s="626"/>
      <c r="O917" s="626"/>
      <c r="P917" s="626"/>
      <c r="Q917" s="626"/>
    </row>
    <row r="918" spans="14:17" ht="15" customHeight="1">
      <c r="N918" s="626"/>
      <c r="O918" s="626"/>
      <c r="P918" s="626"/>
      <c r="Q918" s="626"/>
    </row>
    <row r="919" spans="14:17" ht="15" customHeight="1">
      <c r="N919" s="626"/>
      <c r="O919" s="626"/>
      <c r="P919" s="626"/>
      <c r="Q919" s="626"/>
    </row>
    <row r="920" spans="14:17" ht="15" customHeight="1">
      <c r="N920" s="626"/>
      <c r="O920" s="626"/>
      <c r="P920" s="626"/>
      <c r="Q920" s="626"/>
    </row>
    <row r="921" spans="14:17" ht="15" customHeight="1">
      <c r="N921" s="626"/>
      <c r="O921" s="626"/>
      <c r="P921" s="626"/>
      <c r="Q921" s="626"/>
    </row>
    <row r="922" spans="14:17" ht="15" customHeight="1">
      <c r="N922" s="626"/>
      <c r="O922" s="626"/>
      <c r="P922" s="626"/>
      <c r="Q922" s="626"/>
    </row>
    <row r="923" spans="14:17" ht="15" customHeight="1">
      <c r="N923" s="626"/>
      <c r="O923" s="626"/>
      <c r="P923" s="626"/>
      <c r="Q923" s="626"/>
    </row>
    <row r="924" spans="14:17" ht="15" customHeight="1">
      <c r="N924" s="626"/>
      <c r="O924" s="626"/>
      <c r="P924" s="626"/>
      <c r="Q924" s="626"/>
    </row>
    <row r="925" spans="14:17" ht="15" customHeight="1">
      <c r="N925" s="626"/>
      <c r="O925" s="626"/>
      <c r="P925" s="626"/>
      <c r="Q925" s="626"/>
    </row>
    <row r="926" spans="14:17" ht="15" customHeight="1">
      <c r="N926" s="626"/>
      <c r="O926" s="626"/>
      <c r="P926" s="626"/>
      <c r="Q926" s="626"/>
    </row>
    <row r="927" spans="14:17" ht="15" customHeight="1">
      <c r="N927" s="626"/>
      <c r="O927" s="626"/>
      <c r="P927" s="626"/>
      <c r="Q927" s="626"/>
    </row>
    <row r="928" spans="14:17" ht="15" customHeight="1">
      <c r="N928" s="626"/>
      <c r="O928" s="626"/>
      <c r="P928" s="626"/>
      <c r="Q928" s="626"/>
    </row>
    <row r="929" spans="14:17" ht="15" customHeight="1">
      <c r="N929" s="626"/>
      <c r="O929" s="626"/>
      <c r="P929" s="626"/>
      <c r="Q929" s="626"/>
    </row>
    <row r="930" spans="14:17" ht="15" customHeight="1">
      <c r="N930" s="626"/>
      <c r="O930" s="626"/>
      <c r="P930" s="626"/>
      <c r="Q930" s="626"/>
    </row>
    <row r="931" spans="14:17" ht="15" customHeight="1">
      <c r="N931" s="626"/>
      <c r="O931" s="626"/>
      <c r="P931" s="626"/>
      <c r="Q931" s="626"/>
    </row>
    <row r="932" spans="14:17" ht="15" customHeight="1">
      <c r="N932" s="626"/>
      <c r="O932" s="626"/>
      <c r="P932" s="626"/>
      <c r="Q932" s="626"/>
    </row>
    <row r="933" spans="14:17" ht="15" customHeight="1">
      <c r="N933" s="626"/>
      <c r="O933" s="626"/>
      <c r="P933" s="626"/>
      <c r="Q933" s="626"/>
    </row>
    <row r="934" spans="14:17" ht="15" customHeight="1">
      <c r="N934" s="626"/>
      <c r="O934" s="626"/>
      <c r="P934" s="626"/>
      <c r="Q934" s="626"/>
    </row>
    <row r="935" spans="14:17" ht="15" customHeight="1">
      <c r="N935" s="626"/>
      <c r="O935" s="626"/>
      <c r="P935" s="626"/>
      <c r="Q935" s="626"/>
    </row>
    <row r="936" spans="14:17" ht="15" customHeight="1">
      <c r="N936" s="626"/>
      <c r="O936" s="626"/>
      <c r="P936" s="626"/>
      <c r="Q936" s="626"/>
    </row>
    <row r="937" spans="14:17" ht="15" customHeight="1">
      <c r="N937" s="626"/>
      <c r="O937" s="626"/>
      <c r="P937" s="626"/>
      <c r="Q937" s="626"/>
    </row>
    <row r="938" spans="14:17" ht="15" customHeight="1">
      <c r="N938" s="626"/>
      <c r="O938" s="626"/>
      <c r="P938" s="626"/>
      <c r="Q938" s="626"/>
    </row>
    <row r="939" spans="14:17" ht="15" customHeight="1">
      <c r="N939" s="626"/>
      <c r="O939" s="626"/>
      <c r="P939" s="626"/>
      <c r="Q939" s="626"/>
    </row>
    <row r="940" spans="14:17" ht="15" customHeight="1">
      <c r="N940" s="626"/>
      <c r="O940" s="626"/>
      <c r="P940" s="626"/>
      <c r="Q940" s="626"/>
    </row>
    <row r="941" spans="14:17" ht="15" customHeight="1">
      <c r="N941" s="626"/>
      <c r="O941" s="626"/>
      <c r="P941" s="626"/>
      <c r="Q941" s="626"/>
    </row>
    <row r="942" spans="14:17" ht="15" customHeight="1">
      <c r="N942" s="626"/>
      <c r="O942" s="626"/>
      <c r="P942" s="626"/>
      <c r="Q942" s="626"/>
    </row>
    <row r="943" spans="14:17" ht="15" customHeight="1">
      <c r="N943" s="626"/>
      <c r="O943" s="626"/>
      <c r="P943" s="626"/>
      <c r="Q943" s="626"/>
    </row>
    <row r="944" spans="14:17" ht="15" customHeight="1">
      <c r="N944" s="626"/>
      <c r="O944" s="626"/>
      <c r="P944" s="626"/>
      <c r="Q944" s="626"/>
    </row>
    <row r="945" spans="14:17" ht="15" customHeight="1">
      <c r="N945" s="626"/>
      <c r="O945" s="626"/>
      <c r="P945" s="626"/>
      <c r="Q945" s="626"/>
    </row>
    <row r="946" spans="14:17" ht="15" customHeight="1">
      <c r="N946" s="626"/>
      <c r="O946" s="626"/>
      <c r="P946" s="626"/>
      <c r="Q946" s="626"/>
    </row>
    <row r="947" spans="14:17" ht="15" customHeight="1">
      <c r="N947" s="626"/>
      <c r="O947" s="626"/>
      <c r="P947" s="626"/>
      <c r="Q947" s="626"/>
    </row>
    <row r="948" spans="14:17" ht="15" customHeight="1">
      <c r="N948" s="626"/>
      <c r="O948" s="626"/>
      <c r="P948" s="626"/>
      <c r="Q948" s="626"/>
    </row>
    <row r="949" spans="14:17" ht="15" customHeight="1">
      <c r="N949" s="626"/>
      <c r="O949" s="626"/>
      <c r="P949" s="626"/>
      <c r="Q949" s="626"/>
    </row>
    <row r="950" spans="14:17" ht="15" customHeight="1">
      <c r="N950" s="626"/>
      <c r="O950" s="626"/>
      <c r="P950" s="626"/>
      <c r="Q950" s="626"/>
    </row>
    <row r="951" spans="14:17" ht="15" customHeight="1">
      <c r="N951" s="626"/>
      <c r="O951" s="626"/>
      <c r="P951" s="626"/>
      <c r="Q951" s="626"/>
    </row>
    <row r="952" spans="14:17" ht="15" customHeight="1">
      <c r="N952" s="626"/>
      <c r="O952" s="626"/>
      <c r="P952" s="626"/>
      <c r="Q952" s="626"/>
    </row>
    <row r="953" spans="14:17" ht="15" customHeight="1">
      <c r="N953" s="626"/>
      <c r="O953" s="626"/>
      <c r="P953" s="626"/>
      <c r="Q953" s="626"/>
    </row>
    <row r="954" spans="14:17" ht="15" customHeight="1">
      <c r="N954" s="626"/>
      <c r="O954" s="626"/>
      <c r="P954" s="626"/>
      <c r="Q954" s="626"/>
    </row>
    <row r="955" spans="14:17" ht="15" customHeight="1">
      <c r="N955" s="626"/>
      <c r="O955" s="626"/>
      <c r="P955" s="626"/>
      <c r="Q955" s="626"/>
    </row>
    <row r="956" spans="14:17" ht="15" customHeight="1">
      <c r="N956" s="626"/>
      <c r="O956" s="626"/>
      <c r="P956" s="626"/>
      <c r="Q956" s="626"/>
    </row>
    <row r="957" spans="14:17" ht="15" customHeight="1">
      <c r="N957" s="626"/>
      <c r="O957" s="626"/>
      <c r="P957" s="626"/>
      <c r="Q957" s="626"/>
    </row>
    <row r="958" spans="14:17" ht="15" customHeight="1">
      <c r="N958" s="626"/>
      <c r="O958" s="626"/>
      <c r="P958" s="626"/>
      <c r="Q958" s="626"/>
    </row>
    <row r="959" spans="14:17" ht="15" customHeight="1">
      <c r="N959" s="626"/>
      <c r="O959" s="626"/>
      <c r="P959" s="626"/>
      <c r="Q959" s="626"/>
    </row>
    <row r="960" spans="14:17" ht="15" customHeight="1">
      <c r="N960" s="626"/>
      <c r="O960" s="626"/>
      <c r="P960" s="626"/>
      <c r="Q960" s="626"/>
    </row>
    <row r="961" spans="14:17" ht="15" customHeight="1">
      <c r="N961" s="626"/>
      <c r="O961" s="626"/>
      <c r="P961" s="626"/>
      <c r="Q961" s="626"/>
    </row>
    <row r="962" spans="14:17" ht="15" customHeight="1">
      <c r="N962" s="626"/>
      <c r="O962" s="626"/>
      <c r="P962" s="626"/>
      <c r="Q962" s="626"/>
    </row>
    <row r="963" spans="14:17" ht="15" customHeight="1">
      <c r="N963" s="626"/>
      <c r="O963" s="626"/>
      <c r="P963" s="626"/>
      <c r="Q963" s="626"/>
    </row>
    <row r="964" spans="14:17" ht="15" customHeight="1">
      <c r="N964" s="626"/>
      <c r="O964" s="626"/>
      <c r="P964" s="626"/>
      <c r="Q964" s="626"/>
    </row>
    <row r="965" spans="14:17" ht="15" customHeight="1">
      <c r="N965" s="626"/>
      <c r="O965" s="626"/>
      <c r="P965" s="626"/>
      <c r="Q965" s="626"/>
    </row>
    <row r="966" spans="14:17" ht="15" customHeight="1">
      <c r="N966" s="626"/>
      <c r="O966" s="626"/>
      <c r="P966" s="626"/>
      <c r="Q966" s="626"/>
    </row>
    <row r="967" spans="14:17" ht="15" customHeight="1">
      <c r="N967" s="626"/>
      <c r="O967" s="626"/>
      <c r="P967" s="626"/>
      <c r="Q967" s="626"/>
    </row>
    <row r="968" spans="14:17" ht="15" customHeight="1">
      <c r="N968" s="626"/>
      <c r="O968" s="626"/>
      <c r="P968" s="626"/>
      <c r="Q968" s="626"/>
    </row>
    <row r="969" spans="14:17" ht="15" customHeight="1">
      <c r="N969" s="626"/>
      <c r="O969" s="626"/>
      <c r="P969" s="626"/>
      <c r="Q969" s="626"/>
    </row>
    <row r="970" spans="14:17" ht="15" customHeight="1">
      <c r="N970" s="626"/>
      <c r="O970" s="626"/>
      <c r="P970" s="626"/>
      <c r="Q970" s="626"/>
    </row>
    <row r="971" spans="14:17" ht="15" customHeight="1">
      <c r="N971" s="626"/>
      <c r="O971" s="626"/>
      <c r="P971" s="626"/>
      <c r="Q971" s="626"/>
    </row>
    <row r="972" spans="14:17" ht="15" customHeight="1">
      <c r="N972" s="626"/>
      <c r="O972" s="626"/>
      <c r="P972" s="626"/>
      <c r="Q972" s="626"/>
    </row>
    <row r="973" spans="14:17" ht="15" customHeight="1">
      <c r="N973" s="626"/>
      <c r="O973" s="626"/>
      <c r="P973" s="626"/>
      <c r="Q973" s="626"/>
    </row>
    <row r="974" spans="14:17" ht="15" customHeight="1">
      <c r="N974" s="626"/>
      <c r="O974" s="626"/>
      <c r="P974" s="626"/>
      <c r="Q974" s="626"/>
    </row>
    <row r="975" spans="14:17" ht="15" customHeight="1">
      <c r="N975" s="626"/>
      <c r="O975" s="626"/>
      <c r="P975" s="626"/>
      <c r="Q975" s="626"/>
    </row>
  </sheetData>
  <autoFilter ref="N5:N173"/>
  <mergeCells count="30">
    <mergeCell ref="R6:R7"/>
    <mergeCell ref="B136:I136"/>
    <mergeCell ref="B173:I173"/>
    <mergeCell ref="K6:K7"/>
    <mergeCell ref="L6:M7"/>
    <mergeCell ref="E6:G6"/>
    <mergeCell ref="B6:B7"/>
    <mergeCell ref="C6:C7"/>
    <mergeCell ref="D6:D7"/>
    <mergeCell ref="H6:H7"/>
    <mergeCell ref="I6:I7"/>
    <mergeCell ref="J6:J7"/>
    <mergeCell ref="R53:R58"/>
    <mergeCell ref="E141:E143"/>
    <mergeCell ref="E144:E145"/>
    <mergeCell ref="B141:B149"/>
    <mergeCell ref="L141:L149"/>
    <mergeCell ref="M141:M149"/>
    <mergeCell ref="C140:D140"/>
    <mergeCell ref="E140:J140"/>
    <mergeCell ref="K140:L140"/>
    <mergeCell ref="C141:D149"/>
    <mergeCell ref="I148:I149"/>
    <mergeCell ref="J148:J149"/>
    <mergeCell ref="K141:K149"/>
    <mergeCell ref="E146:E147"/>
    <mergeCell ref="E148:F148"/>
    <mergeCell ref="G148:H148"/>
    <mergeCell ref="E149:F149"/>
    <mergeCell ref="G149:H149"/>
  </mergeCells>
  <phoneticPr fontId="8"/>
  <conditionalFormatting sqref="F147">
    <cfRule type="cellIs" dxfId="31" priority="1" operator="notBetween">
      <formula>$G$147</formula>
      <formula>$H$147</formula>
    </cfRule>
  </conditionalFormatting>
  <dataValidations count="8">
    <dataValidation type="custom" allowBlank="1" showInputMessage="1" showErrorMessage="1" error="すでに同じ名称が存在します！" sqref="B153:B173">
      <formula1>COUNTIF(B$153:B$173,B153)=1</formula1>
    </dataValidation>
    <dataValidation type="list" allowBlank="1" showInputMessage="1" showErrorMessage="1" sqref="M90:M91">
      <formula1>建具名称</formula1>
    </dataValidation>
    <dataValidation type="list" allowBlank="1" showInputMessage="1" showErrorMessage="1" sqref="F141">
      <formula1>$G$141:$J$141</formula1>
    </dataValidation>
    <dataValidation type="list" allowBlank="1" showInputMessage="1" showErrorMessage="1" sqref="F144">
      <formula1>$G$144:$I$144</formula1>
    </dataValidation>
    <dataValidation type="list" allowBlank="1" showInputMessage="1" showErrorMessage="1" sqref="F146">
      <formula1>$G$146:$J$146</formula1>
    </dataValidation>
    <dataValidation type="custom" allowBlank="1" showInputMessage="1" showErrorMessage="1" error="すでに同じ名称が存在します！" sqref="B10 B35:B88">
      <formula1>COUNTIF(B$6:B$91,B10)=1</formula1>
    </dataValidation>
    <dataValidation type="custom" allowBlank="1" showInputMessage="1" showErrorMessage="1" error="すでに同じ名称が存在します！" sqref="B90:B91">
      <formula1>COUNTIF(B$6:B$125,B90)=1</formula1>
    </dataValidation>
    <dataValidation type="custom" allowBlank="1" showInputMessage="1" showErrorMessage="1" error="すでに同じ名称が存在します！" sqref="B89 B92:B136 B8:B9 B6">
      <formula1>COUNTIF(B$6:B$136,B6)=1</formula1>
    </dataValidation>
  </dataValidations>
  <pageMargins left="0.62992125984251968" right="0.23622047244094491" top="0.78740157480314965" bottom="0.39370078740157483" header="0.43307086614173229" footer="0.19685039370078741"/>
  <pageSetup paperSize="9" scale="75" orientation="portrait" r:id="rId1"/>
  <headerFooter alignWithMargins="0">
    <oddHeader>&amp;L&amp;"HG創英角ｺﾞｼｯｸUB,標準"&amp;12様式第１号 別紙１　建具及び特殊設備計算書</oddHeader>
    <oddFooter>&amp;R&amp;"ＭＳ ゴシック,標準"&amp;D　&amp;T</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DB!$B$547:$B$550</xm:f>
          </x14:formula1>
          <xm:sqref>B141:B149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2"/>
    <pageSetUpPr fitToPage="1"/>
  </sheetPr>
  <dimension ref="A1:M76"/>
  <sheetViews>
    <sheetView zoomScaleNormal="100" workbookViewId="0">
      <selection activeCell="M5" sqref="M5"/>
    </sheetView>
  </sheetViews>
  <sheetFormatPr defaultColWidth="12" defaultRowHeight="14.25" customHeight="1"/>
  <cols>
    <col min="1" max="1" width="12.1640625" style="722" customWidth="1"/>
    <col min="2" max="2" width="28.1640625" style="722" customWidth="1"/>
    <col min="3" max="3" width="19.1640625" style="722" customWidth="1"/>
    <col min="4" max="4" width="12.6640625" style="722" customWidth="1"/>
    <col min="5" max="5" width="16" style="722" customWidth="1"/>
    <col min="6" max="6" width="8" style="722" customWidth="1"/>
    <col min="7" max="7" width="4.1640625" style="722" bestFit="1" customWidth="1"/>
    <col min="8" max="8" width="8" style="722" customWidth="1"/>
    <col min="9" max="9" width="10.33203125" style="722" customWidth="1"/>
    <col min="10" max="10" width="6" style="722" customWidth="1"/>
    <col min="11" max="11" width="11.6640625" style="722" customWidth="1"/>
    <col min="12" max="12" width="9.1640625" style="722" customWidth="1"/>
    <col min="13" max="13" width="8.33203125" style="722" customWidth="1"/>
    <col min="14" max="16384" width="12" style="723"/>
  </cols>
  <sheetData>
    <row r="1" spans="1:13" ht="8.25" customHeight="1"/>
    <row r="2" spans="1:13" ht="14.25" customHeight="1">
      <c r="A2" s="724"/>
      <c r="B2" s="725"/>
      <c r="C2" s="3413" t="s">
        <v>102</v>
      </c>
      <c r="D2" s="3413"/>
      <c r="E2" s="3413"/>
      <c r="F2" s="3413"/>
      <c r="G2" s="3413"/>
      <c r="H2" s="3413"/>
      <c r="I2" s="725"/>
      <c r="M2" s="722" t="b">
        <v>1</v>
      </c>
    </row>
    <row r="3" spans="1:13" ht="14.25" customHeight="1">
      <c r="M3" s="722" t="b">
        <v>1</v>
      </c>
    </row>
    <row r="4" spans="1:13" ht="14.25" customHeight="1">
      <c r="A4" s="726" t="s">
        <v>103</v>
      </c>
      <c r="M4" s="722" t="b">
        <f>OR(K23&lt;&gt;0,K27&lt;&gt;0)</f>
        <v>0</v>
      </c>
    </row>
    <row r="5" spans="1:13" ht="14.25" customHeight="1">
      <c r="A5" s="727" t="s">
        <v>104</v>
      </c>
      <c r="B5" s="728" t="s">
        <v>105</v>
      </c>
      <c r="C5" s="728" t="s">
        <v>106</v>
      </c>
      <c r="D5" s="728" t="s">
        <v>107</v>
      </c>
      <c r="E5" s="1301" t="s">
        <v>1139</v>
      </c>
      <c r="F5" s="3414" t="s">
        <v>108</v>
      </c>
      <c r="G5" s="3414"/>
      <c r="H5" s="3414"/>
      <c r="I5" s="3417" t="s">
        <v>1263</v>
      </c>
      <c r="J5" s="728" t="s">
        <v>109</v>
      </c>
      <c r="K5" s="729" t="s">
        <v>110</v>
      </c>
      <c r="L5" s="730"/>
      <c r="M5" s="722" t="b">
        <f>OR(K23&lt;&gt;0,K27&lt;&gt;0)</f>
        <v>0</v>
      </c>
    </row>
    <row r="6" spans="1:13" ht="14.25" customHeight="1">
      <c r="A6" s="731"/>
      <c r="B6" s="731"/>
      <c r="C6" s="731"/>
      <c r="D6" s="732"/>
      <c r="E6" s="732"/>
      <c r="F6" s="732"/>
      <c r="G6" s="733"/>
      <c r="H6" s="734"/>
      <c r="I6" s="3418"/>
      <c r="J6" s="731"/>
      <c r="K6" s="731"/>
      <c r="L6" s="735" t="s">
        <v>111</v>
      </c>
      <c r="M6" s="722" t="b">
        <f>OR(K23&lt;&gt;0,K27&lt;&gt;0)</f>
        <v>0</v>
      </c>
    </row>
    <row r="7" spans="1:13" ht="14.25" customHeight="1">
      <c r="A7" s="736"/>
      <c r="B7" s="737"/>
      <c r="C7" s="737"/>
      <c r="D7" s="738"/>
      <c r="E7" s="1300"/>
      <c r="F7" s="739"/>
      <c r="G7" s="740" t="s">
        <v>979</v>
      </c>
      <c r="H7" s="741"/>
      <c r="I7" s="742">
        <f t="shared" ref="I7:I22" si="0">ROUNDDOWN(F7*H7,2)</f>
        <v>0</v>
      </c>
      <c r="J7" s="736"/>
      <c r="K7" s="742">
        <f>IF(ISBLANK(B7),0,I7*J7)</f>
        <v>0</v>
      </c>
      <c r="L7" s="742">
        <f>ROUNDDOWN(I7*J7*IF(RIGHT(D7,2)="全)",1,IF(RIGHT(D7,2)="片)",1/2,0)),2)</f>
        <v>0</v>
      </c>
      <c r="M7" s="722" t="b">
        <f>I7&lt;&gt;0</f>
        <v>0</v>
      </c>
    </row>
    <row r="8" spans="1:13" ht="14.25" customHeight="1">
      <c r="A8" s="743"/>
      <c r="B8" s="744"/>
      <c r="C8" s="744"/>
      <c r="D8" s="745"/>
      <c r="E8" s="1299"/>
      <c r="F8" s="746"/>
      <c r="G8" s="747" t="s">
        <v>979</v>
      </c>
      <c r="H8" s="748"/>
      <c r="I8" s="749">
        <f t="shared" si="0"/>
        <v>0</v>
      </c>
      <c r="J8" s="743"/>
      <c r="K8" s="749">
        <f t="shared" ref="K8:K22" si="1">IF(ISBLANK(B8),0,I8*J8)</f>
        <v>0</v>
      </c>
      <c r="L8" s="749">
        <f t="shared" ref="L8:L22" si="2">ROUNDDOWN(I8*J8*IF(RIGHT(D8,2)="全)",1,IF(RIGHT(D8,2)="片)",1/2,0)),2)</f>
        <v>0</v>
      </c>
      <c r="M8" s="722" t="b">
        <f t="shared" ref="M8:M22" si="3">I8&lt;&gt;0</f>
        <v>0</v>
      </c>
    </row>
    <row r="9" spans="1:13" ht="14.25" customHeight="1">
      <c r="A9" s="743"/>
      <c r="B9" s="744"/>
      <c r="C9" s="744"/>
      <c r="D9" s="745"/>
      <c r="E9" s="1299"/>
      <c r="F9" s="746"/>
      <c r="G9" s="747" t="s">
        <v>979</v>
      </c>
      <c r="H9" s="748"/>
      <c r="I9" s="749">
        <f t="shared" si="0"/>
        <v>0</v>
      </c>
      <c r="J9" s="743"/>
      <c r="K9" s="749">
        <f t="shared" si="1"/>
        <v>0</v>
      </c>
      <c r="L9" s="749">
        <f t="shared" si="2"/>
        <v>0</v>
      </c>
      <c r="M9" s="722" t="b">
        <f t="shared" si="3"/>
        <v>0</v>
      </c>
    </row>
    <row r="10" spans="1:13" ht="14.25" customHeight="1">
      <c r="A10" s="743"/>
      <c r="B10" s="744"/>
      <c r="C10" s="744"/>
      <c r="D10" s="745"/>
      <c r="E10" s="1299"/>
      <c r="F10" s="746"/>
      <c r="G10" s="747" t="s">
        <v>979</v>
      </c>
      <c r="H10" s="748"/>
      <c r="I10" s="749">
        <f t="shared" si="0"/>
        <v>0</v>
      </c>
      <c r="J10" s="743"/>
      <c r="K10" s="749">
        <f t="shared" si="1"/>
        <v>0</v>
      </c>
      <c r="L10" s="749">
        <f t="shared" si="2"/>
        <v>0</v>
      </c>
      <c r="M10" s="722" t="b">
        <f t="shared" si="3"/>
        <v>0</v>
      </c>
    </row>
    <row r="11" spans="1:13" ht="14.25" customHeight="1">
      <c r="A11" s="743"/>
      <c r="B11" s="744"/>
      <c r="C11" s="744"/>
      <c r="D11" s="745"/>
      <c r="E11" s="1299"/>
      <c r="F11" s="746"/>
      <c r="G11" s="747" t="s">
        <v>979</v>
      </c>
      <c r="H11" s="748"/>
      <c r="I11" s="749">
        <f t="shared" si="0"/>
        <v>0</v>
      </c>
      <c r="J11" s="743"/>
      <c r="K11" s="749">
        <f t="shared" si="1"/>
        <v>0</v>
      </c>
      <c r="L11" s="749">
        <f t="shared" si="2"/>
        <v>0</v>
      </c>
      <c r="M11" s="722" t="b">
        <f t="shared" si="3"/>
        <v>0</v>
      </c>
    </row>
    <row r="12" spans="1:13" ht="14.25" customHeight="1">
      <c r="A12" s="743"/>
      <c r="B12" s="744"/>
      <c r="C12" s="744"/>
      <c r="D12" s="745"/>
      <c r="E12" s="1299"/>
      <c r="F12" s="746"/>
      <c r="G12" s="747" t="s">
        <v>979</v>
      </c>
      <c r="H12" s="748"/>
      <c r="I12" s="749">
        <f t="shared" si="0"/>
        <v>0</v>
      </c>
      <c r="J12" s="743"/>
      <c r="K12" s="749">
        <f t="shared" si="1"/>
        <v>0</v>
      </c>
      <c r="L12" s="749">
        <f t="shared" si="2"/>
        <v>0</v>
      </c>
      <c r="M12" s="722" t="b">
        <f t="shared" si="3"/>
        <v>0</v>
      </c>
    </row>
    <row r="13" spans="1:13" ht="14.25" customHeight="1">
      <c r="A13" s="743"/>
      <c r="B13" s="744"/>
      <c r="C13" s="744"/>
      <c r="D13" s="745"/>
      <c r="E13" s="1299"/>
      <c r="F13" s="746"/>
      <c r="G13" s="747" t="s">
        <v>979</v>
      </c>
      <c r="H13" s="748"/>
      <c r="I13" s="749">
        <f t="shared" si="0"/>
        <v>0</v>
      </c>
      <c r="J13" s="743"/>
      <c r="K13" s="749">
        <f t="shared" si="1"/>
        <v>0</v>
      </c>
      <c r="L13" s="749">
        <f t="shared" si="2"/>
        <v>0</v>
      </c>
      <c r="M13" s="722" t="b">
        <f t="shared" si="3"/>
        <v>0</v>
      </c>
    </row>
    <row r="14" spans="1:13" ht="14.25" customHeight="1">
      <c r="A14" s="743"/>
      <c r="B14" s="744"/>
      <c r="C14" s="744"/>
      <c r="D14" s="745"/>
      <c r="E14" s="1299"/>
      <c r="F14" s="746"/>
      <c r="G14" s="747" t="s">
        <v>979</v>
      </c>
      <c r="H14" s="748"/>
      <c r="I14" s="749">
        <f t="shared" si="0"/>
        <v>0</v>
      </c>
      <c r="J14" s="743"/>
      <c r="K14" s="749">
        <f t="shared" si="1"/>
        <v>0</v>
      </c>
      <c r="L14" s="749">
        <f t="shared" si="2"/>
        <v>0</v>
      </c>
      <c r="M14" s="722" t="b">
        <f t="shared" si="3"/>
        <v>0</v>
      </c>
    </row>
    <row r="15" spans="1:13" ht="14.25" customHeight="1">
      <c r="A15" s="743"/>
      <c r="B15" s="744"/>
      <c r="C15" s="744"/>
      <c r="D15" s="745"/>
      <c r="E15" s="1299"/>
      <c r="F15" s="746"/>
      <c r="G15" s="747" t="s">
        <v>979</v>
      </c>
      <c r="H15" s="748"/>
      <c r="I15" s="749">
        <f t="shared" si="0"/>
        <v>0</v>
      </c>
      <c r="J15" s="743"/>
      <c r="K15" s="749">
        <f t="shared" si="1"/>
        <v>0</v>
      </c>
      <c r="L15" s="749">
        <f t="shared" si="2"/>
        <v>0</v>
      </c>
      <c r="M15" s="722" t="b">
        <f t="shared" si="3"/>
        <v>0</v>
      </c>
    </row>
    <row r="16" spans="1:13" ht="14.25" customHeight="1">
      <c r="A16" s="743"/>
      <c r="B16" s="744"/>
      <c r="C16" s="744"/>
      <c r="D16" s="745"/>
      <c r="E16" s="1299"/>
      <c r="F16" s="746"/>
      <c r="G16" s="747" t="s">
        <v>979</v>
      </c>
      <c r="H16" s="748"/>
      <c r="I16" s="749">
        <f t="shared" si="0"/>
        <v>0</v>
      </c>
      <c r="J16" s="743"/>
      <c r="K16" s="749">
        <f t="shared" si="1"/>
        <v>0</v>
      </c>
      <c r="L16" s="749">
        <f t="shared" si="2"/>
        <v>0</v>
      </c>
      <c r="M16" s="722" t="b">
        <f t="shared" si="3"/>
        <v>0</v>
      </c>
    </row>
    <row r="17" spans="1:13" ht="14.25" customHeight="1">
      <c r="A17" s="743"/>
      <c r="B17" s="744"/>
      <c r="C17" s="744"/>
      <c r="D17" s="745"/>
      <c r="E17" s="1299"/>
      <c r="F17" s="746"/>
      <c r="G17" s="747" t="s">
        <v>979</v>
      </c>
      <c r="H17" s="748"/>
      <c r="I17" s="749">
        <f t="shared" si="0"/>
        <v>0</v>
      </c>
      <c r="J17" s="743"/>
      <c r="K17" s="749">
        <f t="shared" si="1"/>
        <v>0</v>
      </c>
      <c r="L17" s="749">
        <f t="shared" si="2"/>
        <v>0</v>
      </c>
      <c r="M17" s="722" t="b">
        <f t="shared" si="3"/>
        <v>0</v>
      </c>
    </row>
    <row r="18" spans="1:13" ht="14.25" customHeight="1">
      <c r="A18" s="743"/>
      <c r="B18" s="744"/>
      <c r="C18" s="744"/>
      <c r="D18" s="745"/>
      <c r="E18" s="1299"/>
      <c r="F18" s="746"/>
      <c r="G18" s="747" t="s">
        <v>979</v>
      </c>
      <c r="H18" s="748"/>
      <c r="I18" s="749">
        <f t="shared" si="0"/>
        <v>0</v>
      </c>
      <c r="J18" s="743"/>
      <c r="K18" s="749">
        <f t="shared" si="1"/>
        <v>0</v>
      </c>
      <c r="L18" s="749">
        <f t="shared" si="2"/>
        <v>0</v>
      </c>
      <c r="M18" s="722" t="b">
        <f t="shared" si="3"/>
        <v>0</v>
      </c>
    </row>
    <row r="19" spans="1:13" ht="14.25" customHeight="1">
      <c r="A19" s="743"/>
      <c r="B19" s="744"/>
      <c r="C19" s="744"/>
      <c r="D19" s="745"/>
      <c r="E19" s="1299"/>
      <c r="F19" s="746"/>
      <c r="G19" s="747" t="s">
        <v>979</v>
      </c>
      <c r="H19" s="748"/>
      <c r="I19" s="749">
        <f t="shared" si="0"/>
        <v>0</v>
      </c>
      <c r="J19" s="743"/>
      <c r="K19" s="749">
        <f t="shared" si="1"/>
        <v>0</v>
      </c>
      <c r="L19" s="749">
        <f t="shared" si="2"/>
        <v>0</v>
      </c>
      <c r="M19" s="722" t="b">
        <f t="shared" si="3"/>
        <v>0</v>
      </c>
    </row>
    <row r="20" spans="1:13" ht="14.25" customHeight="1">
      <c r="A20" s="743"/>
      <c r="B20" s="744"/>
      <c r="C20" s="744"/>
      <c r="D20" s="745"/>
      <c r="E20" s="1299"/>
      <c r="F20" s="746"/>
      <c r="G20" s="747" t="s">
        <v>979</v>
      </c>
      <c r="H20" s="748"/>
      <c r="I20" s="749">
        <f t="shared" si="0"/>
        <v>0</v>
      </c>
      <c r="J20" s="743"/>
      <c r="K20" s="749">
        <f t="shared" si="1"/>
        <v>0</v>
      </c>
      <c r="L20" s="749">
        <f t="shared" si="2"/>
        <v>0</v>
      </c>
      <c r="M20" s="722" t="b">
        <f t="shared" si="3"/>
        <v>0</v>
      </c>
    </row>
    <row r="21" spans="1:13" ht="14.25" customHeight="1">
      <c r="A21" s="743"/>
      <c r="B21" s="744"/>
      <c r="C21" s="744"/>
      <c r="D21" s="745"/>
      <c r="E21" s="1299"/>
      <c r="F21" s="746"/>
      <c r="G21" s="747" t="s">
        <v>979</v>
      </c>
      <c r="H21" s="748"/>
      <c r="I21" s="749">
        <f t="shared" si="0"/>
        <v>0</v>
      </c>
      <c r="J21" s="743"/>
      <c r="K21" s="749">
        <f t="shared" si="1"/>
        <v>0</v>
      </c>
      <c r="L21" s="749">
        <f t="shared" si="2"/>
        <v>0</v>
      </c>
      <c r="M21" s="722" t="b">
        <f t="shared" si="3"/>
        <v>0</v>
      </c>
    </row>
    <row r="22" spans="1:13" ht="14.25" customHeight="1">
      <c r="A22" s="750"/>
      <c r="B22" s="751"/>
      <c r="C22" s="751"/>
      <c r="D22" s="752"/>
      <c r="E22" s="1298"/>
      <c r="F22" s="753"/>
      <c r="G22" s="754" t="s">
        <v>979</v>
      </c>
      <c r="H22" s="755"/>
      <c r="I22" s="756">
        <f t="shared" si="0"/>
        <v>0</v>
      </c>
      <c r="J22" s="750"/>
      <c r="K22" s="756">
        <f t="shared" si="1"/>
        <v>0</v>
      </c>
      <c r="L22" s="756">
        <f t="shared" si="2"/>
        <v>0</v>
      </c>
      <c r="M22" s="722" t="b">
        <f t="shared" si="3"/>
        <v>0</v>
      </c>
    </row>
    <row r="23" spans="1:13" ht="14.25" customHeight="1">
      <c r="A23" s="757"/>
      <c r="B23" s="758"/>
      <c r="C23" s="758"/>
      <c r="D23" s="758"/>
      <c r="E23" s="758"/>
      <c r="F23" s="758"/>
      <c r="G23" s="758"/>
      <c r="H23" s="759"/>
      <c r="I23" s="760" t="s">
        <v>112</v>
      </c>
      <c r="J23" s="761"/>
      <c r="K23" s="762">
        <f>SUM(K6:K22)</f>
        <v>0</v>
      </c>
      <c r="L23" s="762">
        <f>SUM(L6:L22)</f>
        <v>0</v>
      </c>
      <c r="M23" s="722" t="b">
        <f t="shared" ref="M23:M27" si="4">K23&lt;&gt;0</f>
        <v>0</v>
      </c>
    </row>
    <row r="24" spans="1:13" ht="14.25" customHeight="1">
      <c r="A24" s="763" t="s">
        <v>1964</v>
      </c>
      <c r="B24" s="764"/>
      <c r="C24" s="1423"/>
      <c r="D24" s="1423"/>
      <c r="E24" s="1424"/>
      <c r="F24" s="765"/>
      <c r="G24" s="766" t="s">
        <v>979</v>
      </c>
      <c r="H24" s="767"/>
      <c r="I24" s="768">
        <f>ROUNDDOWN(F24*H24,2)</f>
        <v>0</v>
      </c>
      <c r="J24" s="763"/>
      <c r="K24" s="768">
        <f>I24*J24</f>
        <v>0</v>
      </c>
      <c r="L24" s="768"/>
      <c r="M24" s="722" t="b">
        <f>I24&lt;&gt;0</f>
        <v>0</v>
      </c>
    </row>
    <row r="25" spans="1:13" ht="14.25" customHeight="1">
      <c r="A25" s="743" t="s">
        <v>113</v>
      </c>
      <c r="B25" s="769"/>
      <c r="C25" s="1425"/>
      <c r="D25" s="1425"/>
      <c r="E25" s="1426"/>
      <c r="F25" s="746"/>
      <c r="G25" s="747" t="s">
        <v>979</v>
      </c>
      <c r="H25" s="748"/>
      <c r="I25" s="749">
        <f>ROUNDDOWN(F25*H25,2)</f>
        <v>0</v>
      </c>
      <c r="J25" s="743"/>
      <c r="K25" s="749">
        <f>I25*J25</f>
        <v>0</v>
      </c>
      <c r="L25" s="749"/>
      <c r="M25" s="722" t="b">
        <f t="shared" ref="M25:M26" si="5">I25&lt;&gt;0</f>
        <v>0</v>
      </c>
    </row>
    <row r="26" spans="1:13" ht="14.25" customHeight="1">
      <c r="A26" s="750" t="s">
        <v>114</v>
      </c>
      <c r="B26" s="1427"/>
      <c r="C26" s="1428"/>
      <c r="D26" s="1428"/>
      <c r="E26" s="1429"/>
      <c r="F26" s="753"/>
      <c r="G26" s="754" t="s">
        <v>979</v>
      </c>
      <c r="H26" s="755"/>
      <c r="I26" s="756">
        <f>ROUNDDOWN(F26*H26,2)</f>
        <v>0</v>
      </c>
      <c r="J26" s="750"/>
      <c r="K26" s="756">
        <f>I26*J26</f>
        <v>0</v>
      </c>
      <c r="L26" s="756"/>
      <c r="M26" s="722" t="b">
        <f t="shared" si="5"/>
        <v>0</v>
      </c>
    </row>
    <row r="27" spans="1:13" ht="14.25" customHeight="1">
      <c r="A27" s="757"/>
      <c r="B27" s="758"/>
      <c r="C27" s="758"/>
      <c r="D27" s="758"/>
      <c r="E27" s="758"/>
      <c r="F27" s="758"/>
      <c r="G27" s="758"/>
      <c r="H27" s="759"/>
      <c r="I27" s="760" t="s">
        <v>115</v>
      </c>
      <c r="J27" s="761"/>
      <c r="K27" s="762">
        <f>SUM(K23:K26)</f>
        <v>0</v>
      </c>
      <c r="L27" s="762"/>
      <c r="M27" s="722" t="b">
        <f t="shared" si="4"/>
        <v>0</v>
      </c>
    </row>
    <row r="28" spans="1:13" ht="14.25" customHeight="1">
      <c r="H28" s="770"/>
      <c r="I28" s="771"/>
      <c r="J28" s="771"/>
      <c r="K28" s="772"/>
      <c r="L28" s="772"/>
      <c r="M28" s="722" t="b">
        <f>OR(K51&lt;&gt;0,K55&lt;&gt;0)</f>
        <v>0</v>
      </c>
    </row>
    <row r="29" spans="1:13" ht="14.25" customHeight="1">
      <c r="A29" s="726" t="s">
        <v>116</v>
      </c>
      <c r="M29" s="722" t="b">
        <f>OR(K51&lt;&gt;0,K55&lt;&gt;0)</f>
        <v>0</v>
      </c>
    </row>
    <row r="30" spans="1:13" ht="14.25" customHeight="1">
      <c r="A30" s="727" t="s">
        <v>104</v>
      </c>
      <c r="B30" s="728" t="s">
        <v>105</v>
      </c>
      <c r="C30" s="728" t="s">
        <v>106</v>
      </c>
      <c r="D30" s="728" t="s">
        <v>107</v>
      </c>
      <c r="E30" s="1301" t="s">
        <v>1139</v>
      </c>
      <c r="F30" s="3414" t="s">
        <v>108</v>
      </c>
      <c r="G30" s="3414"/>
      <c r="H30" s="3414"/>
      <c r="I30" s="3419" t="s">
        <v>1263</v>
      </c>
      <c r="J30" s="728" t="s">
        <v>109</v>
      </c>
      <c r="K30" s="729" t="s">
        <v>117</v>
      </c>
      <c r="L30" s="730"/>
      <c r="M30" s="722" t="b">
        <f>OR(K51&lt;&gt;0,K55&lt;&gt;0)</f>
        <v>0</v>
      </c>
    </row>
    <row r="31" spans="1:13" ht="14.25" customHeight="1">
      <c r="A31" s="731"/>
      <c r="B31" s="731"/>
      <c r="C31" s="731"/>
      <c r="D31" s="732"/>
      <c r="E31" s="732"/>
      <c r="F31" s="732"/>
      <c r="G31" s="733"/>
      <c r="H31" s="734"/>
      <c r="I31" s="3420"/>
      <c r="J31" s="731"/>
      <c r="K31" s="731"/>
      <c r="L31" s="735" t="s">
        <v>111</v>
      </c>
      <c r="M31" s="722" t="b">
        <f>OR(K51&lt;&gt;0,K55&lt;&gt;0)</f>
        <v>0</v>
      </c>
    </row>
    <row r="32" spans="1:13" ht="14.25" customHeight="1">
      <c r="A32" s="736"/>
      <c r="B32" s="737"/>
      <c r="C32" s="737"/>
      <c r="D32" s="738"/>
      <c r="E32" s="1300"/>
      <c r="F32" s="739"/>
      <c r="G32" s="740" t="s">
        <v>979</v>
      </c>
      <c r="H32" s="741"/>
      <c r="I32" s="742">
        <f t="shared" ref="I32:I50" si="6">ROUNDDOWN(F32*H32,2)</f>
        <v>0</v>
      </c>
      <c r="J32" s="736"/>
      <c r="K32" s="742">
        <f t="shared" ref="K32:K50" si="7">IF(ISBLANK(B32),0,I32*J32)</f>
        <v>0</v>
      </c>
      <c r="L32" s="742">
        <f t="shared" ref="L32:L50" si="8">ROUNDDOWN(I32*J32*IF(RIGHT(D32,2)="全)",1,IF(RIGHT(D32,2)="片)",1/2,0)),2)</f>
        <v>0</v>
      </c>
      <c r="M32" s="722" t="b">
        <f t="shared" ref="M32:M50" si="9">I32&lt;&gt;0</f>
        <v>0</v>
      </c>
    </row>
    <row r="33" spans="1:13" ht="14.25" customHeight="1">
      <c r="A33" s="743"/>
      <c r="B33" s="744"/>
      <c r="C33" s="744"/>
      <c r="D33" s="745"/>
      <c r="E33" s="1299"/>
      <c r="F33" s="746"/>
      <c r="G33" s="747" t="s">
        <v>979</v>
      </c>
      <c r="H33" s="748"/>
      <c r="I33" s="749">
        <f t="shared" si="6"/>
        <v>0</v>
      </c>
      <c r="J33" s="743"/>
      <c r="K33" s="749">
        <f t="shared" si="7"/>
        <v>0</v>
      </c>
      <c r="L33" s="749">
        <f t="shared" si="8"/>
        <v>0</v>
      </c>
      <c r="M33" s="722" t="b">
        <f t="shared" si="9"/>
        <v>0</v>
      </c>
    </row>
    <row r="34" spans="1:13" ht="14.25" customHeight="1">
      <c r="A34" s="743"/>
      <c r="B34" s="744"/>
      <c r="C34" s="744"/>
      <c r="D34" s="745"/>
      <c r="E34" s="1299"/>
      <c r="F34" s="746"/>
      <c r="G34" s="747" t="s">
        <v>979</v>
      </c>
      <c r="H34" s="748"/>
      <c r="I34" s="749">
        <f t="shared" si="6"/>
        <v>0</v>
      </c>
      <c r="J34" s="743"/>
      <c r="K34" s="749">
        <f t="shared" si="7"/>
        <v>0</v>
      </c>
      <c r="L34" s="749">
        <f t="shared" si="8"/>
        <v>0</v>
      </c>
      <c r="M34" s="722" t="b">
        <f t="shared" si="9"/>
        <v>0</v>
      </c>
    </row>
    <row r="35" spans="1:13" ht="14.25" customHeight="1">
      <c r="A35" s="743"/>
      <c r="B35" s="744"/>
      <c r="C35" s="744"/>
      <c r="D35" s="745"/>
      <c r="E35" s="1299"/>
      <c r="F35" s="746"/>
      <c r="G35" s="747" t="s">
        <v>979</v>
      </c>
      <c r="H35" s="748"/>
      <c r="I35" s="749">
        <f t="shared" si="6"/>
        <v>0</v>
      </c>
      <c r="J35" s="743"/>
      <c r="K35" s="749">
        <f t="shared" si="7"/>
        <v>0</v>
      </c>
      <c r="L35" s="749">
        <f t="shared" si="8"/>
        <v>0</v>
      </c>
      <c r="M35" s="722" t="b">
        <f t="shared" si="9"/>
        <v>0</v>
      </c>
    </row>
    <row r="36" spans="1:13" ht="14.25" customHeight="1">
      <c r="A36" s="743"/>
      <c r="B36" s="744"/>
      <c r="C36" s="744"/>
      <c r="D36" s="745"/>
      <c r="E36" s="1299"/>
      <c r="F36" s="746"/>
      <c r="G36" s="747" t="s">
        <v>979</v>
      </c>
      <c r="H36" s="748"/>
      <c r="I36" s="749">
        <f t="shared" si="6"/>
        <v>0</v>
      </c>
      <c r="J36" s="743"/>
      <c r="K36" s="749">
        <f t="shared" si="7"/>
        <v>0</v>
      </c>
      <c r="L36" s="749">
        <f t="shared" si="8"/>
        <v>0</v>
      </c>
      <c r="M36" s="722" t="b">
        <f t="shared" si="9"/>
        <v>0</v>
      </c>
    </row>
    <row r="37" spans="1:13" ht="14.25" customHeight="1">
      <c r="A37" s="743"/>
      <c r="B37" s="744"/>
      <c r="C37" s="744"/>
      <c r="D37" s="745"/>
      <c r="E37" s="1299"/>
      <c r="F37" s="746"/>
      <c r="G37" s="747" t="s">
        <v>979</v>
      </c>
      <c r="H37" s="748"/>
      <c r="I37" s="749">
        <f t="shared" si="6"/>
        <v>0</v>
      </c>
      <c r="J37" s="743"/>
      <c r="K37" s="749">
        <f t="shared" si="7"/>
        <v>0</v>
      </c>
      <c r="L37" s="749">
        <f t="shared" si="8"/>
        <v>0</v>
      </c>
      <c r="M37" s="722" t="b">
        <f t="shared" si="9"/>
        <v>0</v>
      </c>
    </row>
    <row r="38" spans="1:13" ht="14.25" customHeight="1">
      <c r="A38" s="743"/>
      <c r="B38" s="744"/>
      <c r="C38" s="744"/>
      <c r="D38" s="745"/>
      <c r="E38" s="1299"/>
      <c r="F38" s="746"/>
      <c r="G38" s="747" t="s">
        <v>979</v>
      </c>
      <c r="H38" s="748"/>
      <c r="I38" s="749">
        <f t="shared" si="6"/>
        <v>0</v>
      </c>
      <c r="J38" s="743"/>
      <c r="K38" s="749">
        <f t="shared" si="7"/>
        <v>0</v>
      </c>
      <c r="L38" s="749">
        <f t="shared" si="8"/>
        <v>0</v>
      </c>
      <c r="M38" s="722" t="b">
        <f t="shared" si="9"/>
        <v>0</v>
      </c>
    </row>
    <row r="39" spans="1:13" ht="14.25" customHeight="1">
      <c r="A39" s="743"/>
      <c r="B39" s="744"/>
      <c r="C39" s="744"/>
      <c r="D39" s="745"/>
      <c r="E39" s="1299"/>
      <c r="F39" s="746"/>
      <c r="G39" s="747" t="s">
        <v>979</v>
      </c>
      <c r="H39" s="748"/>
      <c r="I39" s="749">
        <f t="shared" si="6"/>
        <v>0</v>
      </c>
      <c r="J39" s="743"/>
      <c r="K39" s="749">
        <f t="shared" si="7"/>
        <v>0</v>
      </c>
      <c r="L39" s="749">
        <f t="shared" si="8"/>
        <v>0</v>
      </c>
      <c r="M39" s="722" t="b">
        <f t="shared" si="9"/>
        <v>0</v>
      </c>
    </row>
    <row r="40" spans="1:13" ht="14.25" customHeight="1">
      <c r="A40" s="743"/>
      <c r="B40" s="744"/>
      <c r="C40" s="744"/>
      <c r="D40" s="745"/>
      <c r="E40" s="1299"/>
      <c r="F40" s="746"/>
      <c r="G40" s="747" t="s">
        <v>979</v>
      </c>
      <c r="H40" s="748"/>
      <c r="I40" s="749">
        <f t="shared" si="6"/>
        <v>0</v>
      </c>
      <c r="J40" s="743"/>
      <c r="K40" s="749">
        <f t="shared" si="7"/>
        <v>0</v>
      </c>
      <c r="L40" s="749">
        <f t="shared" si="8"/>
        <v>0</v>
      </c>
      <c r="M40" s="722" t="b">
        <f t="shared" si="9"/>
        <v>0</v>
      </c>
    </row>
    <row r="41" spans="1:13" ht="14.25" customHeight="1">
      <c r="A41" s="743"/>
      <c r="B41" s="744"/>
      <c r="C41" s="744"/>
      <c r="D41" s="745"/>
      <c r="E41" s="1299"/>
      <c r="F41" s="746"/>
      <c r="G41" s="747" t="s">
        <v>979</v>
      </c>
      <c r="H41" s="748"/>
      <c r="I41" s="749">
        <f t="shared" si="6"/>
        <v>0</v>
      </c>
      <c r="J41" s="743"/>
      <c r="K41" s="749">
        <f t="shared" si="7"/>
        <v>0</v>
      </c>
      <c r="L41" s="749">
        <f t="shared" si="8"/>
        <v>0</v>
      </c>
      <c r="M41" s="722" t="b">
        <f t="shared" si="9"/>
        <v>0</v>
      </c>
    </row>
    <row r="42" spans="1:13" ht="14.25" customHeight="1">
      <c r="A42" s="743"/>
      <c r="B42" s="744"/>
      <c r="C42" s="744"/>
      <c r="D42" s="745"/>
      <c r="E42" s="1299"/>
      <c r="F42" s="746"/>
      <c r="G42" s="747" t="s">
        <v>979</v>
      </c>
      <c r="H42" s="748"/>
      <c r="I42" s="749">
        <f t="shared" si="6"/>
        <v>0</v>
      </c>
      <c r="J42" s="743"/>
      <c r="K42" s="749">
        <f t="shared" si="7"/>
        <v>0</v>
      </c>
      <c r="L42" s="749">
        <f t="shared" si="8"/>
        <v>0</v>
      </c>
      <c r="M42" s="722" t="b">
        <f t="shared" si="9"/>
        <v>0</v>
      </c>
    </row>
    <row r="43" spans="1:13" ht="14.25" customHeight="1">
      <c r="A43" s="743"/>
      <c r="B43" s="744"/>
      <c r="C43" s="744"/>
      <c r="D43" s="745"/>
      <c r="E43" s="1299"/>
      <c r="F43" s="746"/>
      <c r="G43" s="747" t="s">
        <v>979</v>
      </c>
      <c r="H43" s="748"/>
      <c r="I43" s="749">
        <f t="shared" si="6"/>
        <v>0</v>
      </c>
      <c r="J43" s="743"/>
      <c r="K43" s="749">
        <f t="shared" si="7"/>
        <v>0</v>
      </c>
      <c r="L43" s="749">
        <f t="shared" si="8"/>
        <v>0</v>
      </c>
      <c r="M43" s="722" t="b">
        <f t="shared" si="9"/>
        <v>0</v>
      </c>
    </row>
    <row r="44" spans="1:13" ht="14.25" customHeight="1">
      <c r="A44" s="743"/>
      <c r="B44" s="744"/>
      <c r="C44" s="744"/>
      <c r="D44" s="745"/>
      <c r="E44" s="1299"/>
      <c r="F44" s="746"/>
      <c r="G44" s="747" t="s">
        <v>979</v>
      </c>
      <c r="H44" s="748"/>
      <c r="I44" s="749">
        <f t="shared" si="6"/>
        <v>0</v>
      </c>
      <c r="J44" s="743"/>
      <c r="K44" s="749">
        <f t="shared" si="7"/>
        <v>0</v>
      </c>
      <c r="L44" s="749">
        <f t="shared" si="8"/>
        <v>0</v>
      </c>
      <c r="M44" s="722" t="b">
        <f t="shared" si="9"/>
        <v>0</v>
      </c>
    </row>
    <row r="45" spans="1:13" ht="14.25" customHeight="1">
      <c r="A45" s="743"/>
      <c r="B45" s="744"/>
      <c r="C45" s="744"/>
      <c r="D45" s="745"/>
      <c r="E45" s="1299"/>
      <c r="F45" s="746"/>
      <c r="G45" s="747" t="s">
        <v>979</v>
      </c>
      <c r="H45" s="748"/>
      <c r="I45" s="749">
        <f t="shared" si="6"/>
        <v>0</v>
      </c>
      <c r="J45" s="743"/>
      <c r="K45" s="749">
        <f t="shared" si="7"/>
        <v>0</v>
      </c>
      <c r="L45" s="749">
        <f t="shared" si="8"/>
        <v>0</v>
      </c>
      <c r="M45" s="722" t="b">
        <f t="shared" si="9"/>
        <v>0</v>
      </c>
    </row>
    <row r="46" spans="1:13" ht="14.25" customHeight="1">
      <c r="A46" s="743"/>
      <c r="B46" s="744"/>
      <c r="C46" s="744"/>
      <c r="D46" s="745"/>
      <c r="E46" s="1299"/>
      <c r="F46" s="746"/>
      <c r="G46" s="747" t="s">
        <v>979</v>
      </c>
      <c r="H46" s="748"/>
      <c r="I46" s="749">
        <f t="shared" si="6"/>
        <v>0</v>
      </c>
      <c r="J46" s="743"/>
      <c r="K46" s="749">
        <f t="shared" si="7"/>
        <v>0</v>
      </c>
      <c r="L46" s="749">
        <f t="shared" si="8"/>
        <v>0</v>
      </c>
      <c r="M46" s="722" t="b">
        <f t="shared" si="9"/>
        <v>0</v>
      </c>
    </row>
    <row r="47" spans="1:13" ht="14.25" customHeight="1">
      <c r="A47" s="743"/>
      <c r="B47" s="744"/>
      <c r="C47" s="744"/>
      <c r="D47" s="745"/>
      <c r="E47" s="1299"/>
      <c r="F47" s="746"/>
      <c r="G47" s="747" t="s">
        <v>979</v>
      </c>
      <c r="H47" s="748"/>
      <c r="I47" s="749">
        <f t="shared" si="6"/>
        <v>0</v>
      </c>
      <c r="J47" s="743"/>
      <c r="K47" s="749">
        <f t="shared" si="7"/>
        <v>0</v>
      </c>
      <c r="L47" s="749">
        <f t="shared" si="8"/>
        <v>0</v>
      </c>
      <c r="M47" s="722" t="b">
        <f t="shared" si="9"/>
        <v>0</v>
      </c>
    </row>
    <row r="48" spans="1:13" ht="14.25" customHeight="1">
      <c r="A48" s="743"/>
      <c r="B48" s="744"/>
      <c r="C48" s="744"/>
      <c r="D48" s="745"/>
      <c r="E48" s="1299"/>
      <c r="F48" s="746"/>
      <c r="G48" s="747" t="s">
        <v>979</v>
      </c>
      <c r="H48" s="748"/>
      <c r="I48" s="749">
        <f t="shared" si="6"/>
        <v>0</v>
      </c>
      <c r="J48" s="743"/>
      <c r="K48" s="749">
        <f t="shared" si="7"/>
        <v>0</v>
      </c>
      <c r="L48" s="749">
        <f t="shared" si="8"/>
        <v>0</v>
      </c>
      <c r="M48" s="722" t="b">
        <f t="shared" si="9"/>
        <v>0</v>
      </c>
    </row>
    <row r="49" spans="1:13" ht="14.25" customHeight="1">
      <c r="A49" s="743"/>
      <c r="B49" s="744"/>
      <c r="C49" s="744"/>
      <c r="D49" s="745"/>
      <c r="E49" s="1299"/>
      <c r="F49" s="746"/>
      <c r="G49" s="747" t="s">
        <v>979</v>
      </c>
      <c r="H49" s="748"/>
      <c r="I49" s="749">
        <f t="shared" si="6"/>
        <v>0</v>
      </c>
      <c r="J49" s="743"/>
      <c r="K49" s="749">
        <f t="shared" si="7"/>
        <v>0</v>
      </c>
      <c r="L49" s="749">
        <f t="shared" si="8"/>
        <v>0</v>
      </c>
      <c r="M49" s="722" t="b">
        <f t="shared" si="9"/>
        <v>0</v>
      </c>
    </row>
    <row r="50" spans="1:13" ht="14.25" customHeight="1">
      <c r="A50" s="750"/>
      <c r="B50" s="751"/>
      <c r="C50" s="751"/>
      <c r="D50" s="751"/>
      <c r="E50" s="1298"/>
      <c r="F50" s="753"/>
      <c r="G50" s="754" t="s">
        <v>979</v>
      </c>
      <c r="H50" s="755"/>
      <c r="I50" s="756">
        <f t="shared" si="6"/>
        <v>0</v>
      </c>
      <c r="J50" s="750"/>
      <c r="K50" s="756">
        <f t="shared" si="7"/>
        <v>0</v>
      </c>
      <c r="L50" s="756">
        <f t="shared" si="8"/>
        <v>0</v>
      </c>
      <c r="M50" s="722" t="b">
        <f t="shared" si="9"/>
        <v>0</v>
      </c>
    </row>
    <row r="51" spans="1:13" ht="14.25" customHeight="1">
      <c r="A51" s="757"/>
      <c r="B51" s="758"/>
      <c r="C51" s="758"/>
      <c r="D51" s="758"/>
      <c r="E51" s="758"/>
      <c r="F51" s="758"/>
      <c r="G51" s="758"/>
      <c r="H51" s="759"/>
      <c r="I51" s="760" t="s">
        <v>118</v>
      </c>
      <c r="J51" s="761"/>
      <c r="K51" s="762">
        <f>SUM(K31:K50)</f>
        <v>0</v>
      </c>
      <c r="L51" s="762">
        <f>SUM(L31:L50)</f>
        <v>0</v>
      </c>
      <c r="M51" s="722" t="b">
        <f t="shared" ref="M51:M55" si="10">K51&lt;&gt;0</f>
        <v>0</v>
      </c>
    </row>
    <row r="52" spans="1:13" ht="14.25" customHeight="1">
      <c r="A52" s="736" t="s">
        <v>119</v>
      </c>
      <c r="B52" s="764"/>
      <c r="C52" s="1423"/>
      <c r="D52" s="1423"/>
      <c r="E52" s="1424"/>
      <c r="F52" s="739"/>
      <c r="G52" s="740" t="s">
        <v>979</v>
      </c>
      <c r="H52" s="741"/>
      <c r="I52" s="742">
        <f>ROUNDDOWN(F52*H52,2)</f>
        <v>0</v>
      </c>
      <c r="J52" s="736"/>
      <c r="K52" s="742">
        <f>I52*J52</f>
        <v>0</v>
      </c>
      <c r="L52" s="742"/>
      <c r="M52" s="722" t="b">
        <f>I52&lt;&gt;0</f>
        <v>0</v>
      </c>
    </row>
    <row r="53" spans="1:13" ht="14.25" customHeight="1">
      <c r="A53" s="743" t="s">
        <v>120</v>
      </c>
      <c r="B53" s="769"/>
      <c r="C53" s="1425"/>
      <c r="D53" s="1425"/>
      <c r="E53" s="1426"/>
      <c r="F53" s="746"/>
      <c r="G53" s="747" t="s">
        <v>979</v>
      </c>
      <c r="H53" s="748"/>
      <c r="I53" s="749">
        <f>ROUNDDOWN(F53*H53,2)</f>
        <v>0</v>
      </c>
      <c r="J53" s="743"/>
      <c r="K53" s="749">
        <f>I53*J53</f>
        <v>0</v>
      </c>
      <c r="L53" s="749"/>
      <c r="M53" s="722" t="b">
        <f t="shared" ref="M53:M54" si="11">I53&lt;&gt;0</f>
        <v>0</v>
      </c>
    </row>
    <row r="54" spans="1:13" ht="14.25" customHeight="1">
      <c r="A54" s="750" t="s">
        <v>121</v>
      </c>
      <c r="B54" s="1427"/>
      <c r="C54" s="1428"/>
      <c r="D54" s="1428"/>
      <c r="E54" s="1429"/>
      <c r="F54" s="753"/>
      <c r="G54" s="754" t="s">
        <v>979</v>
      </c>
      <c r="H54" s="755"/>
      <c r="I54" s="756">
        <f>ROUNDDOWN(F54*H54,2)</f>
        <v>0</v>
      </c>
      <c r="J54" s="750"/>
      <c r="K54" s="756">
        <f>I54*J54</f>
        <v>0</v>
      </c>
      <c r="L54" s="756"/>
      <c r="M54" s="722" t="b">
        <f t="shared" si="11"/>
        <v>0</v>
      </c>
    </row>
    <row r="55" spans="1:13" ht="14.25" customHeight="1">
      <c r="A55" s="757"/>
      <c r="B55" s="758"/>
      <c r="C55" s="758"/>
      <c r="D55" s="758"/>
      <c r="E55" s="758"/>
      <c r="F55" s="758"/>
      <c r="G55" s="758"/>
      <c r="H55" s="759"/>
      <c r="I55" s="760" t="s">
        <v>122</v>
      </c>
      <c r="J55" s="761"/>
      <c r="K55" s="762">
        <f>SUM(K51:K54)</f>
        <v>0</v>
      </c>
      <c r="L55" s="762"/>
      <c r="M55" s="722" t="b">
        <f t="shared" si="10"/>
        <v>0</v>
      </c>
    </row>
    <row r="56" spans="1:13" ht="14.25" customHeight="1" thickBot="1">
      <c r="A56" s="773"/>
      <c r="B56" s="773"/>
      <c r="C56" s="773"/>
      <c r="D56" s="773"/>
      <c r="E56" s="773"/>
      <c r="F56" s="773"/>
      <c r="G56" s="773"/>
      <c r="H56" s="773"/>
      <c r="I56" s="771"/>
      <c r="J56" s="774"/>
      <c r="K56" s="775"/>
      <c r="L56" s="775"/>
      <c r="M56" s="770" t="b">
        <f>M57</f>
        <v>1</v>
      </c>
    </row>
    <row r="57" spans="1:13" ht="14.25" customHeight="1">
      <c r="A57" s="3415" t="str">
        <f>IF(C57&lt;&gt;C58,"ERR!!","OK!")</f>
        <v>OK!</v>
      </c>
      <c r="B57" s="776" t="s">
        <v>123</v>
      </c>
      <c r="C57" s="777">
        <f>SUM(建具!I120:I135)</f>
        <v>0</v>
      </c>
      <c r="I57" s="778" t="s">
        <v>124</v>
      </c>
      <c r="J57" s="779"/>
      <c r="K57" s="780">
        <f>SUM(K58:L60)</f>
        <v>0</v>
      </c>
      <c r="L57" s="781" t="s">
        <v>125</v>
      </c>
      <c r="M57" s="722" t="b">
        <v>1</v>
      </c>
    </row>
    <row r="58" spans="1:13" ht="14.25" customHeight="1">
      <c r="A58" s="3416"/>
      <c r="B58" s="782" t="s">
        <v>1264</v>
      </c>
      <c r="C58" s="783">
        <f>SUMIF(建具!C6:C135,"窓",建具!I6:I135)</f>
        <v>0</v>
      </c>
      <c r="I58" s="784"/>
      <c r="J58" s="785" t="s">
        <v>126</v>
      </c>
      <c r="K58" s="786">
        <f>SUM(K23,K51)</f>
        <v>0</v>
      </c>
      <c r="L58" s="787" t="s">
        <v>127</v>
      </c>
      <c r="M58" s="722" t="b">
        <v>1</v>
      </c>
    </row>
    <row r="59" spans="1:13" ht="14.25" customHeight="1">
      <c r="A59" s="3415" t="str">
        <f>IF(C59&lt;&gt;C60,"ERR!!","OK!")</f>
        <v>OK!</v>
      </c>
      <c r="B59" s="1430" t="s">
        <v>128</v>
      </c>
      <c r="C59" s="788">
        <f>K57</f>
        <v>0</v>
      </c>
      <c r="I59" s="784"/>
      <c r="J59" s="785" t="s">
        <v>129</v>
      </c>
      <c r="K59" s="786">
        <f>+SUMIF(C7:C22,"*",K7:K22)+SUMIF(C32:C50,"*",K32:K50)</f>
        <v>0</v>
      </c>
      <c r="L59" s="787" t="s">
        <v>127</v>
      </c>
      <c r="M59" s="722" t="b">
        <v>1</v>
      </c>
    </row>
    <row r="60" spans="1:13" ht="14.25" customHeight="1" thickBot="1">
      <c r="A60" s="3416"/>
      <c r="B60" s="782" t="s">
        <v>130</v>
      </c>
      <c r="C60" s="783">
        <f>建具!I137</f>
        <v>0</v>
      </c>
      <c r="I60" s="789"/>
      <c r="J60" s="790" t="s">
        <v>111</v>
      </c>
      <c r="K60" s="791">
        <f>SUM(L23,L51)</f>
        <v>0</v>
      </c>
      <c r="L60" s="792" t="s">
        <v>127</v>
      </c>
      <c r="M60" s="722" t="b">
        <v>1</v>
      </c>
    </row>
    <row r="61" spans="1:13" ht="14.25" customHeight="1">
      <c r="I61" s="771"/>
      <c r="J61" s="771"/>
      <c r="K61" s="772"/>
      <c r="L61" s="772"/>
      <c r="M61" s="722" t="b">
        <v>1</v>
      </c>
    </row>
    <row r="62" spans="1:13" ht="14.25" customHeight="1">
      <c r="A62" s="726" t="s">
        <v>131</v>
      </c>
      <c r="M62" s="722" t="b">
        <f>K69&lt;&gt;0</f>
        <v>0</v>
      </c>
    </row>
    <row r="63" spans="1:13" ht="14.25" customHeight="1">
      <c r="A63" s="3429" t="s">
        <v>104</v>
      </c>
      <c r="B63" s="3431"/>
      <c r="C63" s="3429" t="s">
        <v>66</v>
      </c>
      <c r="D63" s="3430"/>
      <c r="E63" s="3431"/>
      <c r="F63" s="793" t="s">
        <v>108</v>
      </c>
      <c r="G63" s="794"/>
      <c r="H63" s="795"/>
      <c r="I63" s="735" t="s">
        <v>132</v>
      </c>
      <c r="J63" s="735" t="s">
        <v>133</v>
      </c>
      <c r="K63" s="3425" t="s">
        <v>1137</v>
      </c>
      <c r="L63" s="3425"/>
      <c r="M63" s="722" t="b">
        <f>K69&lt;&gt;0</f>
        <v>0</v>
      </c>
    </row>
    <row r="64" spans="1:13" ht="14.25" customHeight="1">
      <c r="A64" s="3441"/>
      <c r="B64" s="3442"/>
      <c r="C64" s="3432"/>
      <c r="D64" s="3433"/>
      <c r="E64" s="3434"/>
      <c r="F64" s="739"/>
      <c r="G64" s="740" t="s">
        <v>979</v>
      </c>
      <c r="H64" s="741"/>
      <c r="I64" s="742">
        <f>ROUNDDOWN(F64*H64,2)</f>
        <v>0</v>
      </c>
      <c r="J64" s="736"/>
      <c r="K64" s="3426">
        <f>IF(ISNA(MATCH(C64,建具!$B$159:$B$164,0)),I64,1)*J64</f>
        <v>0</v>
      </c>
      <c r="L64" s="3426"/>
      <c r="M64" s="722" t="b">
        <f>I64&lt;&gt;0</f>
        <v>0</v>
      </c>
    </row>
    <row r="65" spans="1:13" ht="14.25" customHeight="1">
      <c r="A65" s="3443"/>
      <c r="B65" s="3444"/>
      <c r="C65" s="3435"/>
      <c r="D65" s="3436"/>
      <c r="E65" s="3437"/>
      <c r="F65" s="746"/>
      <c r="G65" s="747" t="s">
        <v>979</v>
      </c>
      <c r="H65" s="748"/>
      <c r="I65" s="749">
        <f>ROUNDDOWN(F65*H65,2)</f>
        <v>0</v>
      </c>
      <c r="J65" s="743"/>
      <c r="K65" s="3421">
        <f>IF(ISNA(MATCH(C65,建具!$B$159:$B$164,0)),I65,1)*J65</f>
        <v>0</v>
      </c>
      <c r="L65" s="3421"/>
      <c r="M65" s="722" t="b">
        <f t="shared" ref="M65:M68" si="12">I65&lt;&gt;0</f>
        <v>0</v>
      </c>
    </row>
    <row r="66" spans="1:13" ht="14.25" customHeight="1">
      <c r="A66" s="3443"/>
      <c r="B66" s="3444"/>
      <c r="C66" s="3435"/>
      <c r="D66" s="3436"/>
      <c r="E66" s="3437"/>
      <c r="F66" s="746"/>
      <c r="G66" s="747" t="s">
        <v>979</v>
      </c>
      <c r="H66" s="748"/>
      <c r="I66" s="749">
        <f>ROUNDDOWN(F66*H66,2)</f>
        <v>0</v>
      </c>
      <c r="J66" s="743"/>
      <c r="K66" s="3421">
        <f>IF(ISNA(MATCH(C66,建具!$B$159:$B$164,0)),I66,1)*J66</f>
        <v>0</v>
      </c>
      <c r="L66" s="3421"/>
      <c r="M66" s="722" t="b">
        <f t="shared" si="12"/>
        <v>0</v>
      </c>
    </row>
    <row r="67" spans="1:13" ht="14.25" customHeight="1">
      <c r="A67" s="3443"/>
      <c r="B67" s="3444"/>
      <c r="C67" s="3435"/>
      <c r="D67" s="3436"/>
      <c r="E67" s="3437"/>
      <c r="F67" s="746"/>
      <c r="G67" s="747" t="s">
        <v>979</v>
      </c>
      <c r="H67" s="748"/>
      <c r="I67" s="749">
        <f>ROUNDDOWN(F67*H67,2)</f>
        <v>0</v>
      </c>
      <c r="J67" s="743"/>
      <c r="K67" s="3421">
        <f>IF(ISNA(MATCH(C67,建具!$B$159:$B$164,0)),I67,1)*J67</f>
        <v>0</v>
      </c>
      <c r="L67" s="3421"/>
      <c r="M67" s="722" t="b">
        <f t="shared" si="12"/>
        <v>0</v>
      </c>
    </row>
    <row r="68" spans="1:13" ht="14.25" customHeight="1" thickBot="1">
      <c r="A68" s="3427"/>
      <c r="B68" s="3428"/>
      <c r="C68" s="3438"/>
      <c r="D68" s="3439"/>
      <c r="E68" s="3440"/>
      <c r="F68" s="753"/>
      <c r="G68" s="754" t="s">
        <v>979</v>
      </c>
      <c r="H68" s="755"/>
      <c r="I68" s="756">
        <f>ROUNDDOWN(F68*H68,2)</f>
        <v>0</v>
      </c>
      <c r="J68" s="750"/>
      <c r="K68" s="3422">
        <f>IF(ISNA(MATCH(C68,建具!$B$159:$B$164,0)),I68,1)*J68</f>
        <v>0</v>
      </c>
      <c r="L68" s="3422"/>
      <c r="M68" s="722" t="b">
        <f t="shared" si="12"/>
        <v>0</v>
      </c>
    </row>
    <row r="69" spans="1:13" ht="14.25" customHeight="1" thickBot="1">
      <c r="A69" s="757"/>
      <c r="B69" s="758"/>
      <c r="C69" s="758"/>
      <c r="D69" s="758"/>
      <c r="E69" s="758"/>
      <c r="F69" s="758"/>
      <c r="G69" s="758"/>
      <c r="H69" s="758"/>
      <c r="I69" s="796" t="s">
        <v>134</v>
      </c>
      <c r="J69" s="797"/>
      <c r="K69" s="3423">
        <f>SUM(K63:K68)</f>
        <v>0</v>
      </c>
      <c r="L69" s="3424"/>
      <c r="M69" s="722" t="b">
        <f>K69&lt;&gt;0</f>
        <v>0</v>
      </c>
    </row>
    <row r="70" spans="1:13" ht="14.25" customHeight="1">
      <c r="A70" s="635" t="s">
        <v>1136</v>
      </c>
      <c r="M70" s="722" t="b">
        <f>+M69</f>
        <v>0</v>
      </c>
    </row>
    <row r="71" spans="1:13" ht="14.25" customHeight="1">
      <c r="A71" s="635" t="s">
        <v>1188</v>
      </c>
      <c r="M71" s="722" t="b">
        <f>+M69</f>
        <v>0</v>
      </c>
    </row>
    <row r="72" spans="1:13" ht="14.25" customHeight="1">
      <c r="A72" s="635"/>
      <c r="M72" s="722" t="b">
        <v>0</v>
      </c>
    </row>
    <row r="73" spans="1:13" ht="14.25" customHeight="1">
      <c r="A73" s="635"/>
      <c r="M73" s="722" t="b">
        <v>0</v>
      </c>
    </row>
    <row r="74" spans="1:13" ht="14.25" customHeight="1">
      <c r="M74" s="722" t="b">
        <f>M$69</f>
        <v>0</v>
      </c>
    </row>
    <row r="75" spans="1:13" ht="14.25" customHeight="1">
      <c r="A75" s="3415" t="str">
        <f>IF(C75&lt;&gt;C76,"ERR!!","OK!")</f>
        <v>OK!</v>
      </c>
      <c r="B75" s="1430" t="s">
        <v>135</v>
      </c>
      <c r="C75" s="788">
        <f>K69</f>
        <v>0</v>
      </c>
      <c r="M75" s="722" t="b">
        <f>M$69</f>
        <v>0</v>
      </c>
    </row>
    <row r="76" spans="1:13" ht="14.25" customHeight="1">
      <c r="A76" s="3416"/>
      <c r="B76" s="782" t="s">
        <v>136</v>
      </c>
      <c r="C76" s="783">
        <f>+SUM(建具!I156:I172)</f>
        <v>0</v>
      </c>
      <c r="M76" s="722" t="b">
        <f>M$69</f>
        <v>0</v>
      </c>
    </row>
  </sheetData>
  <autoFilter ref="M2:M76"/>
  <mergeCells count="27">
    <mergeCell ref="C68:E68"/>
    <mergeCell ref="A63:B63"/>
    <mergeCell ref="A64:B64"/>
    <mergeCell ref="A65:B65"/>
    <mergeCell ref="A66:B66"/>
    <mergeCell ref="A67:B67"/>
    <mergeCell ref="I5:I6"/>
    <mergeCell ref="I30:I31"/>
    <mergeCell ref="A75:A76"/>
    <mergeCell ref="K67:L67"/>
    <mergeCell ref="K68:L68"/>
    <mergeCell ref="K69:L69"/>
    <mergeCell ref="K63:L63"/>
    <mergeCell ref="K64:L64"/>
    <mergeCell ref="K65:L65"/>
    <mergeCell ref="K66:L66"/>
    <mergeCell ref="A68:B68"/>
    <mergeCell ref="C63:E63"/>
    <mergeCell ref="C64:E64"/>
    <mergeCell ref="C65:E65"/>
    <mergeCell ref="C66:E66"/>
    <mergeCell ref="C67:E67"/>
    <mergeCell ref="C2:H2"/>
    <mergeCell ref="F5:H5"/>
    <mergeCell ref="F30:H30"/>
    <mergeCell ref="A57:A58"/>
    <mergeCell ref="A59:A60"/>
  </mergeCells>
  <phoneticPr fontId="19"/>
  <conditionalFormatting sqref="A59">
    <cfRule type="expression" dxfId="30" priority="1" stopIfTrue="1">
      <formula>$C$59&lt;&gt;$C$60</formula>
    </cfRule>
  </conditionalFormatting>
  <conditionalFormatting sqref="A57">
    <cfRule type="expression" dxfId="29" priority="2" stopIfTrue="1">
      <formula>$C$57&lt;&gt;$C$58</formula>
    </cfRule>
  </conditionalFormatting>
  <conditionalFormatting sqref="A75:A76">
    <cfRule type="expression" dxfId="28" priority="3" stopIfTrue="1">
      <formula>$C$75&lt;&gt;$C$76</formula>
    </cfRule>
  </conditionalFormatting>
  <dataValidations count="5">
    <dataValidation type="list" allowBlank="1" showInputMessage="1" showErrorMessage="1" sqref="C64:C68">
      <formula1>特殊設備名称</formula1>
    </dataValidation>
    <dataValidation type="list" allowBlank="1" showInputMessage="1" showErrorMessage="1" error="建具シートで追加（又は修正）した後、再度選択してくだい。" sqref="B7:B22 B32:B50">
      <formula1>建具名称</formula1>
    </dataValidation>
    <dataValidation type="list" allowBlank="1" showInputMessage="1" showErrorMessage="1" error="建具シートで追加（又は修正）した後、再度選択してくだい。" sqref="C32:C50 C7:C22">
      <formula1>硝子名称</formula1>
    </dataValidation>
    <dataValidation type="list" allowBlank="1" showInputMessage="1" showErrorMessage="1" error="建具シートで追加（又は修正）した後、再度選択してくだい。" sqref="D7:D22 D32:D50">
      <formula1>網戸名称</formula1>
    </dataValidation>
    <dataValidation imeMode="off" allowBlank="1" showInputMessage="1" showErrorMessage="1" sqref="F7:F22 H7:H22 J7:J22 F24:F26 H24:H26 J24:J26 F32:F50 H32:H50 J32:J50 F52:F54 H52:H54 J52:J54 F64:F68 H64:H68 J64:J68"/>
  </dataValidations>
  <pageMargins left="0.63" right="0.2" top="0.6" bottom="0.39" header="0.51200000000000001" footer="0.19"/>
  <pageSetup paperSize="9" scale="80" orientation="portrait" r:id="rId1"/>
  <headerFooter alignWithMargins="0">
    <oddFooter>&amp;R&amp;"ＭＳ ゴシック,標準"&amp;D　&amp;T</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建具シートで追加（又は修正）した後、再度選択してくだい。">
          <x14:formula1>
            <xm:f>建具!$B$112:$B$118</xm:f>
          </x14:formula1>
          <xm:sqref>E7:E22</xm:sqref>
        </x14:dataValidation>
        <x14:dataValidation type="list" allowBlank="1" showInputMessage="1" showErrorMessage="1" error="建具シートで追加（又は修正）した後、再度選択してくだい。">
          <x14:formula1>
            <xm:f>建具!$B$110:$B$118</xm:f>
          </x14:formula1>
          <xm:sqref>E32:E50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13"/>
    <pageSetUpPr fitToPage="1"/>
  </sheetPr>
  <dimension ref="A1:W555"/>
  <sheetViews>
    <sheetView topLeftCell="A293" zoomScaleNormal="100" zoomScaleSheetLayoutView="85" workbookViewId="0">
      <selection activeCell="U310" sqref="U310"/>
    </sheetView>
  </sheetViews>
  <sheetFormatPr defaultColWidth="10.5" defaultRowHeight="13.5" customHeight="1"/>
  <cols>
    <col min="1" max="1" width="1.5" customWidth="1"/>
    <col min="2" max="2" width="5.5" style="970" customWidth="1"/>
    <col min="3" max="4" width="5.5" style="971" customWidth="1"/>
    <col min="5" max="5" width="1.33203125" customWidth="1"/>
    <col min="6" max="18" width="11.5" customWidth="1"/>
    <col min="19" max="19" width="1.6640625" customWidth="1"/>
    <col min="20" max="20" width="6.6640625" style="25" customWidth="1"/>
    <col min="21" max="21" width="89.83203125" style="2358" customWidth="1"/>
  </cols>
  <sheetData>
    <row r="1" spans="1:20" ht="13.5" customHeight="1">
      <c r="B1" s="1775" t="s">
        <v>1596</v>
      </c>
    </row>
    <row r="2" spans="1:20" ht="13.5" customHeight="1">
      <c r="B2" s="798"/>
      <c r="C2" s="799"/>
      <c r="D2" s="799"/>
      <c r="E2" s="5"/>
      <c r="F2" s="3561" t="s">
        <v>137</v>
      </c>
      <c r="G2" s="3562"/>
      <c r="H2" s="3562"/>
      <c r="I2" s="3563"/>
      <c r="J2" s="3561" t="s">
        <v>138</v>
      </c>
      <c r="K2" s="3562"/>
      <c r="L2" s="3562"/>
      <c r="M2" s="3563"/>
      <c r="N2" s="3561" t="s">
        <v>139</v>
      </c>
      <c r="O2" s="3562"/>
      <c r="P2" s="3563"/>
      <c r="Q2" s="800" t="s">
        <v>140</v>
      </c>
      <c r="R2" s="800" t="s">
        <v>141</v>
      </c>
      <c r="S2" s="5"/>
    </row>
    <row r="3" spans="1:20" ht="13.5" customHeight="1">
      <c r="B3" s="801" t="s">
        <v>142</v>
      </c>
      <c r="C3" s="799"/>
      <c r="D3" s="799"/>
      <c r="E3" s="5"/>
      <c r="F3" s="1634" t="str">
        <f>HYPERLINK("#E"&amp;A12,"動　力")</f>
        <v>動　力</v>
      </c>
      <c r="G3" s="1634" t="str">
        <f>HYPERLINK("#E"&amp;A42,"電　話")</f>
        <v>電　話</v>
      </c>
      <c r="H3" s="1634" t="str">
        <f>HYPERLINK("#E"&amp;A58,"ｲﾝﾀｰﾎﾝ")</f>
        <v>ｲﾝﾀｰﾎﾝ</v>
      </c>
      <c r="I3" s="1634" t="str">
        <f>HYPERLINK("#E"&amp;A79,"Ｔ　Ｖ")</f>
        <v>Ｔ　Ｖ</v>
      </c>
      <c r="J3" s="1634" t="str">
        <f>HYPERLINK("#E"&amp;A101,"給　水")</f>
        <v>給　水</v>
      </c>
      <c r="K3" s="1634" t="str">
        <f>HYPERLINK("#E"&amp;A136,"衛　生")</f>
        <v>衛　生</v>
      </c>
      <c r="L3" s="1634" t="str">
        <f>HYPERLINK("#E"&amp;A168,"Ｕ　Ｂ")</f>
        <v>Ｕ　Ｂ</v>
      </c>
      <c r="M3" s="1634" t="str">
        <f>HYPERLINK("#E"&amp;A239,"ｼｽﾃﾑｷｯﾁﾝ")</f>
        <v>ｼｽﾃﾑｷｯﾁﾝ</v>
      </c>
      <c r="N3" s="1634" t="str">
        <f>HYPERLINK("#E"&amp;308,"個別空調")</f>
        <v>個別空調</v>
      </c>
      <c r="O3" s="1634" t="str">
        <f>HYPERLINK("#E"&amp;A359,"床暖房")</f>
        <v>床暖房</v>
      </c>
      <c r="P3" s="1634" t="str">
        <f>HYPERLINK("#E"&amp;A379,"換気扇")</f>
        <v>換気扇</v>
      </c>
      <c r="Q3" s="1634" t="str">
        <f>HYPERLINK("#E"&amp;A400,"火災報知")</f>
        <v>火災報知</v>
      </c>
      <c r="R3" s="1634" t="str">
        <f>HYPERLINK("#E"&amp;A446,"規格ＥＶ")</f>
        <v>規格ＥＶ</v>
      </c>
      <c r="S3" s="5"/>
    </row>
    <row r="4" spans="1:20" ht="13.5" customHeight="1">
      <c r="B4" s="801" t="s">
        <v>143</v>
      </c>
      <c r="C4" s="799"/>
      <c r="D4" s="799"/>
      <c r="E4" s="5"/>
      <c r="F4" s="1634" t="str">
        <f>HYPERLINK("#E"&amp;A36,"電　灯")</f>
        <v>電　灯</v>
      </c>
      <c r="G4" s="1634" t="str">
        <f>HYPERLINK("#E"&amp;A50,"呼出表示")</f>
        <v>呼出表示</v>
      </c>
      <c r="H4" s="1634" t="str">
        <f>HYPERLINK("#E"&amp;A66,"拡声器")</f>
        <v>拡声器</v>
      </c>
      <c r="I4" s="1634" t="str">
        <f>HYPERLINK("#E"&amp;A76,"監視カメラ")</f>
        <v>監視カメラ</v>
      </c>
      <c r="J4" s="1634" t="str">
        <f>HYPERLINK("#E"&amp;A115,"排　水")</f>
        <v>排　水</v>
      </c>
      <c r="K4" s="1634" t="str">
        <f>HYPERLINK("#E"&amp;A249,"住宅用総合")</f>
        <v>住宅用総合</v>
      </c>
      <c r="L4" s="1634" t="str">
        <f>HYPERLINK("#E"&amp;A213,"給湯器")</f>
        <v>給湯器</v>
      </c>
      <c r="M4" s="1634" t="str">
        <f>HYPERLINK("#E"&amp;A244,"ガ　ス")</f>
        <v>ガ　ス</v>
      </c>
      <c r="N4" s="1634" t="str">
        <f>HYPERLINK("#E"&amp;369,"住宅用換気")</f>
        <v>住宅用換気</v>
      </c>
      <c r="O4" s="1634" t="str">
        <f>HYPERLINK("#E"&amp;A362,"換気設備")</f>
        <v>換気設備</v>
      </c>
      <c r="P4" s="1634" t="str">
        <f>HYPERLINK("#E"&amp;389,"機械排煙")</f>
        <v>機械排煙</v>
      </c>
      <c r="Q4" s="1634" t="str">
        <f>HYPERLINK("#E"&amp;A417,"消火栓")</f>
        <v>消火栓</v>
      </c>
      <c r="R4" s="1634" t="str">
        <f>HYPERLINK("#E"&amp;A519,"ﾎｰﾑＥＶ")</f>
        <v>ﾎｰﾑＥＶ</v>
      </c>
      <c r="S4" s="5"/>
    </row>
    <row r="5" spans="1:20" ht="3.75" customHeight="1">
      <c r="B5" s="801"/>
      <c r="C5" s="799"/>
      <c r="D5" s="799"/>
      <c r="E5" s="5"/>
      <c r="F5" s="5"/>
      <c r="G5" s="5"/>
      <c r="H5" s="5"/>
      <c r="I5" s="5"/>
      <c r="J5" s="5"/>
      <c r="K5" s="5"/>
      <c r="L5" s="5"/>
      <c r="M5" s="5"/>
      <c r="N5" s="5"/>
      <c r="O5" s="5"/>
      <c r="P5" s="5"/>
      <c r="Q5" s="5"/>
      <c r="R5" s="5"/>
      <c r="S5" s="5"/>
    </row>
    <row r="6" spans="1:20" ht="13.5" customHeight="1">
      <c r="B6" s="802"/>
      <c r="C6" s="803"/>
      <c r="D6" s="803"/>
      <c r="E6" s="1"/>
      <c r="F6" s="1"/>
      <c r="G6" s="1"/>
      <c r="H6" s="1"/>
      <c r="I6" s="1"/>
      <c r="J6" s="1"/>
      <c r="K6" s="1"/>
      <c r="L6" s="1"/>
      <c r="M6" s="1"/>
      <c r="N6" s="1"/>
      <c r="O6" s="1"/>
      <c r="P6" s="1"/>
      <c r="Q6" s="1"/>
      <c r="R6" s="1"/>
      <c r="S6" s="1"/>
    </row>
    <row r="7" spans="1:20" ht="13.5" customHeight="1">
      <c r="B7" s="802"/>
      <c r="C7" s="803"/>
      <c r="D7" s="803"/>
      <c r="E7" s="1"/>
      <c r="F7" s="2608" t="s">
        <v>144</v>
      </c>
      <c r="G7" s="2608"/>
      <c r="H7" s="2608"/>
      <c r="I7" s="1"/>
      <c r="J7" s="1"/>
      <c r="K7" s="1"/>
      <c r="L7" s="1"/>
      <c r="M7" s="1"/>
      <c r="N7" s="1"/>
      <c r="O7" s="1"/>
      <c r="P7" s="1"/>
      <c r="Q7" s="1"/>
      <c r="R7" s="1"/>
      <c r="S7" s="1"/>
    </row>
    <row r="8" spans="1:20" ht="13.5" customHeight="1" thickBot="1">
      <c r="B8" s="802"/>
      <c r="C8" s="803"/>
      <c r="D8" s="803"/>
      <c r="E8" s="1"/>
      <c r="F8" s="1"/>
      <c r="G8" s="1"/>
      <c r="H8" s="1"/>
      <c r="I8" s="1"/>
      <c r="J8" s="1"/>
      <c r="K8" s="1"/>
      <c r="L8" s="1"/>
      <c r="M8" s="1"/>
      <c r="N8" s="1"/>
      <c r="O8" s="1"/>
      <c r="P8" s="1"/>
      <c r="Q8" s="1"/>
      <c r="R8" s="1"/>
      <c r="S8" s="1"/>
    </row>
    <row r="9" spans="1:20" ht="13.5" customHeight="1">
      <c r="B9" s="2789" t="s">
        <v>870</v>
      </c>
      <c r="C9" s="3582"/>
      <c r="D9" s="3583"/>
      <c r="E9" s="3578" t="s">
        <v>145</v>
      </c>
      <c r="F9" s="3579"/>
      <c r="G9" s="3570">
        <f>調書!F8</f>
        <v>0</v>
      </c>
      <c r="H9" s="3571"/>
      <c r="I9" s="3571"/>
      <c r="J9" s="3572"/>
      <c r="K9" s="3568" t="s">
        <v>146</v>
      </c>
      <c r="L9" s="3570">
        <f>調書!AD8</f>
        <v>0</v>
      </c>
      <c r="M9" s="3571"/>
      <c r="N9" s="3572"/>
      <c r="O9" s="3568" t="s">
        <v>526</v>
      </c>
      <c r="P9" s="3564">
        <f>調書!E11</f>
        <v>0</v>
      </c>
      <c r="Q9" s="3565"/>
      <c r="R9" s="3620" t="s">
        <v>147</v>
      </c>
      <c r="S9" s="3621"/>
      <c r="T9" s="25" t="b">
        <v>1</v>
      </c>
    </row>
    <row r="10" spans="1:20" ht="13.5" customHeight="1" thickBot="1">
      <c r="B10" s="3584"/>
      <c r="C10" s="3585"/>
      <c r="D10" s="3586"/>
      <c r="E10" s="3580"/>
      <c r="F10" s="3581"/>
      <c r="G10" s="3573"/>
      <c r="H10" s="3574"/>
      <c r="I10" s="3574"/>
      <c r="J10" s="3575"/>
      <c r="K10" s="3569"/>
      <c r="L10" s="3573"/>
      <c r="M10" s="3574"/>
      <c r="N10" s="3575"/>
      <c r="O10" s="3569"/>
      <c r="P10" s="3566"/>
      <c r="Q10" s="3567"/>
      <c r="R10" s="3622"/>
      <c r="S10" s="3623"/>
      <c r="T10" s="25" t="b">
        <v>1</v>
      </c>
    </row>
    <row r="11" spans="1:20" ht="13.5" customHeight="1">
      <c r="B11" s="3589" t="s">
        <v>148</v>
      </c>
      <c r="C11" s="137"/>
      <c r="D11" s="139"/>
      <c r="E11" s="3576" t="s">
        <v>149</v>
      </c>
      <c r="F11" s="3577"/>
      <c r="G11" s="205" t="s">
        <v>150</v>
      </c>
      <c r="H11" s="204"/>
      <c r="I11" s="204"/>
      <c r="J11" s="204"/>
      <c r="K11" s="204"/>
      <c r="L11" s="204"/>
      <c r="M11" s="206"/>
      <c r="N11" s="538" t="s">
        <v>524</v>
      </c>
      <c r="O11" s="538" t="s">
        <v>151</v>
      </c>
      <c r="P11" s="805" t="s">
        <v>152</v>
      </c>
      <c r="Q11" s="806" t="s">
        <v>790</v>
      </c>
      <c r="R11" s="3296" t="s">
        <v>791</v>
      </c>
      <c r="S11" s="3296"/>
      <c r="T11" s="25" t="b">
        <f>COUNTA(H12,H14,H16)&lt;&gt;0</f>
        <v>0</v>
      </c>
    </row>
    <row r="12" spans="1:20" ht="13.5" customHeight="1">
      <c r="A12">
        <f>ROW()</f>
        <v>12</v>
      </c>
      <c r="B12" s="3590"/>
      <c r="C12" s="2681" t="s">
        <v>792</v>
      </c>
      <c r="D12" s="2682"/>
      <c r="E12" s="3250" t="e">
        <f>VLOOKUP($L$9,動力,2,0)</f>
        <v>#N/A</v>
      </c>
      <c r="F12" s="3252"/>
      <c r="G12" s="3495" t="s">
        <v>793</v>
      </c>
      <c r="H12" s="807"/>
      <c r="I12" s="808" t="e">
        <f>VLOOKUP($L$9,動力,5,0)</f>
        <v>#N/A</v>
      </c>
      <c r="J12" s="809" t="e">
        <f>VLOOKUP($L$9,動力,7,0)</f>
        <v>#N/A</v>
      </c>
      <c r="K12" s="809" t="e">
        <f>VLOOKUP($L$9,動力,9,0)</f>
        <v>#N/A</v>
      </c>
      <c r="L12" s="341"/>
      <c r="M12" s="811"/>
      <c r="N12" s="3461" t="e">
        <f>ROUNDDOWN(H13*H15*H18*H20,2)</f>
        <v>#N/A</v>
      </c>
      <c r="O12" s="3450" t="e">
        <f>INT(E12*N12)</f>
        <v>#N/A</v>
      </c>
      <c r="P12" s="3453">
        <f>$P$9</f>
        <v>0</v>
      </c>
      <c r="Q12" s="3506" t="s">
        <v>1634</v>
      </c>
      <c r="R12" s="3250">
        <f>IF(ISERROR(INT(O12*P12)),0,INT(O12*P12))</f>
        <v>0</v>
      </c>
      <c r="S12" s="3252"/>
      <c r="T12" s="25" t="b">
        <f t="shared" ref="T12:T20" si="0">T$11</f>
        <v>0</v>
      </c>
    </row>
    <row r="13" spans="1:20" ht="13.5" customHeight="1">
      <c r="B13" s="3590"/>
      <c r="C13" s="2681"/>
      <c r="D13" s="2682"/>
      <c r="E13" s="3245"/>
      <c r="F13" s="3247"/>
      <c r="G13" s="3494"/>
      <c r="H13" s="813" t="e">
        <f>HLOOKUP(H12,I12:M13,2,0)</f>
        <v>#N/A</v>
      </c>
      <c r="I13" s="814" t="e">
        <f>VLOOKUP($L$9,動力,6,0)</f>
        <v>#N/A</v>
      </c>
      <c r="J13" s="815" t="e">
        <f>VLOOKUP($L$9,動力,8,0)</f>
        <v>#N/A</v>
      </c>
      <c r="K13" s="815" t="e">
        <f>VLOOKUP($L$9,動力,10,0)</f>
        <v>#N/A</v>
      </c>
      <c r="L13" s="817"/>
      <c r="M13" s="817"/>
      <c r="N13" s="3462"/>
      <c r="O13" s="3451"/>
      <c r="P13" s="3454"/>
      <c r="Q13" s="3459"/>
      <c r="R13" s="3245"/>
      <c r="S13" s="3247"/>
      <c r="T13" s="25" t="b">
        <f t="shared" si="0"/>
        <v>0</v>
      </c>
    </row>
    <row r="14" spans="1:20" ht="13.5" customHeight="1">
      <c r="B14" s="3590"/>
      <c r="C14" s="2681"/>
      <c r="D14" s="2682"/>
      <c r="E14" s="3245"/>
      <c r="F14" s="3247"/>
      <c r="G14" s="3494" t="s">
        <v>794</v>
      </c>
      <c r="H14" s="818"/>
      <c r="I14" s="819" t="e">
        <f>VLOOKUP($L$9,動力,20,0)</f>
        <v>#N/A</v>
      </c>
      <c r="J14" s="820" t="e">
        <f>VLOOKUP($L$9,動力,22,0)</f>
        <v>#N/A</v>
      </c>
      <c r="K14" s="821" t="e">
        <f>VLOOKUP($L$9,動力,24,0)</f>
        <v>#N/A</v>
      </c>
      <c r="L14" s="810"/>
      <c r="M14" s="341"/>
      <c r="N14" s="3462"/>
      <c r="O14" s="3451"/>
      <c r="P14" s="3454"/>
      <c r="Q14" s="3459"/>
      <c r="R14" s="3245"/>
      <c r="S14" s="3247"/>
      <c r="T14" s="25" t="b">
        <f t="shared" si="0"/>
        <v>0</v>
      </c>
    </row>
    <row r="15" spans="1:20" ht="13.5" customHeight="1">
      <c r="B15" s="3590"/>
      <c r="C15" s="2681"/>
      <c r="D15" s="2682"/>
      <c r="E15" s="3245"/>
      <c r="F15" s="3247"/>
      <c r="G15" s="3494"/>
      <c r="H15" s="813" t="e">
        <f>HLOOKUP(H14,I14:M15,2,0)</f>
        <v>#N/A</v>
      </c>
      <c r="I15" s="814" t="e">
        <f>VLOOKUP($L$9,動力,21,0)</f>
        <v>#N/A</v>
      </c>
      <c r="J15" s="822" t="e">
        <f>VLOOKUP($L$9,動力,23,0)</f>
        <v>#N/A</v>
      </c>
      <c r="K15" s="815" t="e">
        <f>VLOOKUP($L$9,動力,25,0)</f>
        <v>#N/A</v>
      </c>
      <c r="L15" s="823"/>
      <c r="M15" s="817"/>
      <c r="N15" s="3462"/>
      <c r="O15" s="3451"/>
      <c r="P15" s="3454"/>
      <c r="Q15" s="3459"/>
      <c r="R15" s="3245"/>
      <c r="S15" s="3247"/>
      <c r="T15" s="25" t="b">
        <f t="shared" si="0"/>
        <v>0</v>
      </c>
    </row>
    <row r="16" spans="1:20" ht="13.5" customHeight="1">
      <c r="B16" s="3590"/>
      <c r="C16" s="2681"/>
      <c r="D16" s="2682"/>
      <c r="E16" s="3245"/>
      <c r="F16" s="3247"/>
      <c r="G16" s="3494" t="s">
        <v>795</v>
      </c>
      <c r="H16" s="818"/>
      <c r="I16" s="819" t="e">
        <f>VLOOKUP($L$9,動力,26,0)</f>
        <v>#N/A</v>
      </c>
      <c r="J16" s="820" t="e">
        <f>VLOOKUP($L$9,動力,29,0)</f>
        <v>#N/A</v>
      </c>
      <c r="K16" s="824" t="e">
        <f>VLOOKUP($L$9,動力,32,0)</f>
        <v>#N/A</v>
      </c>
      <c r="L16" s="825" t="s">
        <v>848</v>
      </c>
      <c r="M16" s="341"/>
      <c r="N16" s="3462"/>
      <c r="O16" s="3451"/>
      <c r="P16" s="3454"/>
      <c r="Q16" s="3459"/>
      <c r="R16" s="3245"/>
      <c r="S16" s="3247"/>
      <c r="T16" s="25" t="b">
        <f t="shared" si="0"/>
        <v>0</v>
      </c>
    </row>
    <row r="17" spans="2:20" ht="13.5" customHeight="1">
      <c r="B17" s="3590"/>
      <c r="C17" s="2681"/>
      <c r="D17" s="2682"/>
      <c r="E17" s="3245"/>
      <c r="F17" s="3247"/>
      <c r="G17" s="3494"/>
      <c r="H17" s="1687" t="e">
        <f>HLOOKUP(H16,I16:M18,2,0)</f>
        <v>#N/A</v>
      </c>
      <c r="I17" s="1688" t="e">
        <f>VLOOKUP($L$9,動力,27,0)</f>
        <v>#N/A</v>
      </c>
      <c r="J17" s="1689" t="e">
        <f>VLOOKUP($L$9,動力,30,0)</f>
        <v>#N/A</v>
      </c>
      <c r="K17" s="1690" t="e">
        <f>VLOOKUP($L$9,動力,33,0)</f>
        <v>#N/A</v>
      </c>
      <c r="L17" s="1691" t="str">
        <f>IF(H23&lt;&gt;0,Q23,"-")</f>
        <v>-</v>
      </c>
      <c r="M17" s="817"/>
      <c r="N17" s="3462"/>
      <c r="O17" s="3451"/>
      <c r="P17" s="3454"/>
      <c r="Q17" s="3459"/>
      <c r="R17" s="3245"/>
      <c r="S17" s="3247"/>
      <c r="T17" s="25" t="b">
        <f t="shared" si="0"/>
        <v>0</v>
      </c>
    </row>
    <row r="18" spans="2:20" ht="13.5" customHeight="1">
      <c r="B18" s="3590"/>
      <c r="C18" s="2681"/>
      <c r="D18" s="2682"/>
      <c r="E18" s="3245"/>
      <c r="F18" s="3247"/>
      <c r="G18" s="3494"/>
      <c r="H18" s="813" t="e">
        <f>HLOOKUP(H16,I16:M18,3,0)</f>
        <v>#N/A</v>
      </c>
      <c r="I18" s="814" t="e">
        <f>VLOOKUP($L$9,動力,28,0)</f>
        <v>#N/A</v>
      </c>
      <c r="J18" s="822" t="e">
        <f>VLOOKUP($L$9,動力,31,0)</f>
        <v>#N/A</v>
      </c>
      <c r="K18" s="831" t="e">
        <f>VLOOKUP($L$9,動力,34,0)</f>
        <v>#N/A</v>
      </c>
      <c r="L18" s="832" t="str">
        <f>IF(H23&lt;&gt;0,ROUNDDOWN(IF(L17&gt;J17,(I18-J18)/(I17-J17),(J18-K18)/(J17-K17))*(L17-J17)+1,2),"-")</f>
        <v>-</v>
      </c>
      <c r="M18" s="817"/>
      <c r="N18" s="3462"/>
      <c r="O18" s="3451"/>
      <c r="P18" s="3454"/>
      <c r="Q18" s="3459"/>
      <c r="R18" s="3245"/>
      <c r="S18" s="3247"/>
      <c r="T18" s="25" t="b">
        <f t="shared" si="0"/>
        <v>0</v>
      </c>
    </row>
    <row r="19" spans="2:20" ht="13.5" customHeight="1">
      <c r="B19" s="3590"/>
      <c r="C19" s="2681"/>
      <c r="D19" s="2682"/>
      <c r="E19" s="3245"/>
      <c r="F19" s="3247"/>
      <c r="G19" s="3494" t="s">
        <v>763</v>
      </c>
      <c r="H19" s="833">
        <f>$P$9</f>
        <v>0</v>
      </c>
      <c r="I19" s="834" t="e">
        <f>VLOOKUP($L$9,動力,35,0)</f>
        <v>#N/A</v>
      </c>
      <c r="J19" s="835" t="e">
        <f>VLOOKUP($L$9,動力,37,0)</f>
        <v>#N/A</v>
      </c>
      <c r="K19" s="836" t="e">
        <f>VLOOKUP($L$9,動力,39,0)</f>
        <v>#N/A</v>
      </c>
      <c r="L19" s="810"/>
      <c r="M19" s="341"/>
      <c r="N19" s="3462"/>
      <c r="O19" s="3451"/>
      <c r="P19" s="3454"/>
      <c r="Q19" s="3459"/>
      <c r="R19" s="3245"/>
      <c r="S19" s="3247"/>
      <c r="T19" s="25" t="b">
        <f t="shared" si="0"/>
        <v>0</v>
      </c>
    </row>
    <row r="20" spans="2:20" ht="13.5" customHeight="1">
      <c r="B20" s="3590"/>
      <c r="C20" s="2681"/>
      <c r="D20" s="2682"/>
      <c r="E20" s="3248"/>
      <c r="F20" s="3249"/>
      <c r="G20" s="3494"/>
      <c r="H20" s="813" t="e">
        <f>MIN(I20,MAX(K20,ROUNDDOWN(J20+(H19-J19)*IF(H19&lt;J19,(I20-J20)/(I19-J19),(J20-K20)/(J19-K19)),2)))</f>
        <v>#N/A</v>
      </c>
      <c r="I20" s="814" t="e">
        <f>VLOOKUP($L$9,動力,36,0)</f>
        <v>#N/A</v>
      </c>
      <c r="J20" s="822" t="e">
        <f>VLOOKUP($L$9,動力,38,0)</f>
        <v>#N/A</v>
      </c>
      <c r="K20" s="815" t="e">
        <f>VLOOKUP($L$9,動力,40,0)</f>
        <v>#N/A</v>
      </c>
      <c r="L20" s="816"/>
      <c r="M20" s="837"/>
      <c r="N20" s="3463"/>
      <c r="O20" s="3452"/>
      <c r="P20" s="2815"/>
      <c r="Q20" s="3460"/>
      <c r="R20" s="3248"/>
      <c r="S20" s="3249"/>
      <c r="T20" s="25" t="b">
        <f t="shared" si="0"/>
        <v>0</v>
      </c>
    </row>
    <row r="21" spans="2:20" ht="6" customHeight="1">
      <c r="B21" s="3590"/>
      <c r="C21" s="2681"/>
      <c r="D21" s="2682"/>
      <c r="E21" s="530"/>
      <c r="F21" s="510"/>
      <c r="G21" s="510"/>
      <c r="H21" s="510"/>
      <c r="I21" s="510"/>
      <c r="J21" s="510"/>
      <c r="K21" s="510"/>
      <c r="L21" s="510"/>
      <c r="M21" s="510"/>
      <c r="N21" s="510"/>
      <c r="O21" s="510"/>
      <c r="P21" s="510"/>
      <c r="Q21" s="510"/>
      <c r="R21" s="510"/>
      <c r="S21" s="531"/>
      <c r="T21" s="25" t="b">
        <f>+$H$23&lt;&gt;0</f>
        <v>0</v>
      </c>
    </row>
    <row r="22" spans="2:20" ht="13.5" customHeight="1">
      <c r="B22" s="3590"/>
      <c r="C22" s="2681"/>
      <c r="D22" s="2682"/>
      <c r="E22" s="530"/>
      <c r="F22" s="510"/>
      <c r="G22" s="3494" t="s">
        <v>848</v>
      </c>
      <c r="H22" s="812" t="s">
        <v>797</v>
      </c>
      <c r="I22" s="838" t="s">
        <v>798</v>
      </c>
      <c r="J22" s="839" t="s">
        <v>153</v>
      </c>
      <c r="K22" s="839" t="s">
        <v>154</v>
      </c>
      <c r="L22" s="840" t="s">
        <v>67</v>
      </c>
      <c r="M22" s="840" t="s">
        <v>67</v>
      </c>
      <c r="N22" s="840" t="s">
        <v>67</v>
      </c>
      <c r="O22" s="840" t="s">
        <v>67</v>
      </c>
      <c r="P22" s="812" t="s">
        <v>526</v>
      </c>
      <c r="Q22" s="1638" t="s">
        <v>1424</v>
      </c>
      <c r="S22" s="531"/>
      <c r="T22" s="25" t="b">
        <f>+$T$21</f>
        <v>0</v>
      </c>
    </row>
    <row r="23" spans="2:20" ht="13.5" customHeight="1">
      <c r="B23" s="3590"/>
      <c r="C23" s="2681"/>
      <c r="D23" s="2682"/>
      <c r="E23" s="530"/>
      <c r="F23" s="510"/>
      <c r="G23" s="3494"/>
      <c r="H23" s="1685">
        <f>SUM(I23:O23)</f>
        <v>0</v>
      </c>
      <c r="I23" s="841"/>
      <c r="J23" s="842"/>
      <c r="K23" s="842"/>
      <c r="L23" s="842"/>
      <c r="M23" s="842"/>
      <c r="N23" s="842"/>
      <c r="O23" s="842"/>
      <c r="P23" s="843">
        <f>$P$9</f>
        <v>0</v>
      </c>
      <c r="Q23" s="1686" t="e">
        <f>ROUNDDOWN(H23/P23*100,2)</f>
        <v>#DIV/0!</v>
      </c>
      <c r="S23" s="531"/>
      <c r="T23" s="25" t="b">
        <f>+$T$21</f>
        <v>0</v>
      </c>
    </row>
    <row r="24" spans="2:20" ht="6" customHeight="1">
      <c r="B24" s="3590"/>
      <c r="C24" s="2684"/>
      <c r="D24" s="2686"/>
      <c r="E24" s="532"/>
      <c r="F24" s="221"/>
      <c r="G24" s="221"/>
      <c r="H24" s="221"/>
      <c r="I24" s="221"/>
      <c r="J24" s="221"/>
      <c r="K24" s="221"/>
      <c r="L24" s="221"/>
      <c r="M24" s="221"/>
      <c r="N24" s="221"/>
      <c r="O24" s="221"/>
      <c r="P24" s="221"/>
      <c r="Q24" s="221"/>
      <c r="R24" s="221"/>
      <c r="S24" s="220"/>
      <c r="T24" s="25" t="b">
        <f>+$T$21</f>
        <v>0</v>
      </c>
    </row>
    <row r="25" spans="2:20" ht="13.5" customHeight="1">
      <c r="B25" s="3590"/>
      <c r="C25" s="137"/>
      <c r="D25" s="139"/>
      <c r="E25" s="3497" t="s">
        <v>149</v>
      </c>
      <c r="F25" s="3498"/>
      <c r="G25" s="34" t="s">
        <v>150</v>
      </c>
      <c r="H25" s="32"/>
      <c r="I25" s="32"/>
      <c r="J25" s="32"/>
      <c r="K25" s="32"/>
      <c r="L25" s="32"/>
      <c r="M25" s="33"/>
      <c r="N25" s="536" t="s">
        <v>524</v>
      </c>
      <c r="O25" s="536" t="s">
        <v>151</v>
      </c>
      <c r="P25" s="844" t="s">
        <v>152</v>
      </c>
      <c r="Q25" s="845" t="s">
        <v>1425</v>
      </c>
      <c r="R25" s="3313" t="s">
        <v>791</v>
      </c>
      <c r="S25" s="3313"/>
      <c r="T25" s="25" t="b">
        <f>COUNTA(H26,H29,I33:P33)&lt;&gt;0</f>
        <v>0</v>
      </c>
    </row>
    <row r="26" spans="2:20" ht="13.5" customHeight="1">
      <c r="B26" s="3590"/>
      <c r="C26" s="2681" t="s">
        <v>155</v>
      </c>
      <c r="D26" s="2682"/>
      <c r="E26" s="3250" t="e">
        <f>VLOOKUP($L$9,動力,2,0)</f>
        <v>#N/A</v>
      </c>
      <c r="F26" s="3252"/>
      <c r="G26" s="3494" t="s">
        <v>156</v>
      </c>
      <c r="H26" s="818"/>
      <c r="I26" s="846" t="e">
        <f>VLOOKUP($L$9,動力,11,0)</f>
        <v>#N/A</v>
      </c>
      <c r="J26" s="820" t="e">
        <f>VLOOKUP($L$9,動力,14,0)</f>
        <v>#N/A</v>
      </c>
      <c r="K26" s="820" t="e">
        <f>VLOOKUP($L$9,動力,17,0)</f>
        <v>#N/A</v>
      </c>
      <c r="L26" s="825" t="s">
        <v>848</v>
      </c>
      <c r="M26" s="847"/>
      <c r="N26" s="3461" t="e">
        <f>ROUNDDOWN(H28*H30,2)</f>
        <v>#N/A</v>
      </c>
      <c r="O26" s="3450" t="e">
        <f>INT(E26*N26)</f>
        <v>#N/A</v>
      </c>
      <c r="P26" s="3453">
        <f>H33</f>
        <v>0</v>
      </c>
      <c r="Q26" s="3506" t="s">
        <v>1635</v>
      </c>
      <c r="R26" s="3250">
        <f>IF(ISERROR(INT(O26*P26)),0,INT(O26*P26))</f>
        <v>0</v>
      </c>
      <c r="S26" s="3252"/>
      <c r="T26" s="25" t="b">
        <f t="shared" ref="T26:T30" si="1">T$25</f>
        <v>0</v>
      </c>
    </row>
    <row r="27" spans="2:20" ht="13.5" customHeight="1">
      <c r="B27" s="3590"/>
      <c r="C27" s="2681"/>
      <c r="D27" s="2682"/>
      <c r="E27" s="3245"/>
      <c r="F27" s="3247"/>
      <c r="G27" s="3494"/>
      <c r="H27" s="1687" t="e">
        <f>HLOOKUP(H26,I26:M28,2,0)</f>
        <v>#N/A</v>
      </c>
      <c r="I27" s="1692" t="e">
        <f>VLOOKUP($L$9,動力,12,0)</f>
        <v>#N/A</v>
      </c>
      <c r="J27" s="1689" t="e">
        <f>VLOOKUP($L$9,動力,15,0)</f>
        <v>#N/A</v>
      </c>
      <c r="K27" s="1689" t="e">
        <f>VLOOKUP($L$9,動力,18,0)</f>
        <v>#N/A</v>
      </c>
      <c r="L27" s="1691" t="str">
        <f>IF(H33&lt;&gt;0,H33,"-")</f>
        <v>-</v>
      </c>
      <c r="M27" s="848"/>
      <c r="N27" s="3462"/>
      <c r="O27" s="3451"/>
      <c r="P27" s="3454"/>
      <c r="Q27" s="3459"/>
      <c r="R27" s="3245"/>
      <c r="S27" s="3247"/>
      <c r="T27" s="25" t="b">
        <f t="shared" si="1"/>
        <v>0</v>
      </c>
    </row>
    <row r="28" spans="2:20" ht="13.5" customHeight="1">
      <c r="B28" s="3590"/>
      <c r="C28" s="2681"/>
      <c r="D28" s="2682"/>
      <c r="E28" s="3245"/>
      <c r="F28" s="3247"/>
      <c r="G28" s="3494"/>
      <c r="H28" s="813" t="e">
        <f>HLOOKUP(H26,I26:L28,3,0)</f>
        <v>#N/A</v>
      </c>
      <c r="I28" s="849" t="e">
        <f>VLOOKUP($L$9,動力,13,0)</f>
        <v>#N/A</v>
      </c>
      <c r="J28" s="822" t="e">
        <f>VLOOKUP($L$9,動力,16,0)</f>
        <v>#N/A</v>
      </c>
      <c r="K28" s="822" t="e">
        <f>VLOOKUP($L$9,動力,19,0)</f>
        <v>#N/A</v>
      </c>
      <c r="L28" s="832" t="str">
        <f>IF(H33&lt;&gt;0,ROUNDDOWN(1+(L27-J27)*IF(L27&lt;J27,(I28-J28)/(I27-J27),(J28-K28)/(J27-K27)),2),"-")</f>
        <v>-</v>
      </c>
      <c r="M28" s="848"/>
      <c r="N28" s="3462"/>
      <c r="O28" s="3451"/>
      <c r="P28" s="3454"/>
      <c r="Q28" s="3459"/>
      <c r="R28" s="3245"/>
      <c r="S28" s="3247"/>
      <c r="T28" s="25" t="b">
        <f t="shared" si="1"/>
        <v>0</v>
      </c>
    </row>
    <row r="29" spans="2:20" ht="13.5" customHeight="1">
      <c r="B29" s="3590"/>
      <c r="C29" s="2681"/>
      <c r="D29" s="2682"/>
      <c r="E29" s="3245"/>
      <c r="F29" s="3247"/>
      <c r="G29" s="3494" t="s">
        <v>794</v>
      </c>
      <c r="H29" s="818"/>
      <c r="I29" s="819" t="e">
        <f>VLOOKUP($L$9,動力,20,0)</f>
        <v>#N/A</v>
      </c>
      <c r="J29" s="820" t="e">
        <f>VLOOKUP($L$9,動力,22,0)</f>
        <v>#N/A</v>
      </c>
      <c r="K29" s="821" t="e">
        <f>VLOOKUP($L$9,動力,24,0)</f>
        <v>#N/A</v>
      </c>
      <c r="L29" s="817"/>
      <c r="M29" s="848"/>
      <c r="N29" s="3462"/>
      <c r="O29" s="3451"/>
      <c r="P29" s="3454"/>
      <c r="Q29" s="3459"/>
      <c r="R29" s="3245"/>
      <c r="S29" s="3247"/>
      <c r="T29" s="25" t="b">
        <f t="shared" si="1"/>
        <v>0</v>
      </c>
    </row>
    <row r="30" spans="2:20" ht="13.5" customHeight="1">
      <c r="B30" s="3590"/>
      <c r="C30" s="2681"/>
      <c r="D30" s="2682"/>
      <c r="E30" s="3248"/>
      <c r="F30" s="3249"/>
      <c r="G30" s="3494"/>
      <c r="H30" s="813" t="e">
        <f>HLOOKUP(H29,I29:M30,2,0)</f>
        <v>#N/A</v>
      </c>
      <c r="I30" s="814" t="e">
        <f>VLOOKUP($L$9,動力,21,0)</f>
        <v>#N/A</v>
      </c>
      <c r="J30" s="822" t="e">
        <f>VLOOKUP($L$9,動力,23,0)</f>
        <v>#N/A</v>
      </c>
      <c r="K30" s="815" t="e">
        <f>VLOOKUP($L$9,動力,25,0)</f>
        <v>#N/A</v>
      </c>
      <c r="L30" s="837"/>
      <c r="M30" s="850"/>
      <c r="N30" s="3463"/>
      <c r="O30" s="3452"/>
      <c r="P30" s="2815"/>
      <c r="Q30" s="3460"/>
      <c r="R30" s="3248"/>
      <c r="S30" s="3249"/>
      <c r="T30" s="25" t="b">
        <f t="shared" si="1"/>
        <v>0</v>
      </c>
    </row>
    <row r="31" spans="2:20" ht="6" customHeight="1">
      <c r="B31" s="3590"/>
      <c r="C31" s="2681"/>
      <c r="D31" s="2682"/>
      <c r="E31" s="510"/>
      <c r="F31" s="510"/>
      <c r="G31" s="510"/>
      <c r="H31" s="510"/>
      <c r="I31" s="510"/>
      <c r="J31" s="510"/>
      <c r="K31" s="510"/>
      <c r="L31" s="510"/>
      <c r="M31" s="510"/>
      <c r="N31" s="510"/>
      <c r="O31" s="510"/>
      <c r="P31" s="510"/>
      <c r="Q31" s="510"/>
      <c r="R31" s="510"/>
      <c r="S31" s="531"/>
      <c r="T31" s="25" t="b">
        <f>+$H$33&lt;&gt;0</f>
        <v>0</v>
      </c>
    </row>
    <row r="32" spans="2:20" ht="13.5" customHeight="1">
      <c r="B32" s="3590"/>
      <c r="C32" s="2681"/>
      <c r="D32" s="2682"/>
      <c r="E32" s="510"/>
      <c r="F32" s="510"/>
      <c r="G32" s="3494" t="s">
        <v>848</v>
      </c>
      <c r="H32" s="812" t="s">
        <v>797</v>
      </c>
      <c r="I32" s="838" t="s">
        <v>798</v>
      </c>
      <c r="J32" s="839" t="s">
        <v>153</v>
      </c>
      <c r="K32" s="839" t="s">
        <v>154</v>
      </c>
      <c r="L32" s="840" t="s">
        <v>67</v>
      </c>
      <c r="M32" s="840" t="s">
        <v>67</v>
      </c>
      <c r="N32" s="840" t="s">
        <v>67</v>
      </c>
      <c r="O32" s="851" t="s">
        <v>67</v>
      </c>
      <c r="P32" s="510"/>
      <c r="Q32" s="510"/>
      <c r="R32" s="510"/>
      <c r="S32" s="531"/>
      <c r="T32" s="25" t="b">
        <f>+$T$31</f>
        <v>0</v>
      </c>
    </row>
    <row r="33" spans="1:21" ht="13.5" customHeight="1">
      <c r="B33" s="3590"/>
      <c r="C33" s="2681"/>
      <c r="D33" s="2682"/>
      <c r="E33" s="510"/>
      <c r="F33" s="510"/>
      <c r="G33" s="3494"/>
      <c r="H33" s="1693">
        <f>SUM(I33:O33)</f>
        <v>0</v>
      </c>
      <c r="I33" s="841"/>
      <c r="J33" s="842"/>
      <c r="K33" s="842"/>
      <c r="L33" s="842"/>
      <c r="M33" s="842"/>
      <c r="N33" s="842"/>
      <c r="O33" s="852"/>
      <c r="P33" s="510"/>
      <c r="Q33" s="510"/>
      <c r="R33" s="510"/>
      <c r="S33" s="531"/>
      <c r="T33" s="25" t="b">
        <f t="shared" ref="T33:T34" si="2">+$T$31</f>
        <v>0</v>
      </c>
    </row>
    <row r="34" spans="1:21" ht="6" customHeight="1">
      <c r="B34" s="3590"/>
      <c r="C34" s="2684"/>
      <c r="D34" s="2686"/>
      <c r="E34" s="221"/>
      <c r="F34" s="221"/>
      <c r="G34" s="221"/>
      <c r="H34" s="221"/>
      <c r="I34" s="221"/>
      <c r="J34" s="221"/>
      <c r="K34" s="221"/>
      <c r="L34" s="221"/>
      <c r="M34" s="221"/>
      <c r="N34" s="221"/>
      <c r="O34" s="221"/>
      <c r="P34" s="221"/>
      <c r="Q34" s="221"/>
      <c r="R34" s="221"/>
      <c r="S34" s="220"/>
      <c r="T34" s="25" t="b">
        <f t="shared" si="2"/>
        <v>0</v>
      </c>
    </row>
    <row r="35" spans="1:21" ht="13.5" customHeight="1">
      <c r="B35" s="3590"/>
      <c r="C35" s="3587" t="s">
        <v>2363</v>
      </c>
      <c r="D35" s="3588"/>
      <c r="E35" s="3477" t="s">
        <v>149</v>
      </c>
      <c r="F35" s="3478"/>
      <c r="G35" s="1502" t="s">
        <v>150</v>
      </c>
      <c r="H35" s="2356"/>
      <c r="I35" s="2356"/>
      <c r="J35" s="2356"/>
      <c r="K35" s="2356"/>
      <c r="L35" s="2356"/>
      <c r="M35" s="2357"/>
      <c r="N35" s="2335" t="s">
        <v>524</v>
      </c>
      <c r="O35" s="2335" t="s">
        <v>151</v>
      </c>
      <c r="P35" s="2393" t="s">
        <v>152</v>
      </c>
      <c r="Q35" s="2394" t="s">
        <v>790</v>
      </c>
      <c r="R35" s="3448" t="s">
        <v>791</v>
      </c>
      <c r="S35" s="3448"/>
      <c r="T35" s="2395" t="b">
        <f>R36&lt;&gt;0</f>
        <v>0</v>
      </c>
    </row>
    <row r="36" spans="1:21" ht="13.5" customHeight="1">
      <c r="A36">
        <f>ROW()</f>
        <v>36</v>
      </c>
      <c r="B36" s="3590"/>
      <c r="C36" s="2681"/>
      <c r="D36" s="2683"/>
      <c r="E36" s="3606" t="e">
        <f>IF((L9="工場・倉庫・市場"),"-",VLOOKUP($L$9,電灯,2,0))</f>
        <v>#N/A</v>
      </c>
      <c r="F36" s="3474"/>
      <c r="G36" s="3448" t="s">
        <v>2311</v>
      </c>
      <c r="H36" s="818"/>
      <c r="I36" s="2396" t="s">
        <v>2354</v>
      </c>
      <c r="J36" s="2397"/>
      <c r="K36" s="2397"/>
      <c r="L36" s="2398"/>
      <c r="M36" s="2026"/>
      <c r="N36" s="3479">
        <v>1</v>
      </c>
      <c r="O36" s="3492" t="e">
        <f>INT(E36*N36)</f>
        <v>#N/A</v>
      </c>
      <c r="P36" s="3615" t="e">
        <f>H37</f>
        <v>#N/A</v>
      </c>
      <c r="Q36" s="3471" t="s">
        <v>157</v>
      </c>
      <c r="R36" s="3606">
        <f>IF(ISERROR(INT(O36*P36)),0,INT(O36*P36))</f>
        <v>0</v>
      </c>
      <c r="S36" s="3474"/>
      <c r="T36" s="2395" t="b">
        <f t="shared" ref="T36:T37" si="3">T$35</f>
        <v>0</v>
      </c>
    </row>
    <row r="37" spans="1:21" ht="13.5" customHeight="1">
      <c r="B37" s="3590"/>
      <c r="C37" s="3490"/>
      <c r="D37" s="3491"/>
      <c r="E37" s="3475"/>
      <c r="F37" s="3476"/>
      <c r="G37" s="3448"/>
      <c r="H37" s="813" t="e">
        <f>HLOOKUP(H36,I36:M37,2,0)</f>
        <v>#N/A</v>
      </c>
      <c r="I37" s="2399">
        <f>$P$9</f>
        <v>0</v>
      </c>
      <c r="J37" s="2012"/>
      <c r="K37" s="2012"/>
      <c r="L37" s="2027"/>
      <c r="M37" s="2028"/>
      <c r="N37" s="3480"/>
      <c r="O37" s="3493"/>
      <c r="P37" s="3534"/>
      <c r="Q37" s="3472"/>
      <c r="R37" s="3475"/>
      <c r="S37" s="3476"/>
      <c r="T37" s="2395" t="b">
        <f t="shared" si="3"/>
        <v>0</v>
      </c>
    </row>
    <row r="38" spans="1:21" s="2001" customFormat="1" ht="13.5" customHeight="1">
      <c r="B38" s="3590"/>
      <c r="C38" s="3587" t="s">
        <v>2364</v>
      </c>
      <c r="D38" s="3588"/>
      <c r="E38" s="3477" t="s">
        <v>149</v>
      </c>
      <c r="F38" s="3478"/>
      <c r="G38" s="1502" t="s">
        <v>150</v>
      </c>
      <c r="H38" s="2356"/>
      <c r="I38" s="2356"/>
      <c r="J38" s="2356"/>
      <c r="K38" s="2356"/>
      <c r="L38" s="2356"/>
      <c r="M38" s="2357"/>
      <c r="N38" s="2335" t="s">
        <v>524</v>
      </c>
      <c r="O38" s="2335" t="s">
        <v>151</v>
      </c>
      <c r="P38" s="2393" t="s">
        <v>152</v>
      </c>
      <c r="Q38" s="2394" t="s">
        <v>790</v>
      </c>
      <c r="R38" s="3448" t="s">
        <v>791</v>
      </c>
      <c r="S38" s="3448"/>
      <c r="T38" s="2395" t="b">
        <f>R39&lt;&gt;0</f>
        <v>0</v>
      </c>
      <c r="U38" s="2358"/>
    </row>
    <row r="39" spans="1:21" s="2001" customFormat="1" ht="13.5" customHeight="1">
      <c r="B39" s="3590"/>
      <c r="C39" s="2681"/>
      <c r="D39" s="2683"/>
      <c r="E39" s="3606" t="e">
        <f>VLOOKUP($L$9,電灯,2,0)</f>
        <v>#N/A</v>
      </c>
      <c r="F39" s="3474"/>
      <c r="G39" s="3448" t="s">
        <v>2088</v>
      </c>
      <c r="H39" s="818"/>
      <c r="I39" s="819" t="e">
        <f>VLOOKUP($L$9,電灯,3,0)</f>
        <v>#N/A</v>
      </c>
      <c r="J39" s="820" t="e">
        <f>VLOOKUP($L$9,電灯,5,0)</f>
        <v>#N/A</v>
      </c>
      <c r="K39" s="821" t="e">
        <f>VLOOKUP($L$9,電灯,7,0)</f>
        <v>#N/A</v>
      </c>
      <c r="L39" s="2322"/>
      <c r="M39" s="2322"/>
      <c r="N39" s="3616" t="e">
        <f>ROUNDDOWN(H40,2)</f>
        <v>#N/A</v>
      </c>
      <c r="O39" s="3618" t="e">
        <f>INT(E39*N39)</f>
        <v>#N/A</v>
      </c>
      <c r="P39" s="3615">
        <f>$P$9</f>
        <v>0</v>
      </c>
      <c r="Q39" s="3471" t="s">
        <v>68</v>
      </c>
      <c r="R39" s="3606">
        <f>IF(ISERROR(INT(O39*P39)),0,INT(O39*P39))</f>
        <v>0</v>
      </c>
      <c r="S39" s="3474"/>
      <c r="T39" s="2395" t="b">
        <f>T$38</f>
        <v>0</v>
      </c>
      <c r="U39" s="2358" t="s">
        <v>2261</v>
      </c>
    </row>
    <row r="40" spans="1:21" s="2001" customFormat="1" ht="13.5" customHeight="1">
      <c r="B40" s="3590"/>
      <c r="C40" s="3490"/>
      <c r="D40" s="3491"/>
      <c r="E40" s="3475"/>
      <c r="F40" s="3476"/>
      <c r="G40" s="3448"/>
      <c r="H40" s="813" t="e">
        <f>HLOOKUP(H39,I39:M40,2,0)</f>
        <v>#N/A</v>
      </c>
      <c r="I40" s="814" t="e">
        <f>VLOOKUP($L$9,電灯,4,0)</f>
        <v>#N/A</v>
      </c>
      <c r="J40" s="822" t="e">
        <f>VLOOKUP($L$9,電灯,6,0)</f>
        <v>#N/A</v>
      </c>
      <c r="K40" s="815" t="e">
        <f>VLOOKUP($L$9,電灯,8,0)</f>
        <v>#N/A</v>
      </c>
      <c r="L40" s="2322"/>
      <c r="M40" s="2322"/>
      <c r="N40" s="3617"/>
      <c r="O40" s="3619"/>
      <c r="P40" s="3534"/>
      <c r="Q40" s="3472"/>
      <c r="R40" s="3475"/>
      <c r="S40" s="3476"/>
      <c r="T40" s="2395" t="b">
        <f>T$38</f>
        <v>0</v>
      </c>
      <c r="U40" s="2358"/>
    </row>
    <row r="41" spans="1:21" ht="13.5" customHeight="1">
      <c r="B41" s="3590"/>
      <c r="C41" s="1617"/>
      <c r="D41" s="1618"/>
      <c r="E41" s="3477" t="s">
        <v>149</v>
      </c>
      <c r="F41" s="3478"/>
      <c r="G41" s="1502" t="s">
        <v>150</v>
      </c>
      <c r="H41" s="2356"/>
      <c r="I41" s="2356"/>
      <c r="J41" s="2356"/>
      <c r="K41" s="2356"/>
      <c r="L41" s="2356"/>
      <c r="M41" s="2357"/>
      <c r="N41" s="2335"/>
      <c r="O41" s="2335" t="s">
        <v>151</v>
      </c>
      <c r="P41" s="2393" t="s">
        <v>152</v>
      </c>
      <c r="Q41" s="2394" t="s">
        <v>2355</v>
      </c>
      <c r="R41" s="3448" t="s">
        <v>791</v>
      </c>
      <c r="S41" s="3448"/>
      <c r="T41" s="2395" t="b">
        <f>COUNTA(H42,H47)&lt;&gt;0</f>
        <v>0</v>
      </c>
    </row>
    <row r="42" spans="1:21" ht="13.5" customHeight="1">
      <c r="A42">
        <f>ROW()</f>
        <v>42</v>
      </c>
      <c r="B42" s="3590"/>
      <c r="C42" s="2681" t="s">
        <v>169</v>
      </c>
      <c r="D42" s="2682"/>
      <c r="E42" s="3250" t="e">
        <f>VLOOKUP($L$9,電話,2,0)</f>
        <v>#N/A</v>
      </c>
      <c r="F42" s="3252"/>
      <c r="G42" s="3467" t="s">
        <v>158</v>
      </c>
      <c r="H42" s="818"/>
      <c r="I42" s="819" t="e">
        <f>VLOOKUP($L$9,電話,3,0)</f>
        <v>#N/A</v>
      </c>
      <c r="J42" s="820" t="e">
        <f>VLOOKUP($L$9,電話,6,0)</f>
        <v>#N/A</v>
      </c>
      <c r="K42" s="824" t="e">
        <f>VLOOKUP($L$9,電話,9,0)</f>
        <v>#N/A</v>
      </c>
      <c r="L42" s="821" t="s">
        <v>848</v>
      </c>
      <c r="M42" s="2331"/>
      <c r="N42" s="3461" t="e">
        <f>ROUNDDOWN(H44,2)</f>
        <v>#N/A</v>
      </c>
      <c r="O42" s="3450" t="e">
        <f>INT(E42*N42)</f>
        <v>#N/A</v>
      </c>
      <c r="P42" s="3509">
        <f>$P$9</f>
        <v>0</v>
      </c>
      <c r="Q42" s="3458" t="s">
        <v>68</v>
      </c>
      <c r="R42" s="3250">
        <f>IF(ISERROR(INT(O42*P42)),0,INT(O42*P42))</f>
        <v>0</v>
      </c>
      <c r="S42" s="3252"/>
      <c r="T42" s="2395" t="b">
        <f t="shared" ref="T42:T44" si="4">T$41</f>
        <v>0</v>
      </c>
    </row>
    <row r="43" spans="1:21" ht="13.5" customHeight="1">
      <c r="B43" s="3590"/>
      <c r="C43" s="2681"/>
      <c r="D43" s="2682"/>
      <c r="E43" s="3245"/>
      <c r="F43" s="3247"/>
      <c r="G43" s="3512"/>
      <c r="H43" s="1815" t="e">
        <f>HLOOKUP(H42,I42:M44,2,0)</f>
        <v>#N/A</v>
      </c>
      <c r="I43" s="1816" t="e">
        <f>VLOOKUP($L$9,電話,4,0)</f>
        <v>#N/A</v>
      </c>
      <c r="J43" s="1817" t="e">
        <f>VLOOKUP($L$9,電話,7,0)</f>
        <v>#N/A</v>
      </c>
      <c r="K43" s="1818" t="e">
        <f>VLOOKUP($L$9,電話,10,0)</f>
        <v>#N/A</v>
      </c>
      <c r="L43" s="1819" t="str">
        <f>+IF(H47&lt;&gt;0,J47,"-")</f>
        <v>-</v>
      </c>
      <c r="M43" s="2321"/>
      <c r="N43" s="3462"/>
      <c r="O43" s="3451"/>
      <c r="P43" s="2907"/>
      <c r="Q43" s="3459"/>
      <c r="R43" s="3245"/>
      <c r="S43" s="3247"/>
      <c r="T43" s="2395" t="b">
        <f t="shared" si="4"/>
        <v>0</v>
      </c>
    </row>
    <row r="44" spans="1:21" ht="13.5" customHeight="1">
      <c r="B44" s="3590"/>
      <c r="C44" s="2681"/>
      <c r="D44" s="2682"/>
      <c r="E44" s="3248"/>
      <c r="F44" s="3249"/>
      <c r="G44" s="3468"/>
      <c r="H44" s="813" t="e">
        <f>HLOOKUP(H42,I42:L44,3,0)</f>
        <v>#N/A</v>
      </c>
      <c r="I44" s="814" t="e">
        <f>VLOOKUP($L$9,電話,5,0)</f>
        <v>#N/A</v>
      </c>
      <c r="J44" s="822" t="e">
        <f>VLOOKUP($L$9,電話,8,0)</f>
        <v>#N/A</v>
      </c>
      <c r="K44" s="831" t="e">
        <f>VLOOKUP($L$9,電話,11,0)</f>
        <v>#N/A</v>
      </c>
      <c r="L44" s="815" t="str">
        <f>IF(H47&lt;&gt;0,ROUNDDOWN(1+(L43-J43)*IF(L43&gt;J43,(I44-J44)/(I43-J43),(J44-K44)/(J43-K43)),2),"-")</f>
        <v>-</v>
      </c>
      <c r="M44" s="2324"/>
      <c r="N44" s="3463"/>
      <c r="O44" s="3452"/>
      <c r="P44" s="2490"/>
      <c r="Q44" s="3460"/>
      <c r="R44" s="3248"/>
      <c r="S44" s="3249"/>
      <c r="T44" s="2395" t="b">
        <f t="shared" si="4"/>
        <v>0</v>
      </c>
    </row>
    <row r="45" spans="1:21" ht="6" customHeight="1">
      <c r="B45" s="3590"/>
      <c r="C45" s="2681"/>
      <c r="D45" s="2682"/>
      <c r="E45" s="2322"/>
      <c r="F45" s="2322"/>
      <c r="G45" s="2322"/>
      <c r="H45" s="2322"/>
      <c r="I45" s="2322"/>
      <c r="J45" s="2322"/>
      <c r="K45" s="2322"/>
      <c r="L45" s="2322"/>
      <c r="M45" s="2322"/>
      <c r="N45" s="2322"/>
      <c r="O45" s="2322"/>
      <c r="P45" s="2322"/>
      <c r="Q45" s="2322"/>
      <c r="R45" s="2322"/>
      <c r="S45" s="2323"/>
      <c r="T45" s="2395" t="b">
        <f>+$H$47&lt;&gt;0</f>
        <v>0</v>
      </c>
    </row>
    <row r="46" spans="1:21" ht="13.5" customHeight="1">
      <c r="B46" s="3590"/>
      <c r="C46" s="2681"/>
      <c r="D46" s="2682"/>
      <c r="E46" s="2322"/>
      <c r="F46" s="2322"/>
      <c r="G46" s="3448" t="s">
        <v>848</v>
      </c>
      <c r="H46" s="2335" t="s">
        <v>170</v>
      </c>
      <c r="I46" s="2335" t="s">
        <v>2356</v>
      </c>
      <c r="J46" s="1638" t="s">
        <v>159</v>
      </c>
      <c r="K46" s="2322"/>
      <c r="L46" s="2322"/>
      <c r="M46" s="2322"/>
      <c r="N46" s="2322"/>
      <c r="O46" s="2322"/>
      <c r="P46" s="2322"/>
      <c r="Q46" s="2322"/>
      <c r="R46" s="2322"/>
      <c r="S46" s="2400"/>
      <c r="T46" s="2395" t="b">
        <f>+$T$45</f>
        <v>0</v>
      </c>
    </row>
    <row r="47" spans="1:21" ht="13.5" customHeight="1">
      <c r="B47" s="3590"/>
      <c r="C47" s="2681"/>
      <c r="D47" s="2682"/>
      <c r="E47" s="2322"/>
      <c r="F47" s="2322"/>
      <c r="G47" s="3448"/>
      <c r="H47" s="853"/>
      <c r="I47" s="843">
        <f>$P$9</f>
        <v>0</v>
      </c>
      <c r="J47" s="1814" t="e">
        <f>ROUNDDOWN(H47/I47,3)</f>
        <v>#DIV/0!</v>
      </c>
      <c r="K47" s="2322"/>
      <c r="L47" s="2322"/>
      <c r="M47" s="2322"/>
      <c r="N47" s="2322"/>
      <c r="O47" s="2322"/>
      <c r="P47" s="2322"/>
      <c r="Q47" s="2322"/>
      <c r="R47" s="2322"/>
      <c r="S47" s="2400"/>
      <c r="T47" s="2395" t="b">
        <f t="shared" ref="T47:T48" si="5">+$T$45</f>
        <v>0</v>
      </c>
    </row>
    <row r="48" spans="1:21" ht="6" customHeight="1">
      <c r="B48" s="3590"/>
      <c r="C48" s="2684"/>
      <c r="D48" s="2686"/>
      <c r="E48" s="2306"/>
      <c r="F48" s="2306"/>
      <c r="G48" s="2306"/>
      <c r="H48" s="2306"/>
      <c r="I48" s="2306"/>
      <c r="J48" s="2306"/>
      <c r="K48" s="2306"/>
      <c r="L48" s="2306"/>
      <c r="M48" s="2306"/>
      <c r="N48" s="2306"/>
      <c r="O48" s="2306"/>
      <c r="P48" s="2306"/>
      <c r="Q48" s="2306"/>
      <c r="R48" s="2306"/>
      <c r="S48" s="2325"/>
      <c r="T48" s="2395" t="b">
        <f t="shared" si="5"/>
        <v>0</v>
      </c>
    </row>
    <row r="49" spans="1:21" ht="13.5" customHeight="1">
      <c r="B49" s="3590"/>
      <c r="C49" s="1617"/>
      <c r="D49" s="1618"/>
      <c r="E49" s="3477" t="s">
        <v>149</v>
      </c>
      <c r="F49" s="3478"/>
      <c r="G49" s="1502" t="s">
        <v>150</v>
      </c>
      <c r="H49" s="2356"/>
      <c r="I49" s="2356"/>
      <c r="J49" s="2356"/>
      <c r="K49" s="2356"/>
      <c r="L49" s="2356"/>
      <c r="M49" s="2357"/>
      <c r="N49" s="2335" t="s">
        <v>524</v>
      </c>
      <c r="O49" s="2335" t="s">
        <v>151</v>
      </c>
      <c r="P49" s="2393" t="s">
        <v>152</v>
      </c>
      <c r="Q49" s="2394" t="s">
        <v>2293</v>
      </c>
      <c r="R49" s="3448" t="s">
        <v>791</v>
      </c>
      <c r="S49" s="3448"/>
      <c r="T49" s="2395" t="b">
        <f>P50&lt;&gt;0</f>
        <v>0</v>
      </c>
    </row>
    <row r="50" spans="1:21" ht="13.5" customHeight="1">
      <c r="A50">
        <f>ROW()</f>
        <v>50</v>
      </c>
      <c r="B50" s="3590"/>
      <c r="C50" s="2681" t="s">
        <v>2091</v>
      </c>
      <c r="D50" s="2683"/>
      <c r="E50" s="3606" t="e">
        <f>VLOOKUP($L$9,呼出,2,0)</f>
        <v>#N/A</v>
      </c>
      <c r="F50" s="3474"/>
      <c r="G50" s="2401"/>
      <c r="H50" s="2011"/>
      <c r="I50" s="2011"/>
      <c r="J50" s="2011"/>
      <c r="K50" s="2011"/>
      <c r="L50" s="341"/>
      <c r="M50" s="341"/>
      <c r="N50" s="3479">
        <v>1</v>
      </c>
      <c r="O50" s="3492" t="e">
        <f>INT(E50*N50)</f>
        <v>#N/A</v>
      </c>
      <c r="P50" s="3624"/>
      <c r="Q50" s="3626" t="s">
        <v>2092</v>
      </c>
      <c r="R50" s="3606">
        <f>IF(ISERROR(INT(O50*P50)),0,INT(O50*P50))</f>
        <v>0</v>
      </c>
      <c r="S50" s="3474"/>
      <c r="T50" s="2395" t="b">
        <f t="shared" ref="T50:T51" si="6">T$49</f>
        <v>0</v>
      </c>
    </row>
    <row r="51" spans="1:21" ht="13.5" customHeight="1">
      <c r="B51" s="3590"/>
      <c r="C51" s="3490"/>
      <c r="D51" s="3491"/>
      <c r="E51" s="3475"/>
      <c r="F51" s="3476"/>
      <c r="G51" s="2402"/>
      <c r="H51" s="2012"/>
      <c r="I51" s="2012"/>
      <c r="J51" s="2012"/>
      <c r="K51" s="2012"/>
      <c r="L51" s="2010"/>
      <c r="M51" s="1698"/>
      <c r="N51" s="3480"/>
      <c r="O51" s="3493"/>
      <c r="P51" s="3625"/>
      <c r="Q51" s="3627"/>
      <c r="R51" s="3475"/>
      <c r="S51" s="3476"/>
      <c r="T51" s="2395" t="b">
        <f t="shared" si="6"/>
        <v>0</v>
      </c>
    </row>
    <row r="52" spans="1:21" ht="13.5" customHeight="1">
      <c r="B52" s="3590"/>
      <c r="C52" s="137"/>
      <c r="D52" s="139"/>
      <c r="E52" s="3497" t="s">
        <v>149</v>
      </c>
      <c r="F52" s="3498"/>
      <c r="G52" s="34" t="s">
        <v>150</v>
      </c>
      <c r="H52" s="32"/>
      <c r="I52" s="32"/>
      <c r="J52" s="32"/>
      <c r="K52" s="32"/>
      <c r="L52" s="32"/>
      <c r="M52" s="33"/>
      <c r="N52" s="536" t="s">
        <v>524</v>
      </c>
      <c r="O52" s="536" t="s">
        <v>151</v>
      </c>
      <c r="P52" s="844" t="s">
        <v>2294</v>
      </c>
      <c r="Q52" s="845" t="s">
        <v>173</v>
      </c>
      <c r="R52" s="3313" t="s">
        <v>791</v>
      </c>
      <c r="S52" s="3313"/>
      <c r="T52" s="25" t="b">
        <f>COUNTA(P53,H55)&lt;&gt;0</f>
        <v>0</v>
      </c>
    </row>
    <row r="53" spans="1:21" ht="13.5" customHeight="1">
      <c r="B53" s="3590"/>
      <c r="C53" s="2681" t="s">
        <v>174</v>
      </c>
      <c r="D53" s="2682"/>
      <c r="E53" s="3245" t="e">
        <f>VLOOKUP($L$9,自動車,2,0)</f>
        <v>#N/A</v>
      </c>
      <c r="F53" s="3247"/>
      <c r="G53" s="3537" t="s">
        <v>175</v>
      </c>
      <c r="H53" s="1461">
        <f>+P53</f>
        <v>0</v>
      </c>
      <c r="I53" s="834" t="e">
        <f>VLOOKUP($L$9,自動車,3,0)</f>
        <v>#N/A</v>
      </c>
      <c r="J53" s="835" t="e">
        <f>VLOOKUP($L$9,自動車,5,0)</f>
        <v>#N/A</v>
      </c>
      <c r="K53" s="836" t="e">
        <f>VLOOKUP($L$9,自動車,7,0)</f>
        <v>#N/A</v>
      </c>
      <c r="M53" s="510"/>
      <c r="N53" s="3461" t="e">
        <f>ROUNDDOWN(H54*H56,2)</f>
        <v>#N/A</v>
      </c>
      <c r="O53" s="3450" t="e">
        <f>INT(E53*N53)</f>
        <v>#N/A</v>
      </c>
      <c r="P53" s="3542"/>
      <c r="Q53" s="3458" t="s">
        <v>176</v>
      </c>
      <c r="R53" s="3250">
        <f>IF(ISERROR(INT(O53*P53)),0,INT(O53*P53))</f>
        <v>0</v>
      </c>
      <c r="S53" s="3252"/>
      <c r="T53" s="25" t="b">
        <f>T$52</f>
        <v>0</v>
      </c>
    </row>
    <row r="54" spans="1:21" ht="13.5" customHeight="1">
      <c r="B54" s="3590"/>
      <c r="C54" s="2681"/>
      <c r="D54" s="2682"/>
      <c r="E54" s="3245"/>
      <c r="F54" s="3247"/>
      <c r="G54" s="3494"/>
      <c r="H54" s="815" t="e">
        <f>MIN(I54,MAX(K54,ROUNDDOWN(J54+(H53-J53)*IF(H53&lt;J53,(I54-J54)/(I53-J53),(J54-K54)/(J53-K53)),2)))</f>
        <v>#N/A</v>
      </c>
      <c r="I54" s="814" t="e">
        <f>VLOOKUP($L$9,自動車,4,0)</f>
        <v>#N/A</v>
      </c>
      <c r="J54" s="822" t="e">
        <f>VLOOKUP($L$9,自動車,6,0)</f>
        <v>#N/A</v>
      </c>
      <c r="K54" s="815" t="e">
        <f>VLOOKUP($L$9,自動車,8,0)</f>
        <v>#N/A</v>
      </c>
      <c r="M54" s="510"/>
      <c r="N54" s="3462"/>
      <c r="O54" s="3451"/>
      <c r="P54" s="3543"/>
      <c r="Q54" s="3459"/>
      <c r="R54" s="3245"/>
      <c r="S54" s="3247"/>
      <c r="T54" s="25" t="b">
        <f>T$52</f>
        <v>0</v>
      </c>
    </row>
    <row r="55" spans="1:21" ht="13.5" customHeight="1">
      <c r="B55" s="3590"/>
      <c r="C55" s="2681"/>
      <c r="D55" s="2682"/>
      <c r="E55" s="3245"/>
      <c r="F55" s="3247"/>
      <c r="G55" s="3538" t="s">
        <v>794</v>
      </c>
      <c r="H55" s="818"/>
      <c r="I55" s="819" t="e">
        <f>VLOOKUP($L$9,自動車,9,0)</f>
        <v>#N/A</v>
      </c>
      <c r="J55" s="820" t="e">
        <f>VLOOKUP($L$9,自動車,11,0)</f>
        <v>#N/A</v>
      </c>
      <c r="K55" s="821" t="e">
        <f>VLOOKUP($L$9,自動車,13,0)</f>
        <v>#N/A</v>
      </c>
      <c r="L55" s="510"/>
      <c r="M55" s="510"/>
      <c r="N55" s="3462"/>
      <c r="O55" s="3451"/>
      <c r="P55" s="3543"/>
      <c r="Q55" s="3459"/>
      <c r="R55" s="3245"/>
      <c r="S55" s="3247"/>
      <c r="T55" s="25" t="b">
        <f>T$52</f>
        <v>0</v>
      </c>
    </row>
    <row r="56" spans="1:21" ht="13.5" customHeight="1">
      <c r="B56" s="3590"/>
      <c r="C56" s="2684"/>
      <c r="D56" s="2686"/>
      <c r="E56" s="3248"/>
      <c r="F56" s="3249"/>
      <c r="G56" s="3495"/>
      <c r="H56" s="813" t="e">
        <f>HLOOKUP(H55,I55:M56,2,0)</f>
        <v>#N/A</v>
      </c>
      <c r="I56" s="814" t="e">
        <f>VLOOKUP($L$9,自動車,10,0)</f>
        <v>#N/A</v>
      </c>
      <c r="J56" s="822" t="e">
        <f>VLOOKUP($L$9,自動車,12,0)</f>
        <v>#N/A</v>
      </c>
      <c r="K56" s="815" t="e">
        <f>VLOOKUP($L$9,自動車,14,0)</f>
        <v>#N/A</v>
      </c>
      <c r="L56" s="221"/>
      <c r="M56" s="221"/>
      <c r="N56" s="3463"/>
      <c r="O56" s="3452"/>
      <c r="P56" s="3544"/>
      <c r="Q56" s="3460"/>
      <c r="R56" s="3248"/>
      <c r="S56" s="3249"/>
      <c r="T56" s="25" t="b">
        <f>T$52</f>
        <v>0</v>
      </c>
    </row>
    <row r="57" spans="1:21" ht="13.5" customHeight="1">
      <c r="B57" s="3590"/>
      <c r="C57" s="137"/>
      <c r="D57" s="139"/>
      <c r="E57" s="3497" t="s">
        <v>149</v>
      </c>
      <c r="F57" s="3498"/>
      <c r="G57" s="34" t="s">
        <v>150</v>
      </c>
      <c r="H57" s="32"/>
      <c r="I57" s="32"/>
      <c r="J57" s="32"/>
      <c r="K57" s="32"/>
      <c r="L57" s="32"/>
      <c r="M57" s="33"/>
      <c r="N57" s="536" t="s">
        <v>524</v>
      </c>
      <c r="O57" s="536" t="s">
        <v>151</v>
      </c>
      <c r="P57" s="844" t="s">
        <v>152</v>
      </c>
      <c r="Q57" s="845" t="s">
        <v>177</v>
      </c>
      <c r="R57" s="3313" t="s">
        <v>791</v>
      </c>
      <c r="S57" s="3313"/>
      <c r="T57" s="25" t="b">
        <f>COUNTA(H58,H60,P58)&lt;&gt;0</f>
        <v>0</v>
      </c>
      <c r="U57" s="3499" t="s">
        <v>1593</v>
      </c>
    </row>
    <row r="58" spans="1:21" ht="13.5" customHeight="1">
      <c r="A58">
        <f>ROW()</f>
        <v>58</v>
      </c>
      <c r="B58" s="3590"/>
      <c r="C58" s="2681" t="s">
        <v>1305</v>
      </c>
      <c r="D58" s="2682"/>
      <c r="E58" s="3250" t="e">
        <f>VLOOKUP($L$9,インターホン,2,0)</f>
        <v>#N/A</v>
      </c>
      <c r="F58" s="3252"/>
      <c r="G58" s="3467" t="s">
        <v>763</v>
      </c>
      <c r="H58" s="1477"/>
      <c r="I58" s="1474" t="e">
        <f>VLOOKUP($L$9,インターホン,3,0)</f>
        <v>#N/A</v>
      </c>
      <c r="J58" s="1475" t="e">
        <f>VLOOKUP($L$9,インターホン,5,0)</f>
        <v>#N/A</v>
      </c>
      <c r="K58" s="1475" t="e">
        <f>VLOOKUP($L$9,インターホン,7,0)</f>
        <v>#N/A</v>
      </c>
      <c r="L58" s="1476" t="s">
        <v>1313</v>
      </c>
      <c r="M58" s="505"/>
      <c r="N58" s="3461" t="e">
        <f>ROUNDDOWN(H59*H61,2)</f>
        <v>#N/A</v>
      </c>
      <c r="O58" s="3450" t="e">
        <f>INT(E58*N58)</f>
        <v>#N/A</v>
      </c>
      <c r="P58" s="3541"/>
      <c r="Q58" s="1414"/>
      <c r="R58" s="3250">
        <f>IF(ISERROR(INT(O58*P58)),0,INT(O58*P58))</f>
        <v>0</v>
      </c>
      <c r="S58" s="3252"/>
      <c r="T58" s="25" t="b">
        <f t="shared" ref="T58:T61" si="7">T$57</f>
        <v>0</v>
      </c>
      <c r="U58" s="3499"/>
    </row>
    <row r="59" spans="1:21" ht="13.5" customHeight="1">
      <c r="B59" s="3590"/>
      <c r="C59" s="2681"/>
      <c r="D59" s="2682"/>
      <c r="E59" s="3245"/>
      <c r="F59" s="3247"/>
      <c r="G59" s="3495"/>
      <c r="H59" s="813" t="e">
        <f>HLOOKUP(H58,I58:L59,2,0)</f>
        <v>#N/A</v>
      </c>
      <c r="I59" s="814" t="e">
        <f>VLOOKUP($L$9,インターホン,4,0)</f>
        <v>#N/A</v>
      </c>
      <c r="J59" s="822" t="e">
        <f>VLOOKUP($L$9,インターホン,6,0)</f>
        <v>#N/A</v>
      </c>
      <c r="K59" s="822" t="e">
        <f>VLOOKUP($L$9,インターホン,8,0)</f>
        <v>#N/A</v>
      </c>
      <c r="L59" s="815" t="e">
        <f>MAX(J59,ROUNDDOWN(J59+(I59-J59)*(P58-J58)/(I58-J58),2))</f>
        <v>#N/A</v>
      </c>
      <c r="M59" s="510"/>
      <c r="N59" s="3462"/>
      <c r="O59" s="3451"/>
      <c r="P59" s="3514"/>
      <c r="Q59" s="1413" t="s">
        <v>1310</v>
      </c>
      <c r="R59" s="3245"/>
      <c r="S59" s="3247"/>
      <c r="T59" s="25" t="b">
        <f t="shared" si="7"/>
        <v>0</v>
      </c>
      <c r="U59" s="3499"/>
    </row>
    <row r="60" spans="1:21" ht="13.5" customHeight="1">
      <c r="B60" s="3590"/>
      <c r="C60" s="2681"/>
      <c r="D60" s="2682"/>
      <c r="E60" s="3245"/>
      <c r="F60" s="3247"/>
      <c r="G60" s="3538" t="s">
        <v>794</v>
      </c>
      <c r="H60" s="818"/>
      <c r="I60" s="820" t="e">
        <f>VLOOKUP($L$9,インターホン,9,0)</f>
        <v>#N/A</v>
      </c>
      <c r="J60" s="820" t="e">
        <f>VLOOKUP($L$9,インターホン,11,0)</f>
        <v>#N/A</v>
      </c>
      <c r="K60" s="821" t="e">
        <f>VLOOKUP($L$9,インターホン,13,0)</f>
        <v>#N/A</v>
      </c>
      <c r="L60" s="810"/>
      <c r="M60" s="341"/>
      <c r="N60" s="3462"/>
      <c r="O60" s="3451"/>
      <c r="P60" s="3514"/>
      <c r="Q60" s="3247"/>
      <c r="R60" s="3245"/>
      <c r="S60" s="3247"/>
      <c r="T60" s="25" t="b">
        <f t="shared" si="7"/>
        <v>0</v>
      </c>
      <c r="U60" s="3499"/>
    </row>
    <row r="61" spans="1:21" ht="13.5" customHeight="1">
      <c r="B61" s="3590"/>
      <c r="C61" s="2681"/>
      <c r="D61" s="2682"/>
      <c r="E61" s="3248"/>
      <c r="F61" s="3249"/>
      <c r="G61" s="3495"/>
      <c r="H61" s="813" t="e">
        <f>HLOOKUP(H60,I60:M61,2,0)</f>
        <v>#N/A</v>
      </c>
      <c r="I61" s="822" t="e">
        <f>VLOOKUP($L$9,インターホン,10,0)</f>
        <v>#N/A</v>
      </c>
      <c r="J61" s="822" t="e">
        <f>VLOOKUP($L$9,インターホン,12,0)</f>
        <v>#N/A</v>
      </c>
      <c r="K61" s="815" t="e">
        <f>VLOOKUP($L$9,インターホン,14,0)</f>
        <v>#N/A</v>
      </c>
      <c r="L61" s="816"/>
      <c r="M61" s="837"/>
      <c r="N61" s="3463"/>
      <c r="O61" s="3452"/>
      <c r="P61" s="3515"/>
      <c r="Q61" s="3249"/>
      <c r="R61" s="3248"/>
      <c r="S61" s="3249"/>
      <c r="T61" s="25" t="b">
        <f t="shared" si="7"/>
        <v>0</v>
      </c>
      <c r="U61" s="3499"/>
    </row>
    <row r="62" spans="1:21" ht="13.5" customHeight="1">
      <c r="B62" s="3590"/>
      <c r="C62" s="1411"/>
      <c r="D62" s="1412"/>
      <c r="E62" s="3497" t="s">
        <v>149</v>
      </c>
      <c r="F62" s="3498"/>
      <c r="G62" s="34" t="s">
        <v>150</v>
      </c>
      <c r="H62" s="32"/>
      <c r="I62" s="32"/>
      <c r="J62" s="32"/>
      <c r="K62" s="32"/>
      <c r="L62" s="32"/>
      <c r="M62" s="33"/>
      <c r="N62" s="1415" t="s">
        <v>524</v>
      </c>
      <c r="O62" s="1415" t="s">
        <v>151</v>
      </c>
      <c r="P62" s="844" t="s">
        <v>152</v>
      </c>
      <c r="Q62" s="845" t="s">
        <v>177</v>
      </c>
      <c r="R62" s="3313" t="s">
        <v>791</v>
      </c>
      <c r="S62" s="3313"/>
      <c r="T62" s="25" t="b">
        <f>COUNTA(H63,L63,P63)&lt;&gt;0</f>
        <v>0</v>
      </c>
      <c r="U62" s="2358" t="s">
        <v>1594</v>
      </c>
    </row>
    <row r="63" spans="1:21" ht="13.5" customHeight="1">
      <c r="B63" s="3590"/>
      <c r="C63" s="2681" t="s">
        <v>1306</v>
      </c>
      <c r="D63" s="2682"/>
      <c r="E63" s="3250" t="e">
        <f>VLOOKUP($L$9,ドアホン,2,0)</f>
        <v>#N/A</v>
      </c>
      <c r="F63" s="3252"/>
      <c r="G63" s="3448" t="s">
        <v>794</v>
      </c>
      <c r="H63" s="854"/>
      <c r="I63" s="834" t="e">
        <f>VLOOKUP($L$9,ドアホン,3,0)</f>
        <v>#N/A</v>
      </c>
      <c r="J63" s="834" t="e">
        <f>VLOOKUP($L$9,ドアホン,5,0)</f>
        <v>#N/A</v>
      </c>
      <c r="K63" s="836" t="e">
        <f>VLOOKUP($L$9,ドアホン,7,0)</f>
        <v>#N/A</v>
      </c>
      <c r="L63" s="1464"/>
      <c r="M63" s="1465"/>
      <c r="N63" s="3461" t="e">
        <f>H64</f>
        <v>#N/A</v>
      </c>
      <c r="O63" s="3450" t="e">
        <f>INT(E63*N63)</f>
        <v>#N/A</v>
      </c>
      <c r="P63" s="3628"/>
      <c r="Q63" s="3506" t="s">
        <v>178</v>
      </c>
      <c r="R63" s="3250">
        <f>IF(ISERROR(INT(O63*P63)),0,INT(O63*P63))</f>
        <v>0</v>
      </c>
      <c r="S63" s="3252"/>
      <c r="T63" s="25" t="b">
        <f>T$62</f>
        <v>0</v>
      </c>
    </row>
    <row r="64" spans="1:21" ht="13.5" customHeight="1">
      <c r="B64" s="3590"/>
      <c r="C64" s="2684"/>
      <c r="D64" s="2686"/>
      <c r="E64" s="3248"/>
      <c r="F64" s="3249"/>
      <c r="G64" s="3494"/>
      <c r="H64" s="813" t="e">
        <f>HLOOKUP(H63,J63:M64,2,0)</f>
        <v>#N/A</v>
      </c>
      <c r="I64" s="814" t="e">
        <f>VLOOKUP($L$9,ドアホン,4,0)</f>
        <v>#N/A</v>
      </c>
      <c r="J64" s="814" t="e">
        <f>VLOOKUP($L$9,ドアホン,6,0)</f>
        <v>#N/A</v>
      </c>
      <c r="K64" s="815" t="e">
        <f>VLOOKUP($L$9,ドアホン,8,0)</f>
        <v>#N/A</v>
      </c>
      <c r="L64" s="1466"/>
      <c r="M64" s="503"/>
      <c r="N64" s="3463"/>
      <c r="O64" s="3452"/>
      <c r="P64" s="3629"/>
      <c r="Q64" s="3460"/>
      <c r="R64" s="3248"/>
      <c r="S64" s="3249"/>
      <c r="T64" s="25" t="b">
        <f>T$62</f>
        <v>0</v>
      </c>
    </row>
    <row r="65" spans="1:21" ht="13.5" customHeight="1">
      <c r="B65" s="3590"/>
      <c r="C65" s="137"/>
      <c r="D65" s="139"/>
      <c r="E65" s="3497" t="s">
        <v>149</v>
      </c>
      <c r="F65" s="3498"/>
      <c r="G65" s="34" t="s">
        <v>150</v>
      </c>
      <c r="H65" s="32"/>
      <c r="I65" s="32"/>
      <c r="J65" s="32"/>
      <c r="K65" s="32"/>
      <c r="L65" s="32"/>
      <c r="M65" s="33"/>
      <c r="N65" s="536" t="s">
        <v>524</v>
      </c>
      <c r="O65" s="536" t="s">
        <v>151</v>
      </c>
      <c r="P65" s="844" t="s">
        <v>152</v>
      </c>
      <c r="Q65" s="845" t="s">
        <v>160</v>
      </c>
      <c r="R65" s="3313" t="s">
        <v>791</v>
      </c>
      <c r="S65" s="3313"/>
      <c r="T65" s="25" t="b">
        <f>COUNTA(H66,H69,H73)&lt;&gt;0</f>
        <v>0</v>
      </c>
    </row>
    <row r="66" spans="1:21" ht="13.5" customHeight="1">
      <c r="A66">
        <f>ROW()</f>
        <v>66</v>
      </c>
      <c r="B66" s="3590"/>
      <c r="C66" s="2681" t="s">
        <v>179</v>
      </c>
      <c r="D66" s="2682"/>
      <c r="E66" s="3250" t="e">
        <f>VLOOKUP($L$9,拡声器,2,0)</f>
        <v>#N/A</v>
      </c>
      <c r="F66" s="3252"/>
      <c r="G66" s="3538" t="s">
        <v>180</v>
      </c>
      <c r="H66" s="818"/>
      <c r="I66" s="819" t="e">
        <f>VLOOKUP($L$9,拡声器,3,0)</f>
        <v>#N/A</v>
      </c>
      <c r="J66" s="820" t="e">
        <f>VLOOKUP($L$9,拡声器,6,0)</f>
        <v>#N/A</v>
      </c>
      <c r="K66" s="824" t="e">
        <f>VLOOKUP($L$9,拡声器,9,0)</f>
        <v>#N/A</v>
      </c>
      <c r="L66" s="825" t="s">
        <v>848</v>
      </c>
      <c r="M66" s="505"/>
      <c r="N66" s="3461" t="e">
        <f>ROUNDDOWN(H68*H70,2)</f>
        <v>#N/A</v>
      </c>
      <c r="O66" s="3450" t="e">
        <f>INT(E66*N66)</f>
        <v>#N/A</v>
      </c>
      <c r="P66" s="3509">
        <f>I73</f>
        <v>0</v>
      </c>
      <c r="Q66" s="3252" t="s">
        <v>68</v>
      </c>
      <c r="R66" s="3250">
        <f>IF(ISERROR(INT(O66*P66)),0,INT(O66*P66))</f>
        <v>0</v>
      </c>
      <c r="S66" s="3252"/>
      <c r="T66" s="25" t="b">
        <f t="shared" ref="T66:T70" si="8">T$65</f>
        <v>0</v>
      </c>
    </row>
    <row r="67" spans="1:21" ht="13.5" customHeight="1">
      <c r="B67" s="3590"/>
      <c r="C67" s="2681"/>
      <c r="D67" s="2682"/>
      <c r="E67" s="3245"/>
      <c r="F67" s="3247"/>
      <c r="G67" s="3592"/>
      <c r="H67" s="855" t="e">
        <f>HLOOKUP(H66,I66:M68,2,0)</f>
        <v>#N/A</v>
      </c>
      <c r="I67" s="856" t="e">
        <f>VLOOKUP($L$9,拡声器,4,0)</f>
        <v>#N/A</v>
      </c>
      <c r="J67" s="857" t="e">
        <f>VLOOKUP($L$9,拡声器,7,0)</f>
        <v>#N/A</v>
      </c>
      <c r="K67" s="858" t="e">
        <f>VLOOKUP($L$9,拡声器,10,0)</f>
        <v>#N/A</v>
      </c>
      <c r="L67" s="859" t="str">
        <f>IF(H73&lt;&gt;0,J73,"-")</f>
        <v>-</v>
      </c>
      <c r="M67" s="510"/>
      <c r="N67" s="3462"/>
      <c r="O67" s="3451"/>
      <c r="P67" s="2907"/>
      <c r="Q67" s="3247"/>
      <c r="R67" s="3245"/>
      <c r="S67" s="3247"/>
      <c r="T67" s="25" t="b">
        <f t="shared" si="8"/>
        <v>0</v>
      </c>
    </row>
    <row r="68" spans="1:21" ht="13.5" customHeight="1">
      <c r="B68" s="3590"/>
      <c r="C68" s="2681"/>
      <c r="D68" s="2682"/>
      <c r="E68" s="3245"/>
      <c r="F68" s="3247"/>
      <c r="G68" s="3591"/>
      <c r="H68" s="813" t="e">
        <f>HLOOKUP(H66,I66:M68,3,0)</f>
        <v>#N/A</v>
      </c>
      <c r="I68" s="814" t="e">
        <f>VLOOKUP($L$9,拡声器,5,0)</f>
        <v>#N/A</v>
      </c>
      <c r="J68" s="822" t="e">
        <f>VLOOKUP($L$9,拡声器,8,0)</f>
        <v>#N/A</v>
      </c>
      <c r="K68" s="831" t="e">
        <f>VLOOKUP($L$9,拡声器,11,0)</f>
        <v>#N/A</v>
      </c>
      <c r="L68" s="815" t="str">
        <f>IF(H73&lt;&gt;0,MAX(0,ROUNDDOWN(1+(L67-J67)*IF(L67&lt;J67,(I68-J68)/(I67-J67),(J68-K68)/(J67-K67)),2)),"-")</f>
        <v>-</v>
      </c>
      <c r="M68" s="510"/>
      <c r="N68" s="3462"/>
      <c r="O68" s="3451"/>
      <c r="P68" s="2907"/>
      <c r="Q68" s="3247"/>
      <c r="R68" s="3245"/>
      <c r="S68" s="3247"/>
      <c r="T68" s="25" t="b">
        <f t="shared" si="8"/>
        <v>0</v>
      </c>
    </row>
    <row r="69" spans="1:21" ht="13.5" customHeight="1">
      <c r="B69" s="3590"/>
      <c r="C69" s="2681"/>
      <c r="D69" s="2682"/>
      <c r="E69" s="3245"/>
      <c r="F69" s="3247"/>
      <c r="G69" s="3538" t="s">
        <v>794</v>
      </c>
      <c r="H69" s="818"/>
      <c r="I69" s="819" t="e">
        <f>VLOOKUP($L$9,拡声器,12,0)</f>
        <v>#N/A</v>
      </c>
      <c r="J69" s="820" t="e">
        <f>VLOOKUP($L$9,拡声器,14,0)</f>
        <v>#N/A</v>
      </c>
      <c r="K69" s="821" t="e">
        <f>VLOOKUP($L$9,拡声器,16,0)</f>
        <v>#N/A</v>
      </c>
      <c r="L69" s="810"/>
      <c r="M69" s="341"/>
      <c r="N69" s="3462"/>
      <c r="O69" s="3451"/>
      <c r="P69" s="2907"/>
      <c r="Q69" s="3247"/>
      <c r="R69" s="3245"/>
      <c r="S69" s="3247"/>
      <c r="T69" s="25" t="b">
        <f t="shared" si="8"/>
        <v>0</v>
      </c>
    </row>
    <row r="70" spans="1:21" ht="13.5" customHeight="1">
      <c r="B70" s="3590"/>
      <c r="C70" s="2681"/>
      <c r="D70" s="2682"/>
      <c r="E70" s="3248"/>
      <c r="F70" s="3249"/>
      <c r="G70" s="3495"/>
      <c r="H70" s="813" t="e">
        <f>HLOOKUP(H69,I69:M70,2,0)</f>
        <v>#N/A</v>
      </c>
      <c r="I70" s="814" t="e">
        <f>VLOOKUP($L$9,拡声器,13,0)</f>
        <v>#N/A</v>
      </c>
      <c r="J70" s="822" t="e">
        <f>VLOOKUP($L$9,拡声器,15,0)</f>
        <v>#N/A</v>
      </c>
      <c r="K70" s="815" t="e">
        <f>VLOOKUP($L$9,拡声器,17,0)</f>
        <v>#N/A</v>
      </c>
      <c r="L70" s="816"/>
      <c r="M70" s="837"/>
      <c r="N70" s="3463"/>
      <c r="O70" s="3452"/>
      <c r="P70" s="2490"/>
      <c r="Q70" s="3249"/>
      <c r="R70" s="3248"/>
      <c r="S70" s="3249"/>
      <c r="T70" s="25" t="b">
        <f t="shared" si="8"/>
        <v>0</v>
      </c>
    </row>
    <row r="71" spans="1:21" ht="6" customHeight="1">
      <c r="B71" s="3590"/>
      <c r="C71" s="2681"/>
      <c r="D71" s="2682"/>
      <c r="E71" s="510"/>
      <c r="F71" s="510"/>
      <c r="G71" s="510"/>
      <c r="H71" s="510"/>
      <c r="I71" s="510"/>
      <c r="J71" s="510"/>
      <c r="K71" s="510"/>
      <c r="L71" s="510"/>
      <c r="M71" s="510"/>
      <c r="N71" s="510"/>
      <c r="O71" s="510"/>
      <c r="P71" s="510"/>
      <c r="Q71" s="510"/>
      <c r="R71" s="510"/>
      <c r="S71" s="531"/>
      <c r="T71" s="25" t="b">
        <f>+$H$73&lt;&gt;0</f>
        <v>0</v>
      </c>
    </row>
    <row r="72" spans="1:21" ht="13.5" customHeight="1">
      <c r="B72" s="3590"/>
      <c r="C72" s="2681"/>
      <c r="D72" s="2682"/>
      <c r="E72" s="510"/>
      <c r="F72" s="510"/>
      <c r="G72" s="3538" t="s">
        <v>848</v>
      </c>
      <c r="H72" s="321" t="s">
        <v>862</v>
      </c>
      <c r="I72" s="321" t="s">
        <v>181</v>
      </c>
      <c r="J72" s="321" t="s">
        <v>182</v>
      </c>
      <c r="K72" s="510"/>
      <c r="L72" s="510"/>
      <c r="M72" s="510"/>
      <c r="N72" s="510"/>
      <c r="O72" s="510"/>
      <c r="P72" s="510"/>
      <c r="Q72" s="510"/>
      <c r="R72" s="510"/>
      <c r="S72" s="531"/>
      <c r="T72" s="25" t="b">
        <f>+$T$71</f>
        <v>0</v>
      </c>
    </row>
    <row r="73" spans="1:21" ht="13.5" customHeight="1">
      <c r="B73" s="3590"/>
      <c r="C73" s="2681"/>
      <c r="D73" s="2682"/>
      <c r="E73" s="510"/>
      <c r="F73" s="510"/>
      <c r="G73" s="3591"/>
      <c r="H73" s="860"/>
      <c r="I73" s="861">
        <f>床・天井!J91</f>
        <v>0</v>
      </c>
      <c r="J73" s="861" t="e">
        <f>ROUNDDOWN(I73/H73,2)</f>
        <v>#DIV/0!</v>
      </c>
      <c r="K73" s="510"/>
      <c r="L73" s="510"/>
      <c r="M73" s="510"/>
      <c r="N73" s="510"/>
      <c r="O73" s="510"/>
      <c r="P73" s="510"/>
      <c r="Q73" s="510"/>
      <c r="R73" s="510"/>
      <c r="S73" s="531"/>
      <c r="T73" s="25" t="b">
        <f t="shared" ref="T73:T74" si="9">+$T$71</f>
        <v>0</v>
      </c>
    </row>
    <row r="74" spans="1:21" ht="6" customHeight="1">
      <c r="B74" s="3590"/>
      <c r="C74" s="2684"/>
      <c r="D74" s="2686"/>
      <c r="E74" s="221"/>
      <c r="F74" s="221"/>
      <c r="G74" s="221"/>
      <c r="H74" s="221"/>
      <c r="I74" s="221"/>
      <c r="J74" s="221"/>
      <c r="K74" s="221"/>
      <c r="L74" s="221"/>
      <c r="M74" s="221"/>
      <c r="N74" s="221"/>
      <c r="O74" s="221"/>
      <c r="P74" s="221"/>
      <c r="Q74" s="221"/>
      <c r="R74" s="221"/>
      <c r="S74" s="220"/>
      <c r="T74" s="25" t="b">
        <f t="shared" si="9"/>
        <v>0</v>
      </c>
    </row>
    <row r="75" spans="1:21" ht="13.5" customHeight="1">
      <c r="B75" s="3590"/>
      <c r="C75" s="1617"/>
      <c r="D75" s="1618"/>
      <c r="E75" s="3477" t="s">
        <v>149</v>
      </c>
      <c r="F75" s="3478"/>
      <c r="G75" s="1502" t="s">
        <v>150</v>
      </c>
      <c r="H75" s="2356"/>
      <c r="I75" s="2356"/>
      <c r="J75" s="2356"/>
      <c r="K75" s="2356"/>
      <c r="L75" s="2356"/>
      <c r="M75" s="2357"/>
      <c r="N75" s="2335" t="s">
        <v>524</v>
      </c>
      <c r="O75" s="2335" t="s">
        <v>151</v>
      </c>
      <c r="P75" s="2393" t="s">
        <v>152</v>
      </c>
      <c r="Q75" s="2394" t="s">
        <v>177</v>
      </c>
      <c r="R75" s="3448" t="s">
        <v>791</v>
      </c>
      <c r="S75" s="3448"/>
      <c r="T75" s="2395" t="b">
        <f>P76&lt;&gt;0</f>
        <v>0</v>
      </c>
      <c r="U75" s="2358" t="s">
        <v>1592</v>
      </c>
    </row>
    <row r="76" spans="1:21" ht="13.5" customHeight="1">
      <c r="A76">
        <f>ROW()</f>
        <v>76</v>
      </c>
      <c r="B76" s="3590"/>
      <c r="C76" s="2681" t="s">
        <v>2292</v>
      </c>
      <c r="D76" s="2683"/>
      <c r="E76" s="3606" t="e">
        <f>VLOOKUP($L$9,監視カメラ,2,0)</f>
        <v>#N/A</v>
      </c>
      <c r="F76" s="3474"/>
      <c r="G76" s="2401"/>
      <c r="H76" s="2011"/>
      <c r="I76" s="2011"/>
      <c r="J76" s="2011"/>
      <c r="K76" s="2011"/>
      <c r="L76" s="341"/>
      <c r="M76" s="341"/>
      <c r="N76" s="3479">
        <v>1</v>
      </c>
      <c r="O76" s="3492" t="e">
        <f>INT(E76*N76)</f>
        <v>#N/A</v>
      </c>
      <c r="P76" s="3624"/>
      <c r="Q76" s="3626" t="s">
        <v>178</v>
      </c>
      <c r="R76" s="3606">
        <f>IF(ISERROR(INT(O76*P76)),0,INT(O76*P76))</f>
        <v>0</v>
      </c>
      <c r="S76" s="3474"/>
      <c r="T76" s="2395" t="b">
        <f t="shared" ref="T76:T77" si="10">T$75</f>
        <v>0</v>
      </c>
    </row>
    <row r="77" spans="1:21" ht="13.5" customHeight="1">
      <c r="B77" s="3590"/>
      <c r="C77" s="3490"/>
      <c r="D77" s="3491"/>
      <c r="E77" s="3475"/>
      <c r="F77" s="3476"/>
      <c r="G77" s="2402"/>
      <c r="H77" s="2012"/>
      <c r="I77" s="2012"/>
      <c r="J77" s="2012"/>
      <c r="K77" s="2012"/>
      <c r="L77" s="2010"/>
      <c r="M77" s="1698"/>
      <c r="N77" s="3480"/>
      <c r="O77" s="3493"/>
      <c r="P77" s="3625"/>
      <c r="Q77" s="3627"/>
      <c r="R77" s="3475"/>
      <c r="S77" s="3476"/>
      <c r="T77" s="2395" t="b">
        <f t="shared" si="10"/>
        <v>0</v>
      </c>
    </row>
    <row r="78" spans="1:21" ht="13.5" customHeight="1">
      <c r="B78" s="3590"/>
      <c r="C78" s="2302"/>
      <c r="D78" s="2329"/>
      <c r="E78" s="3477" t="s">
        <v>149</v>
      </c>
      <c r="F78" s="3478"/>
      <c r="G78" s="1502" t="s">
        <v>150</v>
      </c>
      <c r="H78" s="2356"/>
      <c r="I78" s="2356"/>
      <c r="J78" s="2356"/>
      <c r="K78" s="2356"/>
      <c r="L78" s="2356"/>
      <c r="M78" s="2357"/>
      <c r="N78" s="2335" t="s">
        <v>524</v>
      </c>
      <c r="O78" s="2335" t="s">
        <v>151</v>
      </c>
      <c r="P78" s="2393" t="s">
        <v>152</v>
      </c>
      <c r="Q78" s="2394" t="s">
        <v>790</v>
      </c>
      <c r="R78" s="3448" t="s">
        <v>791</v>
      </c>
      <c r="S78" s="3448"/>
      <c r="T78" s="2395" t="b">
        <f>COUNTA(H79,H82,H88)&lt;&gt;0</f>
        <v>0</v>
      </c>
      <c r="U78" s="3499" t="s">
        <v>2379</v>
      </c>
    </row>
    <row r="79" spans="1:21" ht="13.5" customHeight="1">
      <c r="A79">
        <f>ROW()</f>
        <v>79</v>
      </c>
      <c r="B79" s="3590"/>
      <c r="C79" s="2614" t="s">
        <v>183</v>
      </c>
      <c r="D79" s="2625" t="s">
        <v>184</v>
      </c>
      <c r="E79" s="3250" t="e">
        <f>VLOOKUP($L$9,ＴＶ総体,2,0)</f>
        <v>#N/A</v>
      </c>
      <c r="F79" s="3252"/>
      <c r="G79" s="3467" t="s">
        <v>180</v>
      </c>
      <c r="H79" s="818"/>
      <c r="I79" s="819" t="e">
        <f>VLOOKUP($L$9,ＴＶ総体,3,0)</f>
        <v>#N/A</v>
      </c>
      <c r="J79" s="820" t="e">
        <f>VLOOKUP($L$9,ＴＶ総体,6,0)</f>
        <v>#N/A</v>
      </c>
      <c r="K79" s="824" t="e">
        <f>VLOOKUP($L$9,ＴＶ総体,9,0)</f>
        <v>#N/A</v>
      </c>
      <c r="L79" s="825" t="s">
        <v>848</v>
      </c>
      <c r="M79" s="2327"/>
      <c r="N79" s="3461" t="e">
        <f>ROUNDDOWN(H81*H83*H85,2)</f>
        <v>#N/A</v>
      </c>
      <c r="O79" s="3450" t="e">
        <f>INT(E79*N79)</f>
        <v>#N/A</v>
      </c>
      <c r="P79" s="3509">
        <f>$P$9</f>
        <v>0</v>
      </c>
      <c r="Q79" s="3252" t="s">
        <v>68</v>
      </c>
      <c r="R79" s="3250">
        <f>IF(ISERROR(INT(O79*P79)),0,INT(O79*P79))</f>
        <v>0</v>
      </c>
      <c r="S79" s="3252"/>
      <c r="T79" s="2395" t="b">
        <f t="shared" ref="T79:T85" si="11">T$78</f>
        <v>0</v>
      </c>
      <c r="U79" s="3499"/>
    </row>
    <row r="80" spans="1:21" ht="13.5" customHeight="1">
      <c r="B80" s="3590"/>
      <c r="C80" s="2614"/>
      <c r="D80" s="2625"/>
      <c r="E80" s="3245"/>
      <c r="F80" s="3247"/>
      <c r="G80" s="3512"/>
      <c r="H80" s="863" t="e">
        <f>HLOOKUP(H79,I79:M81,2,0)</f>
        <v>#N/A</v>
      </c>
      <c r="I80" s="864" t="e">
        <f>VLOOKUP($L$9,ＴＶ総体,4,0)</f>
        <v>#N/A</v>
      </c>
      <c r="J80" s="865" t="e">
        <f>VLOOKUP($L$9,ＴＶ総体,7,0)</f>
        <v>#N/A</v>
      </c>
      <c r="K80" s="866" t="e">
        <f>VLOOKUP($L$9,ＴＶ総体,10,0)</f>
        <v>#N/A</v>
      </c>
      <c r="L80" s="867" t="str">
        <f>IF(H88&lt;&gt;0,J88,"-")</f>
        <v>-</v>
      </c>
      <c r="M80" s="2322" t="s">
        <v>1417</v>
      </c>
      <c r="N80" s="3462"/>
      <c r="O80" s="3451"/>
      <c r="P80" s="2907"/>
      <c r="Q80" s="3247"/>
      <c r="R80" s="3245"/>
      <c r="S80" s="3247"/>
      <c r="T80" s="2395" t="b">
        <f t="shared" si="11"/>
        <v>0</v>
      </c>
      <c r="U80" s="3499"/>
    </row>
    <row r="81" spans="2:21" ht="13.5" customHeight="1">
      <c r="B81" s="3590"/>
      <c r="C81" s="2614"/>
      <c r="D81" s="2625"/>
      <c r="E81" s="3245"/>
      <c r="F81" s="3247"/>
      <c r="G81" s="3468"/>
      <c r="H81" s="813" t="e">
        <f>HLOOKUP(H79,I79:M81,3,0)</f>
        <v>#N/A</v>
      </c>
      <c r="I81" s="814" t="e">
        <f>VLOOKUP($L$9,ＴＶ総体,5,0)</f>
        <v>#N/A</v>
      </c>
      <c r="J81" s="822" t="e">
        <f>VLOOKUP($L$9,ＴＶ総体,8,0)</f>
        <v>#N/A</v>
      </c>
      <c r="K81" s="831" t="e">
        <f>VLOOKUP($L$9,ＴＶ総体,11,0)</f>
        <v>#N/A</v>
      </c>
      <c r="L81" s="815" t="str">
        <f>IF(H88&lt;&gt;0,ROUNDDOWN(1+(L80-J80)*IF(L80&gt;J80,(I81-J81)/(I80-J80),(J81-K81)/(J80-K80)),2),"-")</f>
        <v>-</v>
      </c>
      <c r="M81" s="2322"/>
      <c r="N81" s="3462"/>
      <c r="O81" s="3451"/>
      <c r="P81" s="2907"/>
      <c r="Q81" s="3247"/>
      <c r="R81" s="3245"/>
      <c r="S81" s="3247"/>
      <c r="T81" s="2395" t="b">
        <f t="shared" si="11"/>
        <v>0</v>
      </c>
      <c r="U81" s="3499"/>
    </row>
    <row r="82" spans="2:21" ht="13.5" customHeight="1">
      <c r="B82" s="3590"/>
      <c r="C82" s="2614"/>
      <c r="D82" s="2625"/>
      <c r="E82" s="3245"/>
      <c r="F82" s="3247"/>
      <c r="G82" s="3467" t="s">
        <v>185</v>
      </c>
      <c r="H82" s="818"/>
      <c r="I82" s="819" t="e">
        <f>VLOOKUP($L$9,ＴＶ総体,14,0)</f>
        <v>#N/A</v>
      </c>
      <c r="J82" s="821" t="e">
        <f>VLOOKUP($L$9,ＴＶ総体,16,0)</f>
        <v>#N/A</v>
      </c>
      <c r="K82" s="2403"/>
      <c r="L82" s="868"/>
      <c r="M82" s="2322"/>
      <c r="N82" s="3462"/>
      <c r="O82" s="3451"/>
      <c r="P82" s="2907"/>
      <c r="Q82" s="3247"/>
      <c r="R82" s="3245"/>
      <c r="S82" s="3247"/>
      <c r="T82" s="2395" t="b">
        <f t="shared" si="11"/>
        <v>0</v>
      </c>
      <c r="U82" s="3499"/>
    </row>
    <row r="83" spans="2:21" ht="13.5" customHeight="1">
      <c r="B83" s="3590"/>
      <c r="C83" s="2614"/>
      <c r="D83" s="2625"/>
      <c r="E83" s="3245"/>
      <c r="F83" s="3247"/>
      <c r="G83" s="3468"/>
      <c r="H83" s="813" t="e">
        <f>HLOOKUP(H82,I82:M83,2,0)</f>
        <v>#N/A</v>
      </c>
      <c r="I83" s="814" t="e">
        <f>VLOOKUP($L$9,ＴＶ総体,15,0)</f>
        <v>#N/A</v>
      </c>
      <c r="J83" s="815" t="e">
        <f>VLOOKUP($L$9,ＴＶ総体,17,0)</f>
        <v>#N/A</v>
      </c>
      <c r="K83" s="817"/>
      <c r="L83" s="817"/>
      <c r="M83" s="2322"/>
      <c r="N83" s="3462"/>
      <c r="O83" s="3451"/>
      <c r="P83" s="2907"/>
      <c r="Q83" s="3247"/>
      <c r="R83" s="3245"/>
      <c r="S83" s="3247"/>
      <c r="T83" s="2395" t="b">
        <f t="shared" si="11"/>
        <v>0</v>
      </c>
      <c r="U83" s="3499"/>
    </row>
    <row r="84" spans="2:21" ht="13.5" customHeight="1">
      <c r="B84" s="3590"/>
      <c r="C84" s="2614"/>
      <c r="D84" s="2625"/>
      <c r="E84" s="3245"/>
      <c r="F84" s="3247"/>
      <c r="G84" s="3448" t="s">
        <v>763</v>
      </c>
      <c r="H84" s="833" t="e">
        <f>IF(J84="補正無",J84,$P$9)</f>
        <v>#N/A</v>
      </c>
      <c r="I84" s="834" t="e">
        <f>VLOOKUP($L$9,ＴＶ総体,18,0)</f>
        <v>#N/A</v>
      </c>
      <c r="J84" s="835" t="e">
        <f>VLOOKUP($L$9,ＴＶ総体,20,0)</f>
        <v>#N/A</v>
      </c>
      <c r="K84" s="835" t="e">
        <f>VLOOKUP($L$9,ＴＶ総体,22,0)</f>
        <v>#N/A</v>
      </c>
      <c r="L84" s="836" t="e">
        <f>VLOOKUP($L$9,ＴＶ総体,24,0)</f>
        <v>#N/A</v>
      </c>
      <c r="M84" s="341"/>
      <c r="N84" s="3462"/>
      <c r="O84" s="3451"/>
      <c r="P84" s="2907"/>
      <c r="Q84" s="3247"/>
      <c r="R84" s="3245"/>
      <c r="S84" s="3247"/>
      <c r="T84" s="2395" t="b">
        <f t="shared" si="11"/>
        <v>0</v>
      </c>
      <c r="U84" s="3499"/>
    </row>
    <row r="85" spans="2:21" ht="13.5" customHeight="1">
      <c r="B85" s="3590"/>
      <c r="C85" s="2614"/>
      <c r="D85" s="2625"/>
      <c r="E85" s="3248"/>
      <c r="F85" s="3249"/>
      <c r="G85" s="3448"/>
      <c r="H85" s="813" t="e">
        <f>IF(J84="補正無",1,MIN(I85,MAX(L85,ROUNDDOWN(IF(H84&lt;J84,J85+(I85-J85)/(I84-J84)*(H84-J84),IF(H84&lt;K84,J85-(J85-K85)/(J84-K84)*(J84-H84),K85-(K85-L85)/(K84-L84)*(K84-H84))),2))))</f>
        <v>#N/A</v>
      </c>
      <c r="I85" s="814" t="e">
        <f>VLOOKUP($L$9,ＴＶ総体,19,0)</f>
        <v>#N/A</v>
      </c>
      <c r="J85" s="822" t="e">
        <f>VLOOKUP($L$9,ＴＶ総体,21,0)</f>
        <v>#N/A</v>
      </c>
      <c r="K85" s="822" t="e">
        <f>VLOOKUP($L$9,ＴＶ総体,23,0)</f>
        <v>#N/A</v>
      </c>
      <c r="L85" s="815" t="e">
        <f>VLOOKUP($L$9,ＴＶ総体,25,0)</f>
        <v>#N/A</v>
      </c>
      <c r="M85" s="1698"/>
      <c r="N85" s="3463"/>
      <c r="O85" s="3452"/>
      <c r="P85" s="2490"/>
      <c r="Q85" s="3249"/>
      <c r="R85" s="3248"/>
      <c r="S85" s="3249"/>
      <c r="T85" s="2395" t="b">
        <f t="shared" si="11"/>
        <v>0</v>
      </c>
      <c r="U85" s="3499"/>
    </row>
    <row r="86" spans="2:21" ht="13.5" customHeight="1">
      <c r="B86" s="3590"/>
      <c r="C86" s="2614"/>
      <c r="D86" s="2625"/>
      <c r="E86" s="2322"/>
      <c r="F86" s="2322"/>
      <c r="G86" s="2322"/>
      <c r="H86" s="2322"/>
      <c r="I86" s="2322"/>
      <c r="J86" s="2322"/>
      <c r="K86" s="2322"/>
      <c r="L86" s="2322"/>
      <c r="M86" s="2322"/>
      <c r="N86" s="2322"/>
      <c r="O86" s="2322"/>
      <c r="P86" s="2322"/>
      <c r="Q86" s="2322"/>
      <c r="R86" s="2322"/>
      <c r="S86" s="2323"/>
      <c r="T86" s="2395" t="b">
        <f>+H88&lt;&gt;0</f>
        <v>0</v>
      </c>
      <c r="U86" s="3499"/>
    </row>
    <row r="87" spans="2:21" ht="13.5" customHeight="1">
      <c r="B87" s="3590"/>
      <c r="C87" s="2614"/>
      <c r="D87" s="2625"/>
      <c r="E87" s="2322"/>
      <c r="F87" s="2322"/>
      <c r="G87" s="3448" t="s">
        <v>848</v>
      </c>
      <c r="H87" s="2335" t="s">
        <v>186</v>
      </c>
      <c r="I87" s="2335" t="s">
        <v>526</v>
      </c>
      <c r="J87" s="1638" t="s">
        <v>1416</v>
      </c>
      <c r="K87" s="2322"/>
      <c r="L87" s="2322"/>
      <c r="M87" s="2322"/>
      <c r="N87" s="2322"/>
      <c r="O87" s="2322"/>
      <c r="P87" s="2322"/>
      <c r="Q87" s="2322"/>
      <c r="R87" s="2322"/>
      <c r="S87" s="2323"/>
      <c r="T87" s="2395" t="b">
        <f>+$T$86</f>
        <v>0</v>
      </c>
      <c r="U87" s="3499"/>
    </row>
    <row r="88" spans="2:21" ht="13.5" customHeight="1">
      <c r="B88" s="3590"/>
      <c r="C88" s="2614"/>
      <c r="D88" s="2625"/>
      <c r="E88" s="2322"/>
      <c r="F88" s="2322"/>
      <c r="G88" s="3448"/>
      <c r="H88" s="869"/>
      <c r="I88" s="843">
        <f>$P$9</f>
        <v>0</v>
      </c>
      <c r="J88" s="870" t="e">
        <f>ROUNDDOWN(H88/I88*100,3)</f>
        <v>#DIV/0!</v>
      </c>
      <c r="K88" s="2322"/>
      <c r="L88" s="2322"/>
      <c r="M88" s="2322"/>
      <c r="N88" s="2322"/>
      <c r="O88" s="2322"/>
      <c r="P88" s="2322"/>
      <c r="Q88" s="2322"/>
      <c r="R88" s="2322"/>
      <c r="S88" s="2323"/>
      <c r="T88" s="2395" t="b">
        <f t="shared" ref="T88:T89" si="12">+$T$86</f>
        <v>0</v>
      </c>
      <c r="U88" s="3499"/>
    </row>
    <row r="89" spans="2:21" ht="13.5" customHeight="1">
      <c r="B89" s="3590"/>
      <c r="C89" s="2614"/>
      <c r="D89" s="3607"/>
      <c r="E89" s="2306"/>
      <c r="F89" s="2306"/>
      <c r="G89" s="2306"/>
      <c r="H89" s="2306"/>
      <c r="I89" s="2306"/>
      <c r="J89" s="2306"/>
      <c r="K89" s="2306"/>
      <c r="L89" s="2306"/>
      <c r="M89" s="2306"/>
      <c r="N89" s="2306"/>
      <c r="O89" s="2306"/>
      <c r="P89" s="2306"/>
      <c r="Q89" s="2306"/>
      <c r="R89" s="2306"/>
      <c r="S89" s="2325"/>
      <c r="T89" s="2395" t="b">
        <f t="shared" si="12"/>
        <v>0</v>
      </c>
      <c r="U89" s="3499"/>
    </row>
    <row r="90" spans="2:21" ht="13.5" customHeight="1">
      <c r="B90" s="3590"/>
      <c r="C90" s="2614"/>
      <c r="D90" s="871"/>
      <c r="E90" s="3477" t="s">
        <v>149</v>
      </c>
      <c r="F90" s="3478"/>
      <c r="G90" s="1502" t="s">
        <v>150</v>
      </c>
      <c r="H90" s="2356"/>
      <c r="I90" s="2356"/>
      <c r="J90" s="2356"/>
      <c r="K90" s="2356"/>
      <c r="L90" s="2356"/>
      <c r="M90" s="2357"/>
      <c r="N90" s="2335" t="s">
        <v>524</v>
      </c>
      <c r="O90" s="2335" t="s">
        <v>151</v>
      </c>
      <c r="P90" s="2393" t="s">
        <v>152</v>
      </c>
      <c r="Q90" s="2394" t="s">
        <v>171</v>
      </c>
      <c r="R90" s="3448" t="s">
        <v>791</v>
      </c>
      <c r="S90" s="3448"/>
      <c r="T90" s="2395" t="b">
        <f>COUNTA(H91,H94,H98)&lt;&gt;0</f>
        <v>0</v>
      </c>
    </row>
    <row r="91" spans="2:21" ht="13.5" customHeight="1">
      <c r="B91" s="3590"/>
      <c r="C91" s="2614"/>
      <c r="D91" s="2625" t="s">
        <v>187</v>
      </c>
      <c r="E91" s="3250" t="e">
        <f>VLOOKUP($L$9,ＴＶ局所,2,0)</f>
        <v>#N/A</v>
      </c>
      <c r="F91" s="3252"/>
      <c r="G91" s="3467" t="s">
        <v>180</v>
      </c>
      <c r="H91" s="818"/>
      <c r="I91" s="819" t="e">
        <f>VLOOKUP($L$9,ＴＶ局所,3,0)</f>
        <v>#N/A</v>
      </c>
      <c r="J91" s="820" t="e">
        <f>VLOOKUP($L$9,ＴＶ局所,6,0)</f>
        <v>#N/A</v>
      </c>
      <c r="K91" s="824" t="e">
        <f>VLOOKUP($L$9,ＴＶ局所,9,0)</f>
        <v>#N/A</v>
      </c>
      <c r="L91" s="825" t="s">
        <v>848</v>
      </c>
      <c r="M91" s="2327"/>
      <c r="N91" s="3461" t="e">
        <f>ROUNDDOWN(H93*H95,2)</f>
        <v>#N/A</v>
      </c>
      <c r="O91" s="3450" t="e">
        <f>INT(E91*N91)</f>
        <v>#N/A</v>
      </c>
      <c r="P91" s="3541"/>
      <c r="Q91" s="3252" t="s">
        <v>172</v>
      </c>
      <c r="R91" s="3250">
        <f>IF(ISERROR(INT(O91*P91)),0,INT(O91*P91))</f>
        <v>0</v>
      </c>
      <c r="S91" s="3252"/>
      <c r="T91" s="2395" t="b">
        <f t="shared" ref="T91:T95" si="13">T$90</f>
        <v>0</v>
      </c>
    </row>
    <row r="92" spans="2:21" ht="13.5" customHeight="1">
      <c r="B92" s="3590"/>
      <c r="C92" s="2614"/>
      <c r="D92" s="2625"/>
      <c r="E92" s="3245"/>
      <c r="F92" s="3247"/>
      <c r="G92" s="3512"/>
      <c r="H92" s="872" t="e">
        <f>HLOOKUP(H91,I91:M93,2,0)</f>
        <v>#N/A</v>
      </c>
      <c r="I92" s="873" t="e">
        <f>VLOOKUP($L$9,ＴＶ局所,4,0)</f>
        <v>#N/A</v>
      </c>
      <c r="J92" s="874" t="e">
        <f>VLOOKUP($L$9,ＴＶ局所,7,0)</f>
        <v>#N/A</v>
      </c>
      <c r="K92" s="875" t="e">
        <f>VLOOKUP($L$9,ＴＶ局所,10,0)</f>
        <v>#N/A</v>
      </c>
      <c r="L92" s="876" t="e">
        <f>J98</f>
        <v>#DIV/0!</v>
      </c>
      <c r="M92" s="2322"/>
      <c r="N92" s="3462"/>
      <c r="O92" s="3451"/>
      <c r="P92" s="3514"/>
      <c r="Q92" s="3247"/>
      <c r="R92" s="3245"/>
      <c r="S92" s="3247"/>
      <c r="T92" s="2395" t="b">
        <f t="shared" si="13"/>
        <v>0</v>
      </c>
    </row>
    <row r="93" spans="2:21" ht="13.5" customHeight="1">
      <c r="B93" s="3590"/>
      <c r="C93" s="2614"/>
      <c r="D93" s="2625"/>
      <c r="E93" s="3245"/>
      <c r="F93" s="3247"/>
      <c r="G93" s="3468"/>
      <c r="H93" s="813" t="e">
        <f>HLOOKUP(H91,I91:M93,3,0)</f>
        <v>#N/A</v>
      </c>
      <c r="I93" s="814" t="e">
        <f>VLOOKUP($L$9,ＴＶ局所,5,0)</f>
        <v>#N/A</v>
      </c>
      <c r="J93" s="822" t="e">
        <f>VLOOKUP($L$9,ＴＶ局所,8,0)</f>
        <v>#N/A</v>
      </c>
      <c r="K93" s="831" t="e">
        <f>VLOOKUP($L$9,ＴＶ局所,11,0)</f>
        <v>#N/A</v>
      </c>
      <c r="L93" s="815" t="e">
        <f>ROUNDDOWN(IF(L92&gt;J92,1+(I93-J93)/(I92-J92)*(L92-J92),1-(J93-K93)/(J92-K92)*(J92-L92)),2)</f>
        <v>#DIV/0!</v>
      </c>
      <c r="M93" s="2322"/>
      <c r="N93" s="3462"/>
      <c r="O93" s="3451"/>
      <c r="P93" s="3514"/>
      <c r="Q93" s="3247"/>
      <c r="R93" s="3245"/>
      <c r="S93" s="3247"/>
      <c r="T93" s="2395" t="b">
        <f t="shared" si="13"/>
        <v>0</v>
      </c>
    </row>
    <row r="94" spans="2:21" ht="13.5" customHeight="1">
      <c r="B94" s="3590"/>
      <c r="C94" s="2614"/>
      <c r="D94" s="2625"/>
      <c r="E94" s="3245"/>
      <c r="F94" s="3247"/>
      <c r="G94" s="3467" t="s">
        <v>185</v>
      </c>
      <c r="H94" s="818"/>
      <c r="I94" s="819" t="e">
        <f>VLOOKUP($L$9,ＴＶ局所,14,0)</f>
        <v>#N/A</v>
      </c>
      <c r="J94" s="821" t="e">
        <f>VLOOKUP($L$9,ＴＶ局所,16,0)</f>
        <v>#N/A</v>
      </c>
      <c r="K94" s="817"/>
      <c r="L94" s="877"/>
      <c r="M94" s="2322"/>
      <c r="N94" s="3462"/>
      <c r="O94" s="3451"/>
      <c r="P94" s="3514"/>
      <c r="Q94" s="3247"/>
      <c r="R94" s="3245"/>
      <c r="S94" s="3247"/>
      <c r="T94" s="2395" t="b">
        <f t="shared" si="13"/>
        <v>0</v>
      </c>
    </row>
    <row r="95" spans="2:21" ht="13.5" customHeight="1">
      <c r="B95" s="3590"/>
      <c r="C95" s="2614"/>
      <c r="D95" s="2625"/>
      <c r="E95" s="3248"/>
      <c r="F95" s="3249"/>
      <c r="G95" s="3468"/>
      <c r="H95" s="813" t="e">
        <f>HLOOKUP(H94,I94:M95,2,0)</f>
        <v>#N/A</v>
      </c>
      <c r="I95" s="814" t="e">
        <f>VLOOKUP($L$9,ＴＶ局所,15,0)</f>
        <v>#N/A</v>
      </c>
      <c r="J95" s="815" t="e">
        <f>VLOOKUP($L$9,ＴＶ局所,17,0)</f>
        <v>#N/A</v>
      </c>
      <c r="K95" s="1698"/>
      <c r="L95" s="1698"/>
      <c r="M95" s="2306"/>
      <c r="N95" s="3463"/>
      <c r="O95" s="3452"/>
      <c r="P95" s="3515"/>
      <c r="Q95" s="3249"/>
      <c r="R95" s="3248"/>
      <c r="S95" s="3249"/>
      <c r="T95" s="2395" t="b">
        <f t="shared" si="13"/>
        <v>0</v>
      </c>
    </row>
    <row r="96" spans="2:21" ht="13.5" customHeight="1">
      <c r="B96" s="3590"/>
      <c r="C96" s="2317"/>
      <c r="D96" s="2625"/>
      <c r="E96" s="2322"/>
      <c r="F96" s="2322"/>
      <c r="G96" s="2322"/>
      <c r="H96" s="2322"/>
      <c r="I96" s="2322"/>
      <c r="J96" s="2322"/>
      <c r="K96" s="2322"/>
      <c r="L96" s="2322"/>
      <c r="M96" s="2322"/>
      <c r="N96" s="2322"/>
      <c r="O96" s="2322"/>
      <c r="P96" s="2322"/>
      <c r="Q96" s="2322"/>
      <c r="R96" s="2322"/>
      <c r="S96" s="2323"/>
      <c r="T96" s="2395" t="b">
        <f>H$98&lt;&gt;0</f>
        <v>0</v>
      </c>
    </row>
    <row r="97" spans="1:21" ht="13.5" customHeight="1">
      <c r="B97" s="3590"/>
      <c r="C97" s="2317"/>
      <c r="D97" s="2625"/>
      <c r="E97" s="2322"/>
      <c r="F97" s="2322"/>
      <c r="G97" s="3448" t="s">
        <v>848</v>
      </c>
      <c r="H97" s="2335" t="s">
        <v>188</v>
      </c>
      <c r="I97" s="2335" t="s">
        <v>189</v>
      </c>
      <c r="J97" s="1638" t="s">
        <v>190</v>
      </c>
      <c r="K97" s="2322"/>
      <c r="L97" s="2322"/>
      <c r="M97" s="2322"/>
      <c r="N97" s="2322"/>
      <c r="O97" s="2322"/>
      <c r="P97" s="2322"/>
      <c r="Q97" s="2322"/>
      <c r="R97" s="2322"/>
      <c r="S97" s="2323"/>
      <c r="T97" s="2395" t="b">
        <f>+$T$96</f>
        <v>0</v>
      </c>
    </row>
    <row r="98" spans="1:21" ht="13.5" customHeight="1">
      <c r="B98" s="3590"/>
      <c r="C98" s="2317"/>
      <c r="D98" s="2625"/>
      <c r="E98" s="2322"/>
      <c r="F98" s="2322"/>
      <c r="G98" s="3448"/>
      <c r="H98" s="869"/>
      <c r="I98" s="1811">
        <f>+P91</f>
        <v>0</v>
      </c>
      <c r="J98" s="878" t="e">
        <f>ROUNDDOWN(H98/I98,2)</f>
        <v>#DIV/0!</v>
      </c>
      <c r="K98" s="2322"/>
      <c r="L98" s="2322"/>
      <c r="M98" s="2322"/>
      <c r="N98" s="2322"/>
      <c r="O98" s="2322"/>
      <c r="P98" s="2322"/>
      <c r="Q98" s="2322"/>
      <c r="R98" s="2322"/>
      <c r="S98" s="2323"/>
      <c r="T98" s="2395" t="b">
        <f t="shared" ref="T98:T99" si="14">+$T$96</f>
        <v>0</v>
      </c>
    </row>
    <row r="99" spans="1:21" ht="13.5" customHeight="1">
      <c r="B99" s="3590"/>
      <c r="C99" s="2318"/>
      <c r="D99" s="3607"/>
      <c r="E99" s="2306"/>
      <c r="F99" s="2306"/>
      <c r="G99" s="2306"/>
      <c r="H99" s="2306"/>
      <c r="I99" s="2306"/>
      <c r="J99" s="2306"/>
      <c r="K99" s="2306"/>
      <c r="L99" s="2306"/>
      <c r="M99" s="2306"/>
      <c r="N99" s="2306"/>
      <c r="O99" s="2306"/>
      <c r="P99" s="2306"/>
      <c r="Q99" s="2306"/>
      <c r="R99" s="2306"/>
      <c r="S99" s="2325"/>
      <c r="T99" s="2395" t="b">
        <f t="shared" si="14"/>
        <v>0</v>
      </c>
    </row>
    <row r="100" spans="1:21" ht="13.5" customHeight="1">
      <c r="B100" s="804"/>
      <c r="C100" s="879"/>
      <c r="D100" s="880"/>
      <c r="E100" s="3477" t="s">
        <v>149</v>
      </c>
      <c r="F100" s="3478"/>
      <c r="G100" s="1502" t="s">
        <v>150</v>
      </c>
      <c r="H100" s="2356"/>
      <c r="I100" s="2356"/>
      <c r="J100" s="2356"/>
      <c r="K100" s="2356"/>
      <c r="L100" s="2356"/>
      <c r="M100" s="2357"/>
      <c r="N100" s="2335" t="s">
        <v>524</v>
      </c>
      <c r="O100" s="2335" t="s">
        <v>151</v>
      </c>
      <c r="P100" s="2393" t="s">
        <v>152</v>
      </c>
      <c r="Q100" s="2404" t="s">
        <v>2095</v>
      </c>
      <c r="R100" s="3448" t="s">
        <v>791</v>
      </c>
      <c r="S100" s="3448"/>
      <c r="T100" s="2395" t="b">
        <f>COUNTA(H101)&lt;&gt;0</f>
        <v>0</v>
      </c>
      <c r="U100" s="2358" t="s">
        <v>2348</v>
      </c>
    </row>
    <row r="101" spans="1:21" ht="13.5" customHeight="1">
      <c r="A101">
        <f>ROW()</f>
        <v>101</v>
      </c>
      <c r="B101" s="3590" t="s">
        <v>191</v>
      </c>
      <c r="C101" s="2681" t="s">
        <v>2365</v>
      </c>
      <c r="D101" s="2683"/>
      <c r="E101" s="3473" t="e">
        <f>VLOOKUP($L$9,給水小,2,0)</f>
        <v>#N/A</v>
      </c>
      <c r="F101" s="3474"/>
      <c r="G101" s="3448" t="s">
        <v>2096</v>
      </c>
      <c r="H101" s="2405"/>
      <c r="I101" s="2406" t="e">
        <f>VLOOKUP($L$9,給水小,3,0)</f>
        <v>#N/A</v>
      </c>
      <c r="J101" s="2407" t="e">
        <f>VLOOKUP($L$9,給水小,5,0)</f>
        <v>#N/A</v>
      </c>
      <c r="K101" s="2407" t="e">
        <f>VLOOKUP($L$9,給水小,7,0)</f>
        <v>#N/A</v>
      </c>
      <c r="L101" s="821" t="s">
        <v>2119</v>
      </c>
      <c r="M101" s="2335" t="s">
        <v>2096</v>
      </c>
      <c r="N101" s="3479" t="e">
        <f>ROUNDDOWN(H102,2)</f>
        <v>#N/A</v>
      </c>
      <c r="O101" s="3492" t="e">
        <f>INT(E101*N101)</f>
        <v>#N/A</v>
      </c>
      <c r="P101" s="3510"/>
      <c r="Q101" s="3471" t="s">
        <v>2098</v>
      </c>
      <c r="R101" s="3473">
        <f>IF(ISERROR(INT(O101*P101)),0,INT(O101*P101))</f>
        <v>0</v>
      </c>
      <c r="S101" s="3474"/>
      <c r="T101" s="2395" t="b">
        <f t="shared" ref="T101:T102" si="15">T$100</f>
        <v>0</v>
      </c>
    </row>
    <row r="102" spans="1:21" ht="13.5" customHeight="1">
      <c r="B102" s="3590"/>
      <c r="C102" s="2681"/>
      <c r="D102" s="2683"/>
      <c r="E102" s="3516"/>
      <c r="F102" s="3517"/>
      <c r="G102" s="3448"/>
      <c r="H102" s="813" t="e">
        <f>HLOOKUP(H101,I101:M102,2,0)</f>
        <v>#N/A</v>
      </c>
      <c r="I102" s="814" t="e">
        <f>VLOOKUP($L$9,給水小,4,0)</f>
        <v>#N/A</v>
      </c>
      <c r="J102" s="822" t="e">
        <f>VLOOKUP($L$9,給水小,6,0)</f>
        <v>#N/A</v>
      </c>
      <c r="K102" s="822" t="e">
        <f>VLOOKUP($L$9,給水小,8,0)</f>
        <v>#N/A</v>
      </c>
      <c r="L102" s="815" t="str">
        <f>IF(M102,ROUNDDOWN(1+(M102-J101)*IF(M102&gt;J101,(I102-J102)/(I101-J101),(J102-K102)/(J101-K101)),2),"－")</f>
        <v>－</v>
      </c>
      <c r="M102" s="2408"/>
      <c r="N102" s="3480"/>
      <c r="O102" s="3493"/>
      <c r="P102" s="3511"/>
      <c r="Q102" s="3472"/>
      <c r="R102" s="3475"/>
      <c r="S102" s="3476"/>
      <c r="T102" s="2395" t="b">
        <f t="shared" si="15"/>
        <v>0</v>
      </c>
    </row>
    <row r="103" spans="1:21" s="2001" customFormat="1" ht="13.5" customHeight="1">
      <c r="B103" s="3590"/>
      <c r="C103" s="879"/>
      <c r="D103" s="880"/>
      <c r="E103" s="3477" t="s">
        <v>149</v>
      </c>
      <c r="F103" s="3478"/>
      <c r="G103" s="1502" t="s">
        <v>150</v>
      </c>
      <c r="H103" s="2356"/>
      <c r="I103" s="2356"/>
      <c r="J103" s="2356"/>
      <c r="K103" s="2356"/>
      <c r="L103" s="2356"/>
      <c r="M103" s="2357"/>
      <c r="N103" s="2335" t="s">
        <v>524</v>
      </c>
      <c r="O103" s="2335" t="s">
        <v>151</v>
      </c>
      <c r="P103" s="2393" t="s">
        <v>152</v>
      </c>
      <c r="Q103" s="2394" t="s">
        <v>2095</v>
      </c>
      <c r="R103" s="3448" t="s">
        <v>791</v>
      </c>
      <c r="S103" s="3448"/>
      <c r="T103" s="2395" t="b">
        <f>COUNTA(H104)&lt;&gt;0</f>
        <v>0</v>
      </c>
      <c r="U103" s="2358" t="s">
        <v>2128</v>
      </c>
    </row>
    <row r="104" spans="1:21" ht="13.5" customHeight="1">
      <c r="B104" s="3590"/>
      <c r="C104" s="2681" t="s">
        <v>2120</v>
      </c>
      <c r="D104" s="2683"/>
      <c r="E104" s="3473" t="e">
        <f>VLOOKUP($L$9,給水大,2,0)</f>
        <v>#N/A</v>
      </c>
      <c r="F104" s="3474"/>
      <c r="G104" s="3448" t="s">
        <v>2096</v>
      </c>
      <c r="H104" s="2405"/>
      <c r="I104" s="2406" t="e">
        <f>VLOOKUP($L$9,給水大,3,0)</f>
        <v>#N/A</v>
      </c>
      <c r="J104" s="2407" t="e">
        <f>VLOOKUP($L$9,給水大,5,0)</f>
        <v>#N/A</v>
      </c>
      <c r="K104" s="2407" t="e">
        <f>VLOOKUP($L$9,給水大,7,0)</f>
        <v>#N/A</v>
      </c>
      <c r="L104" s="821" t="s">
        <v>2119</v>
      </c>
      <c r="M104" s="2335" t="s">
        <v>2096</v>
      </c>
      <c r="N104" s="3479" t="e">
        <f>ROUNDDOWN(H105,2)</f>
        <v>#N/A</v>
      </c>
      <c r="O104" s="3492" t="e">
        <f>INT(E104*N104)</f>
        <v>#N/A</v>
      </c>
      <c r="P104" s="3510"/>
      <c r="Q104" s="3471" t="s">
        <v>2098</v>
      </c>
      <c r="R104" s="3473">
        <f>IF(ISERROR(INT(O104*P104)),0,INT(O104*P104))</f>
        <v>0</v>
      </c>
      <c r="S104" s="3474"/>
      <c r="T104" s="2395" t="b">
        <f>T$103</f>
        <v>0</v>
      </c>
    </row>
    <row r="105" spans="1:21" ht="13.5" customHeight="1">
      <c r="B105" s="3590"/>
      <c r="C105" s="2681"/>
      <c r="D105" s="2683"/>
      <c r="E105" s="3516"/>
      <c r="F105" s="3517"/>
      <c r="G105" s="3448"/>
      <c r="H105" s="813" t="e">
        <f>HLOOKUP(H104,I104:M105,2,0)</f>
        <v>#N/A</v>
      </c>
      <c r="I105" s="814" t="e">
        <f>VLOOKUP($L$9,給水大,4,0)</f>
        <v>#N/A</v>
      </c>
      <c r="J105" s="822" t="e">
        <f>VLOOKUP($L$9,給水大,6,0)</f>
        <v>#N/A</v>
      </c>
      <c r="K105" s="822" t="e">
        <f>VLOOKUP($L$9,給水大,8,0)</f>
        <v>#N/A</v>
      </c>
      <c r="L105" s="815" t="str">
        <f>IF(M105,ROUNDDOWN(1+(M105-J104)*IF(M105&gt;J104,(I105-J105)/(I104-J104),(J105-K105)/(J104-K104)),2),"－")</f>
        <v>－</v>
      </c>
      <c r="M105" s="2408"/>
      <c r="N105" s="3480"/>
      <c r="O105" s="3493"/>
      <c r="P105" s="3511"/>
      <c r="Q105" s="3472"/>
      <c r="R105" s="3475"/>
      <c r="S105" s="3476"/>
      <c r="T105" s="2395" t="b">
        <f>T$103</f>
        <v>0</v>
      </c>
    </row>
    <row r="106" spans="1:21" s="2001" customFormat="1" ht="13.5" customHeight="1">
      <c r="B106" s="3590"/>
      <c r="C106" s="879"/>
      <c r="D106" s="880"/>
      <c r="E106" s="3477" t="s">
        <v>149</v>
      </c>
      <c r="F106" s="3478"/>
      <c r="G106" s="1502" t="s">
        <v>150</v>
      </c>
      <c r="H106" s="2356"/>
      <c r="I106" s="2356"/>
      <c r="J106" s="2356"/>
      <c r="K106" s="2356"/>
      <c r="L106" s="2356"/>
      <c r="M106" s="2357"/>
      <c r="N106" s="2335" t="s">
        <v>524</v>
      </c>
      <c r="O106" s="2335" t="s">
        <v>151</v>
      </c>
      <c r="P106" s="2393" t="s">
        <v>152</v>
      </c>
      <c r="Q106" s="2394" t="s">
        <v>2122</v>
      </c>
      <c r="R106" s="3448" t="s">
        <v>791</v>
      </c>
      <c r="S106" s="3448"/>
      <c r="T106" s="2395" t="b">
        <f>COUNTA(H107)&lt;&gt;0</f>
        <v>0</v>
      </c>
      <c r="U106" s="2358"/>
    </row>
    <row r="107" spans="1:21" s="2001" customFormat="1" ht="13.5" customHeight="1">
      <c r="B107" s="3590"/>
      <c r="C107" s="2681" t="s">
        <v>2105</v>
      </c>
      <c r="D107" s="2683"/>
      <c r="E107" s="3473" t="e">
        <f>VLOOKUP($L$9,受水槽,2,0)</f>
        <v>#N/A</v>
      </c>
      <c r="F107" s="3474"/>
      <c r="G107" s="3448" t="s">
        <v>204</v>
      </c>
      <c r="H107" s="2409"/>
      <c r="I107" s="945" t="e">
        <f>VLOOKUP($L$9,受水槽,3,0)</f>
        <v>#N/A</v>
      </c>
      <c r="J107" s="946" t="e">
        <f>VLOOKUP($L$9,受水槽,5,0)</f>
        <v>#N/A</v>
      </c>
      <c r="K107" s="946" t="e">
        <f>VLOOKUP($L$9,受水槽,7,0)</f>
        <v>#N/A</v>
      </c>
      <c r="L107" s="821" t="s">
        <v>2119</v>
      </c>
      <c r="M107" s="2335" t="s">
        <v>204</v>
      </c>
      <c r="N107" s="3479" t="e">
        <f>ROUNDDOWN(H108,2)</f>
        <v>#N/A</v>
      </c>
      <c r="O107" s="3492" t="e">
        <f>INT(E107*N107)</f>
        <v>#N/A</v>
      </c>
      <c r="P107" s="3510"/>
      <c r="Q107" s="3471" t="s">
        <v>2121</v>
      </c>
      <c r="R107" s="3473">
        <f>IF(ISERROR(INT(O107*P107)),0,INT(O107*P107))</f>
        <v>0</v>
      </c>
      <c r="S107" s="3474"/>
      <c r="T107" s="2395" t="b">
        <f>T$106</f>
        <v>0</v>
      </c>
      <c r="U107" s="2358"/>
    </row>
    <row r="108" spans="1:21" s="2001" customFormat="1" ht="13.5" customHeight="1">
      <c r="B108" s="3590"/>
      <c r="C108" s="2681"/>
      <c r="D108" s="2683"/>
      <c r="E108" s="3516"/>
      <c r="F108" s="3517"/>
      <c r="G108" s="3448"/>
      <c r="H108" s="813" t="e">
        <f>HLOOKUP(H107,I107:M108,2,0)</f>
        <v>#N/A</v>
      </c>
      <c r="I108" s="814" t="e">
        <f>VLOOKUP($L$9,受水槽,4,0)</f>
        <v>#N/A</v>
      </c>
      <c r="J108" s="822" t="e">
        <f>VLOOKUP($L$9,受水槽,6,0)</f>
        <v>#N/A</v>
      </c>
      <c r="K108" s="822" t="e">
        <f>VLOOKUP($L$9,受水槽,8,0)</f>
        <v>#N/A</v>
      </c>
      <c r="L108" s="815" t="str">
        <f>IF(M108,ROUNDDOWN(1+(M108-J107)*IF(M108&gt;J107,(I108-J108)/(I107-J107),(J108-K108)/(J107-K107)),2),"－")</f>
        <v>－</v>
      </c>
      <c r="M108" s="2410"/>
      <c r="N108" s="3480"/>
      <c r="O108" s="3493"/>
      <c r="P108" s="3511"/>
      <c r="Q108" s="3472"/>
      <c r="R108" s="3475"/>
      <c r="S108" s="3476"/>
      <c r="T108" s="2395" t="b">
        <f>T$106</f>
        <v>0</v>
      </c>
      <c r="U108" s="2358"/>
    </row>
    <row r="109" spans="1:21" s="2001" customFormat="1" ht="13.5" customHeight="1">
      <c r="B109" s="3590"/>
      <c r="C109" s="879"/>
      <c r="D109" s="880"/>
      <c r="E109" s="3477" t="s">
        <v>149</v>
      </c>
      <c r="F109" s="3478"/>
      <c r="G109" s="1502" t="s">
        <v>150</v>
      </c>
      <c r="H109" s="2356"/>
      <c r="I109" s="2356"/>
      <c r="J109" s="2356"/>
      <c r="K109" s="2356"/>
      <c r="L109" s="2356"/>
      <c r="M109" s="2357"/>
      <c r="N109" s="2335" t="s">
        <v>524</v>
      </c>
      <c r="O109" s="2335" t="s">
        <v>151</v>
      </c>
      <c r="P109" s="2393" t="s">
        <v>152</v>
      </c>
      <c r="Q109" s="2394" t="s">
        <v>2125</v>
      </c>
      <c r="R109" s="3448" t="s">
        <v>791</v>
      </c>
      <c r="S109" s="3448"/>
      <c r="T109" s="2395" t="b">
        <f>COUNTA(H110,H112,P110)&lt;&gt;0</f>
        <v>0</v>
      </c>
      <c r="U109" s="2358"/>
    </row>
    <row r="110" spans="1:21" ht="13.5" customHeight="1">
      <c r="B110" s="3590"/>
      <c r="C110" s="2681" t="s">
        <v>2123</v>
      </c>
      <c r="D110" s="2683"/>
      <c r="E110" s="3473" t="e">
        <f>VLOOKUP($L$9,増圧ポンプ,2,0)</f>
        <v>#N/A</v>
      </c>
      <c r="F110" s="3474"/>
      <c r="G110" s="3448" t="s">
        <v>2107</v>
      </c>
      <c r="H110" s="2411"/>
      <c r="I110" s="2412" t="e">
        <f>VLOOKUP($L$9,増圧ポンプ,3,0)</f>
        <v>#N/A</v>
      </c>
      <c r="J110" s="2413" t="e">
        <f>VLOOKUP($L$9,増圧ポンプ,5,0)</f>
        <v>#N/A</v>
      </c>
      <c r="K110" s="2413" t="e">
        <f>VLOOKUP($L$9,増圧ポンプ,7,0)</f>
        <v>#N/A</v>
      </c>
      <c r="L110" s="821" t="s">
        <v>2119</v>
      </c>
      <c r="M110" s="2335" t="s">
        <v>2107</v>
      </c>
      <c r="N110" s="3479" t="e">
        <f>ROUNDDOWN(H111*H113,2)</f>
        <v>#N/A</v>
      </c>
      <c r="O110" s="3492" t="e">
        <f>INT(E110*N110)</f>
        <v>#N/A</v>
      </c>
      <c r="P110" s="3527"/>
      <c r="Q110" s="3471" t="s">
        <v>2124</v>
      </c>
      <c r="R110" s="3473">
        <f>IF(ISERROR(INT(O110*P110)),0,INT(O110*P110))</f>
        <v>0</v>
      </c>
      <c r="S110" s="3474"/>
      <c r="T110" s="2395" t="b">
        <f>T$109</f>
        <v>0</v>
      </c>
    </row>
    <row r="111" spans="1:21" ht="13.5" customHeight="1">
      <c r="B111" s="3590"/>
      <c r="C111" s="2681"/>
      <c r="D111" s="2683"/>
      <c r="E111" s="3516"/>
      <c r="F111" s="3517"/>
      <c r="G111" s="3448"/>
      <c r="H111" s="813" t="e">
        <f t="shared" ref="H111" si="16">HLOOKUP(H110,I110:M111,2,0)</f>
        <v>#N/A</v>
      </c>
      <c r="I111" s="814" t="e">
        <f>VLOOKUP($L$9,増圧ポンプ,4,0)</f>
        <v>#N/A</v>
      </c>
      <c r="J111" s="822" t="e">
        <f>VLOOKUP($L$9,増圧ポンプ,6,0)</f>
        <v>#N/A</v>
      </c>
      <c r="K111" s="822" t="e">
        <f>VLOOKUP($L$9,増圧ポンプ,8,0)</f>
        <v>#N/A</v>
      </c>
      <c r="L111" s="815" t="str">
        <f t="shared" ref="L111" si="17">IF(M111,ROUNDDOWN(1+(M111-J110)*IF(M111&gt;J110,(I111-J111)/(I110-J110),(J111-K111)/(J110-K110)),2),"－")</f>
        <v>－</v>
      </c>
      <c r="M111" s="2414"/>
      <c r="N111" s="3518"/>
      <c r="O111" s="3519"/>
      <c r="P111" s="3528"/>
      <c r="Q111" s="3526"/>
      <c r="R111" s="3516"/>
      <c r="S111" s="3517"/>
      <c r="T111" s="2395" t="b">
        <f t="shared" ref="T111:T113" si="18">T$109</f>
        <v>0</v>
      </c>
    </row>
    <row r="112" spans="1:21" ht="13.5" customHeight="1">
      <c r="B112" s="3590"/>
      <c r="C112" s="2681"/>
      <c r="D112" s="2683"/>
      <c r="E112" s="3516" t="e">
        <f>VLOOKUP($L$9,受水槽,2,0)</f>
        <v>#N/A</v>
      </c>
      <c r="F112" s="3517"/>
      <c r="G112" s="3448" t="s">
        <v>2108</v>
      </c>
      <c r="H112" s="2415"/>
      <c r="I112" s="949" t="e">
        <f>VLOOKUP($L$9,増圧ポンプ,9,0)</f>
        <v>#N/A</v>
      </c>
      <c r="J112" s="950" t="e">
        <f>VLOOKUP($L$9,増圧ポンプ,11,0)</f>
        <v>#N/A</v>
      </c>
      <c r="K112" s="950" t="e">
        <f>VLOOKUP($L$9,増圧ポンプ,13,0)</f>
        <v>#N/A</v>
      </c>
      <c r="L112" s="821" t="s">
        <v>2119</v>
      </c>
      <c r="M112" s="2335" t="s">
        <v>2108</v>
      </c>
      <c r="N112" s="3518"/>
      <c r="O112" s="3519"/>
      <c r="P112" s="3528"/>
      <c r="Q112" s="3526"/>
      <c r="R112" s="3516"/>
      <c r="S112" s="3517"/>
      <c r="T112" s="2395" t="b">
        <f t="shared" si="18"/>
        <v>0</v>
      </c>
    </row>
    <row r="113" spans="1:21" ht="13.5" customHeight="1">
      <c r="B113" s="3590"/>
      <c r="C113" s="3490"/>
      <c r="D113" s="3491"/>
      <c r="E113" s="3475"/>
      <c r="F113" s="3476"/>
      <c r="G113" s="3448"/>
      <c r="H113" s="813" t="e">
        <f t="shared" ref="H113" si="19">HLOOKUP(H112,I112:M113,2,0)</f>
        <v>#N/A</v>
      </c>
      <c r="I113" s="814" t="e">
        <f>VLOOKUP($L$9,増圧ポンプ,10,0)</f>
        <v>#N/A</v>
      </c>
      <c r="J113" s="822" t="e">
        <f>VLOOKUP($L$9,増圧ポンプ,12,0)</f>
        <v>#N/A</v>
      </c>
      <c r="K113" s="822" t="e">
        <f>VLOOKUP($L$9,増圧ポンプ,14,0)</f>
        <v>#N/A</v>
      </c>
      <c r="L113" s="815" t="str">
        <f t="shared" ref="L113" si="20">IF(M113,ROUNDDOWN(1+(M113-J112)*IF(M113&gt;J112,(I113-J113)/(I112-J112),(J113-K113)/(J112-K112)),2),"－")</f>
        <v>－</v>
      </c>
      <c r="M113" s="2416"/>
      <c r="N113" s="3480"/>
      <c r="O113" s="3493"/>
      <c r="P113" s="3529"/>
      <c r="Q113" s="3472"/>
      <c r="R113" s="3475"/>
      <c r="S113" s="3476"/>
      <c r="T113" s="2395" t="b">
        <f t="shared" si="18"/>
        <v>0</v>
      </c>
    </row>
    <row r="114" spans="1:21" s="2001" customFormat="1" ht="13.5" customHeight="1">
      <c r="B114" s="3590"/>
      <c r="C114" s="879"/>
      <c r="D114" s="880"/>
      <c r="E114" s="3477" t="s">
        <v>149</v>
      </c>
      <c r="F114" s="3478"/>
      <c r="G114" s="1502" t="s">
        <v>150</v>
      </c>
      <c r="H114" s="2356"/>
      <c r="I114" s="2356"/>
      <c r="J114" s="2356"/>
      <c r="K114" s="2356"/>
      <c r="L114" s="2356"/>
      <c r="M114" s="2357"/>
      <c r="N114" s="2335" t="s">
        <v>524</v>
      </c>
      <c r="O114" s="2335" t="s">
        <v>151</v>
      </c>
      <c r="P114" s="2393" t="s">
        <v>152</v>
      </c>
      <c r="Q114" s="2404" t="s">
        <v>2095</v>
      </c>
      <c r="R114" s="3448" t="s">
        <v>791</v>
      </c>
      <c r="S114" s="3448"/>
      <c r="T114" s="2395" t="b">
        <f>COUNTA(H115,P115)&lt;&gt;0</f>
        <v>0</v>
      </c>
      <c r="U114" s="2358" t="s">
        <v>2348</v>
      </c>
    </row>
    <row r="115" spans="1:21" s="2001" customFormat="1" ht="13.5" customHeight="1">
      <c r="A115" s="2001">
        <f>ROW()</f>
        <v>115</v>
      </c>
      <c r="B115" s="3590"/>
      <c r="C115" s="2681" t="s">
        <v>2366</v>
      </c>
      <c r="D115" s="2683"/>
      <c r="E115" s="3473" t="e">
        <f>VLOOKUP($L$9,排水小,2,0)</f>
        <v>#N/A</v>
      </c>
      <c r="F115" s="3474"/>
      <c r="G115" s="3448" t="s">
        <v>2096</v>
      </c>
      <c r="H115" s="2405"/>
      <c r="I115" s="2406" t="e">
        <f>VLOOKUP($L$9,排水小,3,0)</f>
        <v>#N/A</v>
      </c>
      <c r="J115" s="2407" t="e">
        <f>VLOOKUP($L$9,排水小,5,0)</f>
        <v>#N/A</v>
      </c>
      <c r="K115" s="2407" t="e">
        <f>VLOOKUP($L$9,排水小,7,0)</f>
        <v>#N/A</v>
      </c>
      <c r="L115" s="821" t="s">
        <v>2119</v>
      </c>
      <c r="M115" s="2335" t="s">
        <v>2096</v>
      </c>
      <c r="N115" s="3479" t="e">
        <f>ROUNDDOWN(H116,2)</f>
        <v>#N/A</v>
      </c>
      <c r="O115" s="3492" t="e">
        <f>INT(E115*N115)</f>
        <v>#N/A</v>
      </c>
      <c r="P115" s="3510"/>
      <c r="Q115" s="3471" t="s">
        <v>2098</v>
      </c>
      <c r="R115" s="3473">
        <f>IF(ISERROR(INT(O115*P115)),0,INT(O115*P115))</f>
        <v>0</v>
      </c>
      <c r="S115" s="3474"/>
      <c r="T115" s="2395" t="b">
        <f>T$114</f>
        <v>0</v>
      </c>
      <c r="U115" s="2358"/>
    </row>
    <row r="116" spans="1:21" s="2001" customFormat="1" ht="13.5" customHeight="1">
      <c r="B116" s="3590"/>
      <c r="C116" s="2681"/>
      <c r="D116" s="2683"/>
      <c r="E116" s="3516"/>
      <c r="F116" s="3517"/>
      <c r="G116" s="3448"/>
      <c r="H116" s="813" t="e">
        <f>HLOOKUP(H115,I115:M116,2,0)</f>
        <v>#N/A</v>
      </c>
      <c r="I116" s="814" t="e">
        <f>VLOOKUP($L$9,排水小,4,0)</f>
        <v>#N/A</v>
      </c>
      <c r="J116" s="822" t="e">
        <f>VLOOKUP($L$9,排水小,6,0)</f>
        <v>#N/A</v>
      </c>
      <c r="K116" s="822" t="e">
        <f>VLOOKUP($L$9,排水小,8,0)</f>
        <v>#N/A</v>
      </c>
      <c r="L116" s="815" t="str">
        <f>IF(M116,ROUNDDOWN(1+(M116-J115)*IF(M116&gt;J115,(I116-J116)/(I115-J115),(J116-K116)/(J115-K115)),2),"－")</f>
        <v>－</v>
      </c>
      <c r="M116" s="2408"/>
      <c r="N116" s="3480"/>
      <c r="O116" s="3493"/>
      <c r="P116" s="3511"/>
      <c r="Q116" s="3472"/>
      <c r="R116" s="3475"/>
      <c r="S116" s="3476"/>
      <c r="T116" s="2395" t="b">
        <f>T$114</f>
        <v>0</v>
      </c>
      <c r="U116" s="2358"/>
    </row>
    <row r="117" spans="1:21" s="2001" customFormat="1" ht="13.5" customHeight="1">
      <c r="B117" s="3590"/>
      <c r="C117" s="879"/>
      <c r="D117" s="880"/>
      <c r="E117" s="3477" t="s">
        <v>149</v>
      </c>
      <c r="F117" s="3478"/>
      <c r="G117" s="1502" t="s">
        <v>150</v>
      </c>
      <c r="H117" s="2356"/>
      <c r="I117" s="2356"/>
      <c r="J117" s="2356"/>
      <c r="K117" s="2356"/>
      <c r="L117" s="2356"/>
      <c r="M117" s="2357"/>
      <c r="N117" s="2335" t="s">
        <v>524</v>
      </c>
      <c r="O117" s="2335" t="s">
        <v>151</v>
      </c>
      <c r="P117" s="2393" t="s">
        <v>152</v>
      </c>
      <c r="Q117" s="2394" t="s">
        <v>2095</v>
      </c>
      <c r="R117" s="3448" t="s">
        <v>791</v>
      </c>
      <c r="S117" s="3448"/>
      <c r="T117" s="2395" t="b">
        <f>COUNTA(H118)&lt;&gt;0</f>
        <v>0</v>
      </c>
      <c r="U117" s="2358" t="s">
        <v>2128</v>
      </c>
    </row>
    <row r="118" spans="1:21" s="2001" customFormat="1" ht="13.5" customHeight="1">
      <c r="B118" s="3590"/>
      <c r="C118" s="2681" t="s">
        <v>2126</v>
      </c>
      <c r="D118" s="2683"/>
      <c r="E118" s="3473" t="e">
        <f>VLOOKUP($L$9,排水大,2,0)</f>
        <v>#N/A</v>
      </c>
      <c r="F118" s="3474"/>
      <c r="G118" s="3448" t="s">
        <v>2096</v>
      </c>
      <c r="H118" s="2405"/>
      <c r="I118" s="2406" t="e">
        <f>VLOOKUP($L$9,排水大,3,0)</f>
        <v>#N/A</v>
      </c>
      <c r="J118" s="2407" t="e">
        <f>VLOOKUP($L$9,排水大,5,0)</f>
        <v>#N/A</v>
      </c>
      <c r="K118" s="2407" t="e">
        <f>VLOOKUP($L$9,排水大,7,0)</f>
        <v>#N/A</v>
      </c>
      <c r="L118" s="821" t="s">
        <v>2119</v>
      </c>
      <c r="M118" s="2335" t="s">
        <v>2096</v>
      </c>
      <c r="N118" s="3479" t="e">
        <f>ROUNDDOWN(H119,2)</f>
        <v>#N/A</v>
      </c>
      <c r="O118" s="3492" t="e">
        <f>INT(E118*N118)</f>
        <v>#N/A</v>
      </c>
      <c r="P118" s="3510"/>
      <c r="Q118" s="3471" t="s">
        <v>2098</v>
      </c>
      <c r="R118" s="3473">
        <f>IF(ISERROR(INT(O118*P118)),0,INT(O118*P118))</f>
        <v>0</v>
      </c>
      <c r="S118" s="3474"/>
      <c r="T118" s="2395" t="b">
        <f>T$117</f>
        <v>0</v>
      </c>
      <c r="U118" s="2358"/>
    </row>
    <row r="119" spans="1:21" s="2001" customFormat="1" ht="13.5" customHeight="1">
      <c r="B119" s="3590"/>
      <c r="C119" s="2681"/>
      <c r="D119" s="2683"/>
      <c r="E119" s="3516"/>
      <c r="F119" s="3517"/>
      <c r="G119" s="3448"/>
      <c r="H119" s="813" t="e">
        <f>HLOOKUP(H118,I118:M119,2,0)</f>
        <v>#N/A</v>
      </c>
      <c r="I119" s="814" t="e">
        <f>VLOOKUP($L$9,排水大,4,0)</f>
        <v>#N/A</v>
      </c>
      <c r="J119" s="822" t="e">
        <f>VLOOKUP($L$9,排水大,6,0)</f>
        <v>#N/A</v>
      </c>
      <c r="K119" s="822" t="e">
        <f>VLOOKUP($L$9,排水大,8,0)</f>
        <v>#N/A</v>
      </c>
      <c r="L119" s="815" t="str">
        <f>IF(M119,ROUNDDOWN(1+(M119-J118)*IF(M119&gt;J118,(I119-J119)/(I118-J118),(J119-K119)/(J118-K118)),2),"－")</f>
        <v>－</v>
      </c>
      <c r="M119" s="2408"/>
      <c r="N119" s="3480"/>
      <c r="O119" s="3493"/>
      <c r="P119" s="3511"/>
      <c r="Q119" s="3472"/>
      <c r="R119" s="3475"/>
      <c r="S119" s="3476"/>
      <c r="T119" s="2395" t="b">
        <f>T$117</f>
        <v>0</v>
      </c>
      <c r="U119" s="2358"/>
    </row>
    <row r="120" spans="1:21" s="2001" customFormat="1" ht="13.5" customHeight="1">
      <c r="B120" s="3590"/>
      <c r="C120" s="879"/>
      <c r="D120" s="880"/>
      <c r="E120" s="3477" t="s">
        <v>149</v>
      </c>
      <c r="F120" s="3478"/>
      <c r="G120" s="1502" t="s">
        <v>150</v>
      </c>
      <c r="H120" s="2356"/>
      <c r="I120" s="2356"/>
      <c r="J120" s="2356"/>
      <c r="K120" s="2356"/>
      <c r="L120" s="2356"/>
      <c r="M120" s="2357"/>
      <c r="N120" s="2335" t="s">
        <v>524</v>
      </c>
      <c r="O120" s="2335" t="s">
        <v>151</v>
      </c>
      <c r="P120" s="2393" t="s">
        <v>152</v>
      </c>
      <c r="Q120" s="2394" t="s">
        <v>2125</v>
      </c>
      <c r="R120" s="3448" t="s">
        <v>791</v>
      </c>
      <c r="S120" s="3448"/>
      <c r="T120" s="2395" t="b">
        <f>COUNTA(H121)&lt;&gt;0</f>
        <v>0</v>
      </c>
      <c r="U120" s="2358" t="s">
        <v>2384</v>
      </c>
    </row>
    <row r="121" spans="1:21" s="2001" customFormat="1" ht="13.5" customHeight="1">
      <c r="B121" s="3590"/>
      <c r="C121" s="2681" t="s">
        <v>2127</v>
      </c>
      <c r="D121" s="2683"/>
      <c r="E121" s="3473" t="e">
        <f>VLOOKUP($L$9,排水ポンプ,2,0)</f>
        <v>#N/A</v>
      </c>
      <c r="F121" s="3474"/>
      <c r="G121" s="3448" t="s">
        <v>2107</v>
      </c>
      <c r="H121" s="2411"/>
      <c r="I121" s="2412" t="e">
        <f>VLOOKUP($L$9,排水ポンプ,3,0)</f>
        <v>#N/A</v>
      </c>
      <c r="J121" s="2413" t="e">
        <f>VLOOKUP($L$9,排水ポンプ,5,0)</f>
        <v>#N/A</v>
      </c>
      <c r="K121" s="2413" t="e">
        <f>VLOOKUP($L$9,排水ポンプ,7,0)</f>
        <v>#N/A</v>
      </c>
      <c r="L121" s="821" t="s">
        <v>2119</v>
      </c>
      <c r="M121" s="2335" t="s">
        <v>2107</v>
      </c>
      <c r="N121" s="3479" t="e">
        <f>ROUNDDOWN(H122,2)</f>
        <v>#N/A</v>
      </c>
      <c r="O121" s="3492" t="e">
        <f>INT(E121*N121)</f>
        <v>#N/A</v>
      </c>
      <c r="P121" s="3527"/>
      <c r="Q121" s="3471" t="s">
        <v>2124</v>
      </c>
      <c r="R121" s="3473">
        <f>IF(ISERROR(INT(O121*P121)),0,INT(O121*P121))</f>
        <v>0</v>
      </c>
      <c r="S121" s="3474"/>
      <c r="T121" s="2395" t="b">
        <f>T$120</f>
        <v>0</v>
      </c>
      <c r="U121" s="2358" t="s">
        <v>2385</v>
      </c>
    </row>
    <row r="122" spans="1:21" s="2001" customFormat="1" ht="13.5" customHeight="1">
      <c r="B122" s="3590"/>
      <c r="C122" s="3490"/>
      <c r="D122" s="3491"/>
      <c r="E122" s="3475"/>
      <c r="F122" s="3476"/>
      <c r="G122" s="3448"/>
      <c r="H122" s="813" t="e">
        <f t="shared" ref="H122" si="21">HLOOKUP(H121,I121:M122,2,0)</f>
        <v>#N/A</v>
      </c>
      <c r="I122" s="814" t="e">
        <f>VLOOKUP($L$9,排水ポンプ,4,0)</f>
        <v>#N/A</v>
      </c>
      <c r="J122" s="822" t="e">
        <f>VLOOKUP($L$9,排水ポンプ,6,0)</f>
        <v>#N/A</v>
      </c>
      <c r="K122" s="822" t="e">
        <f>VLOOKUP($L$9,排水ポンプ,8,0)</f>
        <v>#N/A</v>
      </c>
      <c r="L122" s="815" t="str">
        <f t="shared" ref="L122" si="22">IF(M122,ROUNDDOWN(1+(M122-J121)*IF(M122&gt;J121,(I122-J122)/(I121-J121),(J122-K122)/(J121-K121)),2),"－")</f>
        <v>－</v>
      </c>
      <c r="M122" s="2414"/>
      <c r="N122" s="3480"/>
      <c r="O122" s="3493"/>
      <c r="P122" s="3529"/>
      <c r="Q122" s="3472"/>
      <c r="R122" s="3475"/>
      <c r="S122" s="3476"/>
      <c r="T122" s="2395" t="b">
        <f>T$120</f>
        <v>0</v>
      </c>
      <c r="U122" s="2358" t="s">
        <v>2386</v>
      </c>
    </row>
    <row r="123" spans="1:21" ht="13.5" customHeight="1">
      <c r="B123" s="3590"/>
      <c r="C123" s="1617"/>
      <c r="D123" s="1618"/>
      <c r="E123" s="3477" t="s">
        <v>149</v>
      </c>
      <c r="F123" s="3478"/>
      <c r="G123" s="1502" t="s">
        <v>150</v>
      </c>
      <c r="H123" s="2356"/>
      <c r="I123" s="2356"/>
      <c r="J123" s="2356"/>
      <c r="K123" s="2356"/>
      <c r="L123" s="2356"/>
      <c r="M123" s="2357"/>
      <c r="N123" s="2335" t="s">
        <v>524</v>
      </c>
      <c r="O123" s="2335" t="s">
        <v>151</v>
      </c>
      <c r="P123" s="2393" t="s">
        <v>152</v>
      </c>
      <c r="Q123" s="2394" t="s">
        <v>790</v>
      </c>
      <c r="R123" s="3448" t="s">
        <v>791</v>
      </c>
      <c r="S123" s="3448"/>
      <c r="T123" s="2395" t="b">
        <f>COUNTA(H124,H126,H128)&lt;&gt;0</f>
        <v>0</v>
      </c>
      <c r="U123" s="2358" t="s">
        <v>1426</v>
      </c>
    </row>
    <row r="124" spans="1:21" ht="13.5" customHeight="1">
      <c r="B124" s="3590"/>
      <c r="C124" s="2681" t="s">
        <v>193</v>
      </c>
      <c r="D124" s="2682"/>
      <c r="E124" s="3250" t="e">
        <f>VLOOKUP($L$9,中央給湯,2,0)</f>
        <v>#N/A</v>
      </c>
      <c r="F124" s="3252"/>
      <c r="G124" s="3448" t="s">
        <v>158</v>
      </c>
      <c r="H124" s="818"/>
      <c r="I124" s="819" t="e">
        <f>VLOOKUP($L$9,中央給湯,3,0)</f>
        <v>#N/A</v>
      </c>
      <c r="J124" s="820" t="e">
        <f>VLOOKUP($L$9,中央給湯,5,0)</f>
        <v>#N/A</v>
      </c>
      <c r="K124" s="821" t="e">
        <f>VLOOKUP($L$9,中央給湯,7,0)</f>
        <v>#N/A</v>
      </c>
      <c r="L124" s="2327"/>
      <c r="M124" s="2327"/>
      <c r="N124" s="3461" t="e">
        <f>ROUNDDOWN(H125*H127*H129*H131,2)</f>
        <v>#N/A</v>
      </c>
      <c r="O124" s="3450" t="e">
        <f>INT(E124*N124)</f>
        <v>#N/A</v>
      </c>
      <c r="P124" s="3453">
        <f>$P$9</f>
        <v>0</v>
      </c>
      <c r="Q124" s="3458" t="s">
        <v>194</v>
      </c>
      <c r="R124" s="3250">
        <f>IF(ISERROR(INT(O124*P124)),0,INT(O124*P124))</f>
        <v>0</v>
      </c>
      <c r="S124" s="3252"/>
      <c r="T124" s="2395" t="b">
        <f t="shared" ref="T124:T131" si="23">T$123</f>
        <v>0</v>
      </c>
      <c r="U124" s="2358" t="s">
        <v>2015</v>
      </c>
    </row>
    <row r="125" spans="1:21" ht="13.5" customHeight="1">
      <c r="B125" s="3590"/>
      <c r="C125" s="2681"/>
      <c r="D125" s="2682"/>
      <c r="E125" s="3245"/>
      <c r="F125" s="3247"/>
      <c r="G125" s="3448"/>
      <c r="H125" s="813" t="e">
        <f>HLOOKUP(H124,I124:K125,2,0)</f>
        <v>#N/A</v>
      </c>
      <c r="I125" s="814" t="e">
        <f>VLOOKUP($L$9,中央給湯,4,0)</f>
        <v>#N/A</v>
      </c>
      <c r="J125" s="822" t="e">
        <f>VLOOKUP($L$9,中央給湯,6,0)</f>
        <v>#N/A</v>
      </c>
      <c r="K125" s="815" t="e">
        <f>VLOOKUP($L$9,中央給湯,8,0)</f>
        <v>#N/A</v>
      </c>
      <c r="L125" s="2322"/>
      <c r="M125" s="2322"/>
      <c r="N125" s="3462"/>
      <c r="O125" s="3451"/>
      <c r="P125" s="3454"/>
      <c r="Q125" s="3459"/>
      <c r="R125" s="3245"/>
      <c r="S125" s="3247"/>
      <c r="T125" s="2395" t="b">
        <f t="shared" si="23"/>
        <v>0</v>
      </c>
      <c r="U125" s="2358" t="s">
        <v>2016</v>
      </c>
    </row>
    <row r="126" spans="1:21" ht="13.5" customHeight="1">
      <c r="B126" s="3590"/>
      <c r="C126" s="2681"/>
      <c r="D126" s="2682"/>
      <c r="E126" s="3245"/>
      <c r="F126" s="3247"/>
      <c r="G126" s="3448" t="s">
        <v>192</v>
      </c>
      <c r="H126" s="818"/>
      <c r="I126" s="819" t="e">
        <f>VLOOKUP($L$9,中央給湯,11,0)</f>
        <v>#N/A</v>
      </c>
      <c r="J126" s="821" t="e">
        <f>VLOOKUP($L$9,中央給湯,13,0)</f>
        <v>#N/A</v>
      </c>
      <c r="K126" s="2322"/>
      <c r="L126" s="2322"/>
      <c r="M126" s="2322"/>
      <c r="N126" s="3462"/>
      <c r="O126" s="3451"/>
      <c r="P126" s="3454"/>
      <c r="Q126" s="3459"/>
      <c r="R126" s="3245"/>
      <c r="S126" s="3247"/>
      <c r="T126" s="2395" t="b">
        <f t="shared" si="23"/>
        <v>0</v>
      </c>
    </row>
    <row r="127" spans="1:21" ht="13.5" customHeight="1">
      <c r="B127" s="3590"/>
      <c r="C127" s="2681"/>
      <c r="D127" s="2682"/>
      <c r="E127" s="3245"/>
      <c r="F127" s="3247"/>
      <c r="G127" s="3448"/>
      <c r="H127" s="813" t="e">
        <f>HLOOKUP(H126,I126:J127,2,0)</f>
        <v>#N/A</v>
      </c>
      <c r="I127" s="814" t="e">
        <f>VLOOKUP($L$9,中央給湯,12,0)</f>
        <v>#N/A</v>
      </c>
      <c r="J127" s="815" t="e">
        <f>VLOOKUP($L$9,中央給湯,14,0)</f>
        <v>#N/A</v>
      </c>
      <c r="K127" s="2322"/>
      <c r="L127" s="2322"/>
      <c r="M127" s="2322"/>
      <c r="N127" s="3462"/>
      <c r="O127" s="3451"/>
      <c r="P127" s="3454"/>
      <c r="Q127" s="3459"/>
      <c r="R127" s="3245"/>
      <c r="S127" s="3247"/>
      <c r="T127" s="2395" t="b">
        <f t="shared" si="23"/>
        <v>0</v>
      </c>
    </row>
    <row r="128" spans="1:21" ht="13.5" customHeight="1">
      <c r="B128" s="3590"/>
      <c r="C128" s="2681"/>
      <c r="D128" s="2682"/>
      <c r="E128" s="3245"/>
      <c r="F128" s="3247"/>
      <c r="G128" s="3448" t="s">
        <v>794</v>
      </c>
      <c r="H128" s="818"/>
      <c r="I128" s="819" t="e">
        <f>VLOOKUP($L$9,中央給湯,15,0)</f>
        <v>#N/A</v>
      </c>
      <c r="J128" s="820" t="e">
        <f>VLOOKUP($L$9,中央給湯,17,0)</f>
        <v>#N/A</v>
      </c>
      <c r="K128" s="821" t="e">
        <f>VLOOKUP($L$9,中央給湯,19,0)</f>
        <v>#N/A</v>
      </c>
      <c r="L128" s="2322"/>
      <c r="M128" s="2322"/>
      <c r="N128" s="3462"/>
      <c r="O128" s="3451"/>
      <c r="P128" s="3454"/>
      <c r="Q128" s="3459"/>
      <c r="R128" s="3245"/>
      <c r="S128" s="3247"/>
      <c r="T128" s="2395" t="b">
        <f t="shared" si="23"/>
        <v>0</v>
      </c>
    </row>
    <row r="129" spans="1:21" ht="13.5" customHeight="1">
      <c r="B129" s="3590"/>
      <c r="C129" s="2681"/>
      <c r="D129" s="2682"/>
      <c r="E129" s="3245"/>
      <c r="F129" s="3247"/>
      <c r="G129" s="3448"/>
      <c r="H129" s="813" t="e">
        <f>HLOOKUP(H128,I128:K129,2,0)</f>
        <v>#N/A</v>
      </c>
      <c r="I129" s="814" t="e">
        <f>VLOOKUP($L$9,中央給湯,16,0)</f>
        <v>#N/A</v>
      </c>
      <c r="J129" s="822" t="e">
        <f>VLOOKUP($L$9,中央給湯,18,0)</f>
        <v>#N/A</v>
      </c>
      <c r="K129" s="815" t="e">
        <f>VLOOKUP($L$9,中央給湯,20,0)</f>
        <v>#N/A</v>
      </c>
      <c r="L129" s="2322"/>
      <c r="M129" s="2322"/>
      <c r="N129" s="3462"/>
      <c r="O129" s="3451"/>
      <c r="P129" s="3454"/>
      <c r="Q129" s="3459"/>
      <c r="R129" s="3245"/>
      <c r="S129" s="3247"/>
      <c r="T129" s="2395" t="b">
        <f t="shared" si="23"/>
        <v>0</v>
      </c>
    </row>
    <row r="130" spans="1:21" ht="13.5" customHeight="1">
      <c r="B130" s="3590"/>
      <c r="C130" s="2681"/>
      <c r="D130" s="2682"/>
      <c r="E130" s="3245"/>
      <c r="F130" s="3247"/>
      <c r="G130" s="3448" t="s">
        <v>763</v>
      </c>
      <c r="H130" s="833">
        <f>$P$9</f>
        <v>0</v>
      </c>
      <c r="I130" s="834" t="e">
        <f>VLOOKUP($L$9,中央給湯,21,0)</f>
        <v>#N/A</v>
      </c>
      <c r="J130" s="835" t="e">
        <f>VLOOKUP($L$9,中央給湯,23,0)</f>
        <v>#N/A</v>
      </c>
      <c r="K130" s="836" t="e">
        <f>VLOOKUP($L$9,中央給湯,25,0)</f>
        <v>#N/A</v>
      </c>
      <c r="L130" s="2322"/>
      <c r="M130" s="2322"/>
      <c r="N130" s="3462"/>
      <c r="O130" s="3451"/>
      <c r="P130" s="3454"/>
      <c r="Q130" s="3459"/>
      <c r="R130" s="3245"/>
      <c r="S130" s="3247"/>
      <c r="T130" s="2395" t="b">
        <f t="shared" si="23"/>
        <v>0</v>
      </c>
    </row>
    <row r="131" spans="1:21" ht="13.5" customHeight="1">
      <c r="B131" s="3590"/>
      <c r="C131" s="2684"/>
      <c r="D131" s="2686"/>
      <c r="E131" s="3248"/>
      <c r="F131" s="3249"/>
      <c r="G131" s="3448"/>
      <c r="H131" s="813" t="e">
        <f>MIN(I131,MAX(K131,ROUNDDOWN(J131+IF(H130&lt;J130,(I131-J131)/(I130-J130),(J131-K131)/(J130-K130))*(H130-J130),2)))</f>
        <v>#N/A</v>
      </c>
      <c r="I131" s="814" t="e">
        <f>VLOOKUP($L$9,中央給湯,22,0)</f>
        <v>#N/A</v>
      </c>
      <c r="J131" s="822" t="e">
        <f>VLOOKUP($L$9,中央給湯,24,0)</f>
        <v>#N/A</v>
      </c>
      <c r="K131" s="815" t="e">
        <f>VLOOKUP($L$9,中央給湯,26,0)</f>
        <v>#N/A</v>
      </c>
      <c r="L131" s="2306"/>
      <c r="M131" s="2306"/>
      <c r="N131" s="3463"/>
      <c r="O131" s="3452"/>
      <c r="P131" s="2815"/>
      <c r="Q131" s="3460"/>
      <c r="R131" s="3248"/>
      <c r="S131" s="3249"/>
      <c r="T131" s="2395" t="b">
        <f t="shared" si="23"/>
        <v>0</v>
      </c>
    </row>
    <row r="132" spans="1:21" ht="13.5" customHeight="1">
      <c r="B132" s="3590"/>
      <c r="C132" s="1617"/>
      <c r="D132" s="1618"/>
      <c r="E132" s="3477" t="s">
        <v>149</v>
      </c>
      <c r="F132" s="3478"/>
      <c r="G132" s="1502" t="s">
        <v>150</v>
      </c>
      <c r="H132" s="2356"/>
      <c r="I132" s="2356"/>
      <c r="J132" s="2356"/>
      <c r="K132" s="2356"/>
      <c r="L132" s="2356"/>
      <c r="M132" s="2357"/>
      <c r="N132" s="2335" t="s">
        <v>524</v>
      </c>
      <c r="O132" s="2335" t="s">
        <v>151</v>
      </c>
      <c r="P132" s="2393" t="s">
        <v>152</v>
      </c>
      <c r="Q132" s="2394" t="s">
        <v>195</v>
      </c>
      <c r="R132" s="3477" t="s">
        <v>791</v>
      </c>
      <c r="S132" s="3478"/>
      <c r="T132" s="2395" t="b">
        <f>COUNTA(H133,P133)&lt;&gt;0</f>
        <v>0</v>
      </c>
      <c r="U132" s="2358" t="s">
        <v>2131</v>
      </c>
    </row>
    <row r="133" spans="1:21" ht="13.5" customHeight="1">
      <c r="A133">
        <f>ROW()</f>
        <v>133</v>
      </c>
      <c r="B133" s="3590"/>
      <c r="C133" s="2681" t="s">
        <v>2129</v>
      </c>
      <c r="D133" s="2683"/>
      <c r="E133" s="3473" t="e">
        <f>VLOOKUP($L$9,使用口,2,0)</f>
        <v>#N/A</v>
      </c>
      <c r="F133" s="3474"/>
      <c r="G133" s="3467" t="s">
        <v>909</v>
      </c>
      <c r="H133" s="818"/>
      <c r="I133" s="819" t="e">
        <f>VLOOKUP($L$9,使用口,3,0)</f>
        <v>#N/A</v>
      </c>
      <c r="J133" s="820" t="e">
        <f>VLOOKUP($L$9,使用口,5,0)</f>
        <v>#N/A</v>
      </c>
      <c r="K133" s="824" t="e">
        <f>VLOOKUP($L$9,使用口,7,0)</f>
        <v>#N/A</v>
      </c>
      <c r="L133" s="1803"/>
      <c r="M133" s="2328"/>
      <c r="N133" s="3479" t="e">
        <f>ROUNDDOWN(H134,2)</f>
        <v>#N/A</v>
      </c>
      <c r="O133" s="3492" t="e">
        <f>INT(E133*N133)</f>
        <v>#N/A</v>
      </c>
      <c r="P133" s="3469"/>
      <c r="Q133" s="3471" t="s">
        <v>197</v>
      </c>
      <c r="R133" s="3473">
        <f>IF(ISERROR(INT(O133*P133)),0,INT(O133*P133))</f>
        <v>0</v>
      </c>
      <c r="S133" s="3474"/>
      <c r="T133" s="2395" t="b">
        <f t="shared" ref="T133:T134" si="24">T$132</f>
        <v>0</v>
      </c>
      <c r="U133" s="2358" t="s">
        <v>1468</v>
      </c>
    </row>
    <row r="134" spans="1:21" ht="13.5" customHeight="1">
      <c r="B134" s="3590"/>
      <c r="C134" s="3490"/>
      <c r="D134" s="3491"/>
      <c r="E134" s="3475"/>
      <c r="F134" s="3476"/>
      <c r="G134" s="3468"/>
      <c r="H134" s="813" t="e">
        <f>HLOOKUP(H133,I133:L134,2,0)</f>
        <v>#N/A</v>
      </c>
      <c r="I134" s="814" t="e">
        <f>VLOOKUP($L$9,使用口,4,0)</f>
        <v>#N/A</v>
      </c>
      <c r="J134" s="822" t="e">
        <f>VLOOKUP($L$9,使用口,6,0)</f>
        <v>#N/A</v>
      </c>
      <c r="K134" s="831" t="e">
        <f>VLOOKUP($L$9,使用口,8,0)</f>
        <v>#N/A</v>
      </c>
      <c r="L134" s="2056"/>
      <c r="M134" s="2322"/>
      <c r="N134" s="3480"/>
      <c r="O134" s="3493"/>
      <c r="P134" s="3470"/>
      <c r="Q134" s="3472"/>
      <c r="R134" s="3475"/>
      <c r="S134" s="3476"/>
      <c r="T134" s="2395" t="b">
        <f t="shared" si="24"/>
        <v>0</v>
      </c>
    </row>
    <row r="135" spans="1:21" s="2001" customFormat="1" ht="13.5" customHeight="1">
      <c r="B135" s="3590"/>
      <c r="C135" s="1617"/>
      <c r="D135" s="1618"/>
      <c r="E135" s="3477" t="s">
        <v>149</v>
      </c>
      <c r="F135" s="3478"/>
      <c r="G135" s="1502" t="s">
        <v>150</v>
      </c>
      <c r="H135" s="2356"/>
      <c r="I135" s="2356"/>
      <c r="J135" s="2356"/>
      <c r="K135" s="2356"/>
      <c r="L135" s="2356"/>
      <c r="M135" s="2357"/>
      <c r="N135" s="2335" t="s">
        <v>524</v>
      </c>
      <c r="O135" s="2335" t="s">
        <v>151</v>
      </c>
      <c r="P135" s="2393" t="s">
        <v>152</v>
      </c>
      <c r="Q135" s="2394" t="s">
        <v>195</v>
      </c>
      <c r="R135" s="3477" t="s">
        <v>791</v>
      </c>
      <c r="S135" s="3478"/>
      <c r="T135" s="2395" t="b">
        <f>COUNTA(H136,P136)&lt;&gt;0</f>
        <v>0</v>
      </c>
      <c r="U135" s="2358" t="s">
        <v>2131</v>
      </c>
    </row>
    <row r="136" spans="1:21" s="2001" customFormat="1" ht="13.5" customHeight="1">
      <c r="A136" s="2001">
        <f>ROW()</f>
        <v>136</v>
      </c>
      <c r="B136" s="3590"/>
      <c r="C136" s="2681" t="s">
        <v>2145</v>
      </c>
      <c r="D136" s="2683"/>
      <c r="E136" s="3473" t="e">
        <f>VLOOKUP($L$9,和便器,2,0)</f>
        <v>#N/A</v>
      </c>
      <c r="F136" s="3474"/>
      <c r="G136" s="3467" t="s">
        <v>909</v>
      </c>
      <c r="H136" s="818"/>
      <c r="I136" s="819" t="e">
        <f>VLOOKUP($L$9,和便器,3,0)</f>
        <v>#N/A</v>
      </c>
      <c r="J136" s="820" t="e">
        <f>VLOOKUP($L$9,和便器,5,0)</f>
        <v>#N/A</v>
      </c>
      <c r="K136" s="824" t="e">
        <f>VLOOKUP($L$9,和便器,7,0)</f>
        <v>#N/A</v>
      </c>
      <c r="L136" s="1803"/>
      <c r="M136" s="2328"/>
      <c r="N136" s="3479" t="e">
        <f>ROUNDDOWN(H137,2)</f>
        <v>#N/A</v>
      </c>
      <c r="O136" s="3492" t="e">
        <f>INT(E136*N136)</f>
        <v>#N/A</v>
      </c>
      <c r="P136" s="3469"/>
      <c r="Q136" s="3471" t="s">
        <v>197</v>
      </c>
      <c r="R136" s="3473">
        <f>IF(ISERROR(INT(O136*P136)),0,INT(O136*P136))</f>
        <v>0</v>
      </c>
      <c r="S136" s="3474"/>
      <c r="T136" s="2395" t="b">
        <f>T$135</f>
        <v>0</v>
      </c>
      <c r="U136" s="2358"/>
    </row>
    <row r="137" spans="1:21" s="2001" customFormat="1" ht="13.5" customHeight="1">
      <c r="B137" s="3590"/>
      <c r="C137" s="3490"/>
      <c r="D137" s="3491"/>
      <c r="E137" s="3475"/>
      <c r="F137" s="3476"/>
      <c r="G137" s="3468"/>
      <c r="H137" s="813" t="e">
        <f>HLOOKUP(H136,I136:L137,2,0)</f>
        <v>#N/A</v>
      </c>
      <c r="I137" s="814" t="e">
        <f>VLOOKUP($L$9,和便器,4,0)</f>
        <v>#N/A</v>
      </c>
      <c r="J137" s="822" t="e">
        <f>VLOOKUP($L$9,和便器,6,0)</f>
        <v>#N/A</v>
      </c>
      <c r="K137" s="831" t="e">
        <f>VLOOKUP($L$9,和便器,8,0)</f>
        <v>#N/A</v>
      </c>
      <c r="L137" s="2056"/>
      <c r="M137" s="2322"/>
      <c r="N137" s="3480"/>
      <c r="O137" s="3493"/>
      <c r="P137" s="3470"/>
      <c r="Q137" s="3472"/>
      <c r="R137" s="3475"/>
      <c r="S137" s="3476"/>
      <c r="T137" s="2395" t="b">
        <f>T$135</f>
        <v>0</v>
      </c>
      <c r="U137" s="2358"/>
    </row>
    <row r="138" spans="1:21" s="2001" customFormat="1" ht="13.5" customHeight="1">
      <c r="B138" s="3590"/>
      <c r="C138" s="1617"/>
      <c r="D138" s="1618"/>
      <c r="E138" s="3477" t="s">
        <v>149</v>
      </c>
      <c r="F138" s="3478"/>
      <c r="G138" s="1502" t="s">
        <v>150</v>
      </c>
      <c r="H138" s="2356"/>
      <c r="I138" s="2356"/>
      <c r="J138" s="2356"/>
      <c r="K138" s="2356"/>
      <c r="L138" s="2356"/>
      <c r="M138" s="2357"/>
      <c r="N138" s="2335" t="s">
        <v>524</v>
      </c>
      <c r="O138" s="2335" t="s">
        <v>151</v>
      </c>
      <c r="P138" s="2393" t="s">
        <v>152</v>
      </c>
      <c r="Q138" s="2394" t="s">
        <v>195</v>
      </c>
      <c r="R138" s="3477" t="s">
        <v>791</v>
      </c>
      <c r="S138" s="3478"/>
      <c r="T138" s="2395" t="b">
        <f>COUNTA(H139,P139)&lt;&gt;0</f>
        <v>0</v>
      </c>
      <c r="U138" s="2358" t="s">
        <v>2131</v>
      </c>
    </row>
    <row r="139" spans="1:21" s="2001" customFormat="1" ht="13.5" customHeight="1">
      <c r="A139" s="2001">
        <f>ROW()</f>
        <v>139</v>
      </c>
      <c r="B139" s="3590"/>
      <c r="C139" s="2681" t="s">
        <v>2132</v>
      </c>
      <c r="D139" s="2683"/>
      <c r="E139" s="3473" t="e">
        <f>VLOOKUP($L$9,洋便器,2,0)</f>
        <v>#N/A</v>
      </c>
      <c r="F139" s="3474"/>
      <c r="G139" s="3467" t="s">
        <v>909</v>
      </c>
      <c r="H139" s="818"/>
      <c r="I139" s="819" t="e">
        <f>VLOOKUP($L$9,洋便器,3,0)</f>
        <v>#N/A</v>
      </c>
      <c r="J139" s="820" t="e">
        <f>VLOOKUP($L$9,洋便器,5,0)</f>
        <v>#N/A</v>
      </c>
      <c r="K139" s="824" t="e">
        <f>VLOOKUP($L$9,洋便器,7,0)</f>
        <v>#N/A</v>
      </c>
      <c r="L139" s="1803"/>
      <c r="M139" s="2328"/>
      <c r="N139" s="3479" t="e">
        <f>ROUNDDOWN(H140,2)</f>
        <v>#N/A</v>
      </c>
      <c r="O139" s="3492" t="e">
        <f>INT(E139*N139)</f>
        <v>#N/A</v>
      </c>
      <c r="P139" s="3469"/>
      <c r="Q139" s="3471" t="s">
        <v>197</v>
      </c>
      <c r="R139" s="3473">
        <f>IF(ISERROR(INT(O139*P139)),0,INT(O139*P139))</f>
        <v>0</v>
      </c>
      <c r="S139" s="3474"/>
      <c r="T139" s="2395" t="b">
        <f>T$138</f>
        <v>0</v>
      </c>
      <c r="U139" s="2358"/>
    </row>
    <row r="140" spans="1:21" s="2001" customFormat="1" ht="13.5" customHeight="1">
      <c r="B140" s="3590"/>
      <c r="C140" s="3490"/>
      <c r="D140" s="3491"/>
      <c r="E140" s="3475"/>
      <c r="F140" s="3476"/>
      <c r="G140" s="3468"/>
      <c r="H140" s="813" t="e">
        <f>HLOOKUP(H139,I139:L140,2,0)</f>
        <v>#N/A</v>
      </c>
      <c r="I140" s="814" t="e">
        <f>VLOOKUP($L$9,洋便器,4,0)</f>
        <v>#N/A</v>
      </c>
      <c r="J140" s="822" t="e">
        <f>VLOOKUP($L$9,洋便器,6,0)</f>
        <v>#N/A</v>
      </c>
      <c r="K140" s="831" t="e">
        <f>VLOOKUP($L$9,洋便器,8,0)</f>
        <v>#N/A</v>
      </c>
      <c r="L140" s="2056"/>
      <c r="M140" s="2322"/>
      <c r="N140" s="3480"/>
      <c r="O140" s="3493"/>
      <c r="P140" s="3470"/>
      <c r="Q140" s="3472"/>
      <c r="R140" s="3475"/>
      <c r="S140" s="3476"/>
      <c r="T140" s="2395" t="b">
        <f>T$138</f>
        <v>0</v>
      </c>
      <c r="U140" s="2358"/>
    </row>
    <row r="141" spans="1:21" s="2001" customFormat="1" ht="13.5" customHeight="1">
      <c r="B141" s="3590"/>
      <c r="C141" s="1617"/>
      <c r="D141" s="1618"/>
      <c r="E141" s="3477" t="s">
        <v>149</v>
      </c>
      <c r="F141" s="3478"/>
      <c r="G141" s="1502" t="s">
        <v>150</v>
      </c>
      <c r="H141" s="2356"/>
      <c r="I141" s="2356"/>
      <c r="J141" s="2356"/>
      <c r="K141" s="2356"/>
      <c r="L141" s="2356"/>
      <c r="M141" s="2357"/>
      <c r="N141" s="2335" t="s">
        <v>524</v>
      </c>
      <c r="O141" s="2335" t="s">
        <v>151</v>
      </c>
      <c r="P141" s="2393" t="s">
        <v>152</v>
      </c>
      <c r="Q141" s="2394" t="s">
        <v>195</v>
      </c>
      <c r="R141" s="3477" t="s">
        <v>791</v>
      </c>
      <c r="S141" s="3478"/>
      <c r="T141" s="2395" t="b">
        <f>COUNTA(H142,P142)&lt;&gt;0</f>
        <v>0</v>
      </c>
      <c r="U141" s="2358" t="s">
        <v>2131</v>
      </c>
    </row>
    <row r="142" spans="1:21" s="2001" customFormat="1" ht="13.5" customHeight="1">
      <c r="A142" s="2001">
        <f>ROW()</f>
        <v>142</v>
      </c>
      <c r="B142" s="3590"/>
      <c r="C142" s="2681" t="s">
        <v>2146</v>
      </c>
      <c r="D142" s="2683"/>
      <c r="E142" s="3473" t="e">
        <f>VLOOKUP($L$9,小便器,2,0)</f>
        <v>#N/A</v>
      </c>
      <c r="F142" s="3474"/>
      <c r="G142" s="3467" t="s">
        <v>909</v>
      </c>
      <c r="H142" s="818"/>
      <c r="I142" s="819" t="e">
        <f>VLOOKUP($L$9,小便器,3,0)</f>
        <v>#N/A</v>
      </c>
      <c r="J142" s="820" t="e">
        <f>VLOOKUP($L$9,小便器,5,0)</f>
        <v>#N/A</v>
      </c>
      <c r="K142" s="824" t="e">
        <f>VLOOKUP($L$9,小便器,7,0)</f>
        <v>#N/A</v>
      </c>
      <c r="L142" s="1803"/>
      <c r="M142" s="2328"/>
      <c r="N142" s="3479" t="e">
        <f>ROUNDDOWN(H143,2)</f>
        <v>#N/A</v>
      </c>
      <c r="O142" s="3492" t="e">
        <f>INT(E142*N142)</f>
        <v>#N/A</v>
      </c>
      <c r="P142" s="3469"/>
      <c r="Q142" s="3471" t="s">
        <v>197</v>
      </c>
      <c r="R142" s="3473">
        <f>IF(ISERROR(INT(O142*P142)),0,INT(O142*P142))</f>
        <v>0</v>
      </c>
      <c r="S142" s="3474"/>
      <c r="T142" s="2395" t="b">
        <f>T$141</f>
        <v>0</v>
      </c>
      <c r="U142" s="2358"/>
    </row>
    <row r="143" spans="1:21" s="2001" customFormat="1" ht="13.5" customHeight="1">
      <c r="B143" s="3590"/>
      <c r="C143" s="3490"/>
      <c r="D143" s="3491"/>
      <c r="E143" s="3475"/>
      <c r="F143" s="3476"/>
      <c r="G143" s="3468"/>
      <c r="H143" s="813" t="e">
        <f>HLOOKUP(H142,I142:L143,2,0)</f>
        <v>#N/A</v>
      </c>
      <c r="I143" s="814" t="e">
        <f>VLOOKUP($L$9,小便器,4,0)</f>
        <v>#N/A</v>
      </c>
      <c r="J143" s="822" t="e">
        <f>VLOOKUP($L$9,小便器,6,0)</f>
        <v>#N/A</v>
      </c>
      <c r="K143" s="831" t="e">
        <f>VLOOKUP($L$9,小便器,8,0)</f>
        <v>#N/A</v>
      </c>
      <c r="L143" s="2056"/>
      <c r="M143" s="2322"/>
      <c r="N143" s="3480"/>
      <c r="O143" s="3493"/>
      <c r="P143" s="3470"/>
      <c r="Q143" s="3472"/>
      <c r="R143" s="3475"/>
      <c r="S143" s="3476"/>
      <c r="T143" s="2395" t="b">
        <f>T$141</f>
        <v>0</v>
      </c>
      <c r="U143" s="2358"/>
    </row>
    <row r="144" spans="1:21" s="2001" customFormat="1" ht="13.5" customHeight="1">
      <c r="B144" s="3590"/>
      <c r="C144" s="1617"/>
      <c r="D144" s="1618"/>
      <c r="E144" s="3477" t="s">
        <v>149</v>
      </c>
      <c r="F144" s="3478"/>
      <c r="G144" s="1502" t="s">
        <v>150</v>
      </c>
      <c r="H144" s="2356"/>
      <c r="I144" s="2356"/>
      <c r="J144" s="2356"/>
      <c r="K144" s="2356"/>
      <c r="L144" s="2356"/>
      <c r="M144" s="2357"/>
      <c r="N144" s="2335" t="s">
        <v>524</v>
      </c>
      <c r="O144" s="2335" t="s">
        <v>151</v>
      </c>
      <c r="P144" s="2393" t="s">
        <v>152</v>
      </c>
      <c r="Q144" s="2394" t="s">
        <v>195</v>
      </c>
      <c r="R144" s="3477" t="s">
        <v>791</v>
      </c>
      <c r="S144" s="3478"/>
      <c r="T144" s="2395" t="b">
        <f>COUNTA(H145,P145)&lt;&gt;0</f>
        <v>0</v>
      </c>
      <c r="U144" s="2358" t="s">
        <v>2131</v>
      </c>
    </row>
    <row r="145" spans="1:22" s="2001" customFormat="1" ht="13.5" customHeight="1">
      <c r="A145" s="2001">
        <f>ROW()</f>
        <v>145</v>
      </c>
      <c r="B145" s="3590"/>
      <c r="C145" s="2681" t="s">
        <v>2136</v>
      </c>
      <c r="D145" s="2683"/>
      <c r="E145" s="3473" t="e">
        <f>VLOOKUP($L$9,洗面器,2,0)</f>
        <v>#N/A</v>
      </c>
      <c r="F145" s="3474"/>
      <c r="G145" s="3467" t="s">
        <v>909</v>
      </c>
      <c r="H145" s="818"/>
      <c r="I145" s="819" t="e">
        <f>VLOOKUP($L$9,洗面器,3,0)</f>
        <v>#N/A</v>
      </c>
      <c r="J145" s="820" t="e">
        <f>VLOOKUP($L$9,洗面器,5,0)</f>
        <v>#N/A</v>
      </c>
      <c r="K145" s="824" t="e">
        <f>VLOOKUP($L$9,洗面器,7,0)</f>
        <v>#N/A</v>
      </c>
      <c r="L145" s="821" t="e">
        <f>VLOOKUP($L$9,洗面器,9,0)</f>
        <v>#N/A</v>
      </c>
      <c r="M145" s="2328"/>
      <c r="N145" s="3479" t="e">
        <f>ROUNDDOWN(H146,2)</f>
        <v>#N/A</v>
      </c>
      <c r="O145" s="3492" t="e">
        <f>INT(E145*N145)</f>
        <v>#N/A</v>
      </c>
      <c r="P145" s="3469"/>
      <c r="Q145" s="3471" t="s">
        <v>197</v>
      </c>
      <c r="R145" s="3473">
        <f>IF(ISERROR(INT(O145*P145)),0,INT(O145*P145))</f>
        <v>0</v>
      </c>
      <c r="S145" s="3474"/>
      <c r="T145" s="2395" t="b">
        <f>T$144</f>
        <v>0</v>
      </c>
      <c r="U145" s="977" t="s">
        <v>2280</v>
      </c>
    </row>
    <row r="146" spans="1:22" s="2001" customFormat="1" ht="13.5" customHeight="1">
      <c r="B146" s="3590"/>
      <c r="C146" s="3490"/>
      <c r="D146" s="3491"/>
      <c r="E146" s="3475"/>
      <c r="F146" s="3476"/>
      <c r="G146" s="3468"/>
      <c r="H146" s="813" t="e">
        <f>HLOOKUP(H145,I145:L146,2,0)</f>
        <v>#N/A</v>
      </c>
      <c r="I146" s="814" t="e">
        <f>VLOOKUP($L$9,洗面器,4,0)</f>
        <v>#N/A</v>
      </c>
      <c r="J146" s="822" t="e">
        <f>VLOOKUP($L$9,洗面器,6,0)</f>
        <v>#N/A</v>
      </c>
      <c r="K146" s="831" t="e">
        <f>VLOOKUP($L$9,洗面器,8,0)</f>
        <v>#N/A</v>
      </c>
      <c r="L146" s="815" t="e">
        <f>VLOOKUP($L$9,洗面器,10,0)</f>
        <v>#N/A</v>
      </c>
      <c r="M146" s="2322"/>
      <c r="N146" s="3480"/>
      <c r="O146" s="3493"/>
      <c r="P146" s="3470"/>
      <c r="Q146" s="3472"/>
      <c r="R146" s="3475"/>
      <c r="S146" s="3476"/>
      <c r="T146" s="2395" t="b">
        <f>T$144</f>
        <v>0</v>
      </c>
      <c r="U146" s="2358"/>
    </row>
    <row r="147" spans="1:22" s="2001" customFormat="1" ht="13.5" customHeight="1">
      <c r="B147" s="3590"/>
      <c r="C147" s="1617"/>
      <c r="D147" s="1618"/>
      <c r="E147" s="3477" t="s">
        <v>149</v>
      </c>
      <c r="F147" s="3478"/>
      <c r="G147" s="1502" t="s">
        <v>150</v>
      </c>
      <c r="H147" s="2356"/>
      <c r="I147" s="2356"/>
      <c r="J147" s="2356"/>
      <c r="K147" s="2356"/>
      <c r="L147" s="2356"/>
      <c r="M147" s="2357"/>
      <c r="N147" s="2335" t="s">
        <v>524</v>
      </c>
      <c r="O147" s="2335" t="s">
        <v>151</v>
      </c>
      <c r="P147" s="2393" t="s">
        <v>152</v>
      </c>
      <c r="Q147" s="2394" t="s">
        <v>195</v>
      </c>
      <c r="R147" s="3448" t="s">
        <v>791</v>
      </c>
      <c r="S147" s="3448"/>
      <c r="T147" s="2395" t="b">
        <f>COUNTA(H148,H150,P148)&lt;&gt;0</f>
        <v>0</v>
      </c>
      <c r="U147" s="2358" t="s">
        <v>2131</v>
      </c>
      <c r="V147" s="977"/>
    </row>
    <row r="148" spans="1:22" s="2001" customFormat="1" ht="13.5" customHeight="1">
      <c r="A148" s="2001">
        <f>ROW()</f>
        <v>148</v>
      </c>
      <c r="B148" s="3590"/>
      <c r="C148" s="2681" t="s">
        <v>2150</v>
      </c>
      <c r="D148" s="2682"/>
      <c r="E148" s="3250" t="e">
        <f>VLOOKUP($L$9,化粧台,2,0)</f>
        <v>#N/A</v>
      </c>
      <c r="F148" s="3252"/>
      <c r="G148" s="3448" t="s">
        <v>1338</v>
      </c>
      <c r="H148" s="881"/>
      <c r="I148" s="882" t="e">
        <f>VLOOKUP($L$9,化粧台,3,0)</f>
        <v>#N/A</v>
      </c>
      <c r="J148" s="883" t="e">
        <f>VLOOKUP($L$9,化粧台,5,0)</f>
        <v>#N/A</v>
      </c>
      <c r="K148" s="884" t="e">
        <f>VLOOKUP($L$9,化粧台,7,0)</f>
        <v>#N/A</v>
      </c>
      <c r="L148" s="893" t="s">
        <v>2119</v>
      </c>
      <c r="M148" s="2065" t="s">
        <v>2151</v>
      </c>
      <c r="N148" s="3461" t="e">
        <f>ROUNDDOWN(H149*H151,2)</f>
        <v>#N/A</v>
      </c>
      <c r="O148" s="3450" t="e">
        <f>INT(E148*N148)</f>
        <v>#N/A</v>
      </c>
      <c r="P148" s="3455"/>
      <c r="Q148" s="3458" t="s">
        <v>197</v>
      </c>
      <c r="R148" s="3250">
        <f>IF(ISERROR(INT(O148*P148)),0,INT(O148*P148))</f>
        <v>0</v>
      </c>
      <c r="S148" s="3252"/>
      <c r="T148" s="2395" t="b">
        <f>T147</f>
        <v>0</v>
      </c>
      <c r="U148" s="977"/>
      <c r="V148" s="977"/>
    </row>
    <row r="149" spans="1:22" s="2001" customFormat="1" ht="13.5" customHeight="1">
      <c r="B149" s="3590"/>
      <c r="C149" s="2681"/>
      <c r="D149" s="2682"/>
      <c r="E149" s="3245"/>
      <c r="F149" s="3247"/>
      <c r="G149" s="3448"/>
      <c r="H149" s="813" t="e">
        <f>HLOOKUP(H148,I148:L149,2,0)</f>
        <v>#N/A</v>
      </c>
      <c r="I149" s="814" t="e">
        <f>VLOOKUP($L$9,化粧台,4,0)</f>
        <v>#N/A</v>
      </c>
      <c r="J149" s="822" t="e">
        <f>VLOOKUP($L$9,化粧台,6,0)</f>
        <v>#N/A</v>
      </c>
      <c r="K149" s="831" t="e">
        <f>VLOOKUP($L$9,化粧台,8,0)</f>
        <v>#N/A</v>
      </c>
      <c r="L149" s="2417" t="e">
        <f t="shared" ref="L149" si="25">IF(M149,ROUNDDOWN(1+(M149-J148)*IF(M149&gt;J148,(I149-J149)/(I148-J148),(J149-K149)/(J148-K148)),2),"－")</f>
        <v>#N/A</v>
      </c>
      <c r="M149" s="2066">
        <v>60</v>
      </c>
      <c r="N149" s="3462"/>
      <c r="O149" s="3451"/>
      <c r="P149" s="3456"/>
      <c r="Q149" s="3459"/>
      <c r="R149" s="3245"/>
      <c r="S149" s="3247"/>
      <c r="T149" s="2395" t="b">
        <f>T147</f>
        <v>0</v>
      </c>
      <c r="U149" s="977"/>
      <c r="V149" s="977"/>
    </row>
    <row r="150" spans="1:22" s="2001" customFormat="1" ht="13.5" customHeight="1">
      <c r="B150" s="3590"/>
      <c r="C150" s="2681"/>
      <c r="D150" s="2682"/>
      <c r="E150" s="3245"/>
      <c r="F150" s="3247"/>
      <c r="G150" s="3448" t="s">
        <v>909</v>
      </c>
      <c r="H150" s="818"/>
      <c r="I150" s="819" t="e">
        <f>VLOOKUP($L$9,化粧台,9,0)</f>
        <v>#N/A</v>
      </c>
      <c r="J150" s="820" t="e">
        <f>VLOOKUP($L$9,化粧台,11,0)</f>
        <v>#N/A</v>
      </c>
      <c r="K150" s="821" t="e">
        <f>VLOOKUP($L$9,化粧台,13,0)</f>
        <v>#N/A</v>
      </c>
      <c r="L150" s="2322"/>
      <c r="M150" s="2322"/>
      <c r="N150" s="3462"/>
      <c r="O150" s="3451"/>
      <c r="P150" s="3456"/>
      <c r="Q150" s="3459"/>
      <c r="R150" s="3245"/>
      <c r="S150" s="3247"/>
      <c r="T150" s="2395" t="b">
        <f>T147</f>
        <v>0</v>
      </c>
      <c r="U150" s="977"/>
      <c r="V150" s="977"/>
    </row>
    <row r="151" spans="1:22" s="2001" customFormat="1" ht="13.5" customHeight="1">
      <c r="B151" s="3590"/>
      <c r="C151" s="2684"/>
      <c r="D151" s="2686"/>
      <c r="E151" s="3248"/>
      <c r="F151" s="3249"/>
      <c r="G151" s="3448"/>
      <c r="H151" s="813" t="e">
        <f>HLOOKUP(H150,I150:K151,2,0)</f>
        <v>#N/A</v>
      </c>
      <c r="I151" s="814" t="e">
        <f>VLOOKUP($L$9,化粧台,10,0)</f>
        <v>#N/A</v>
      </c>
      <c r="J151" s="822" t="e">
        <f>VLOOKUP($L$9,化粧台,12,0)</f>
        <v>#N/A</v>
      </c>
      <c r="K151" s="815" t="e">
        <f>VLOOKUP($L$9,化粧台,14,0)</f>
        <v>#N/A</v>
      </c>
      <c r="L151" s="2306"/>
      <c r="M151" s="2306"/>
      <c r="N151" s="3463"/>
      <c r="O151" s="3452"/>
      <c r="P151" s="3457"/>
      <c r="Q151" s="3460"/>
      <c r="R151" s="3248"/>
      <c r="S151" s="3249"/>
      <c r="T151" s="2395" t="b">
        <f>T147</f>
        <v>0</v>
      </c>
      <c r="U151" s="977"/>
      <c r="V151" s="977"/>
    </row>
    <row r="152" spans="1:22" s="2001" customFormat="1" ht="13.5" customHeight="1">
      <c r="B152" s="3590"/>
      <c r="C152" s="1617"/>
      <c r="D152" s="1618"/>
      <c r="E152" s="3477" t="s">
        <v>149</v>
      </c>
      <c r="F152" s="3478"/>
      <c r="G152" s="1502" t="s">
        <v>150</v>
      </c>
      <c r="H152" s="2356"/>
      <c r="I152" s="2356"/>
      <c r="J152" s="2356"/>
      <c r="K152" s="2356"/>
      <c r="L152" s="2356"/>
      <c r="M152" s="2357"/>
      <c r="N152" s="2335" t="s">
        <v>524</v>
      </c>
      <c r="O152" s="2335" t="s">
        <v>151</v>
      </c>
      <c r="P152" s="2393" t="s">
        <v>152</v>
      </c>
      <c r="Q152" s="2394" t="s">
        <v>195</v>
      </c>
      <c r="R152" s="3448" t="s">
        <v>791</v>
      </c>
      <c r="S152" s="3448"/>
      <c r="T152" s="2395" t="b">
        <f>COUNTA(H153,H155,P153)&lt;&gt;0</f>
        <v>0</v>
      </c>
      <c r="U152" s="2358" t="s">
        <v>2131</v>
      </c>
      <c r="V152" s="977"/>
    </row>
    <row r="153" spans="1:22" s="2001" customFormat="1" ht="13.5" customHeight="1">
      <c r="A153" s="2001">
        <f>ROW()</f>
        <v>153</v>
      </c>
      <c r="B153" s="3590"/>
      <c r="C153" s="2681" t="s">
        <v>2215</v>
      </c>
      <c r="D153" s="2682"/>
      <c r="E153" s="3250" t="e">
        <f>VLOOKUP($L$9,洗濯流し,2,0)</f>
        <v>#N/A</v>
      </c>
      <c r="F153" s="3252"/>
      <c r="G153" s="3448" t="s">
        <v>196</v>
      </c>
      <c r="H153" s="818"/>
      <c r="I153" s="819" t="e">
        <f>VLOOKUP($L$9,洗濯流し,3,0)</f>
        <v>#N/A</v>
      </c>
      <c r="J153" s="820" t="e">
        <f>VLOOKUP($L$9,洗濯流し,5,0)</f>
        <v>#N/A</v>
      </c>
      <c r="K153" s="821" t="e">
        <f>VLOOKUP($L$9,洗濯流し,7,0)</f>
        <v>#N/A</v>
      </c>
      <c r="L153" s="2327"/>
      <c r="M153" s="2327"/>
      <c r="N153" s="3461" t="e">
        <f>ROUNDDOWN(H154*H156,2)</f>
        <v>#N/A</v>
      </c>
      <c r="O153" s="3450" t="e">
        <f>INT(E153*N153)</f>
        <v>#N/A</v>
      </c>
      <c r="P153" s="3455"/>
      <c r="Q153" s="3458" t="s">
        <v>197</v>
      </c>
      <c r="R153" s="3250">
        <f>IF(ISERROR(INT(O153*P153)),0,INT(O153*P153))</f>
        <v>0</v>
      </c>
      <c r="S153" s="3252"/>
      <c r="T153" s="2395" t="b">
        <f>T152</f>
        <v>0</v>
      </c>
      <c r="U153" s="977"/>
      <c r="V153" s="977"/>
    </row>
    <row r="154" spans="1:22" s="2001" customFormat="1" ht="13.5" customHeight="1">
      <c r="B154" s="3590"/>
      <c r="C154" s="2681"/>
      <c r="D154" s="2682"/>
      <c r="E154" s="3245"/>
      <c r="F154" s="3247"/>
      <c r="G154" s="3448"/>
      <c r="H154" s="813" t="e">
        <f>HLOOKUP(H153,I153:K154,2,0)</f>
        <v>#N/A</v>
      </c>
      <c r="I154" s="814" t="e">
        <f>VLOOKUP($L$9,洗濯流し,4,0)</f>
        <v>#N/A</v>
      </c>
      <c r="J154" s="822" t="e">
        <f>VLOOKUP($L$9,洗濯流し,6,0)</f>
        <v>#N/A</v>
      </c>
      <c r="K154" s="815" t="e">
        <f>VLOOKUP($L$9,洗濯流し,8,0)</f>
        <v>#N/A</v>
      </c>
      <c r="L154" s="2322"/>
      <c r="M154" s="2322"/>
      <c r="N154" s="3462"/>
      <c r="O154" s="3451"/>
      <c r="P154" s="3456"/>
      <c r="Q154" s="3459"/>
      <c r="R154" s="3245"/>
      <c r="S154" s="3247"/>
      <c r="T154" s="2395" t="b">
        <f>T152</f>
        <v>0</v>
      </c>
      <c r="U154" s="977"/>
      <c r="V154" s="977"/>
    </row>
    <row r="155" spans="1:22" s="2001" customFormat="1" ht="13.5" customHeight="1">
      <c r="B155" s="3590"/>
      <c r="C155" s="2681"/>
      <c r="D155" s="2682"/>
      <c r="E155" s="3245"/>
      <c r="F155" s="3247"/>
      <c r="G155" s="3448" t="s">
        <v>909</v>
      </c>
      <c r="H155" s="818"/>
      <c r="I155" s="819" t="e">
        <f>VLOOKUP($L$9,洗濯流し,9,0)</f>
        <v>#N/A</v>
      </c>
      <c r="J155" s="820" t="e">
        <f>VLOOKUP($L$9,洗濯流し,11,0)</f>
        <v>#N/A</v>
      </c>
      <c r="K155" s="821" t="e">
        <f>VLOOKUP($L$9,洗濯流し,13,0)</f>
        <v>#N/A</v>
      </c>
      <c r="L155" s="2322"/>
      <c r="M155" s="2322"/>
      <c r="N155" s="3462"/>
      <c r="O155" s="3451"/>
      <c r="P155" s="3456"/>
      <c r="Q155" s="3459"/>
      <c r="R155" s="3245"/>
      <c r="S155" s="3247"/>
      <c r="T155" s="2395" t="b">
        <f>T152</f>
        <v>0</v>
      </c>
      <c r="U155" s="977"/>
      <c r="V155" s="977"/>
    </row>
    <row r="156" spans="1:22" s="2001" customFormat="1" ht="13.5" customHeight="1">
      <c r="B156" s="3590"/>
      <c r="C156" s="2684"/>
      <c r="D156" s="2686"/>
      <c r="E156" s="3248"/>
      <c r="F156" s="3249"/>
      <c r="G156" s="3448"/>
      <c r="H156" s="813" t="e">
        <f>HLOOKUP(H155,I155:K156,2,0)</f>
        <v>#N/A</v>
      </c>
      <c r="I156" s="814" t="e">
        <f>VLOOKUP($L$9,洗濯流し,10,0)</f>
        <v>#N/A</v>
      </c>
      <c r="J156" s="822" t="e">
        <f>VLOOKUP($L$9,洗濯流し,12,0)</f>
        <v>#N/A</v>
      </c>
      <c r="K156" s="815" t="e">
        <f>VLOOKUP($L$9,洗濯流し,14,0)</f>
        <v>#N/A</v>
      </c>
      <c r="L156" s="2306"/>
      <c r="M156" s="2306"/>
      <c r="N156" s="3463"/>
      <c r="O156" s="3452"/>
      <c r="P156" s="3457"/>
      <c r="Q156" s="3460"/>
      <c r="R156" s="3248"/>
      <c r="S156" s="3249"/>
      <c r="T156" s="2395" t="b">
        <f>T152</f>
        <v>0</v>
      </c>
      <c r="U156" s="977"/>
      <c r="V156" s="977"/>
    </row>
    <row r="157" spans="1:22" ht="13.5" customHeight="1">
      <c r="B157" s="3590"/>
      <c r="C157" s="1617"/>
      <c r="D157" s="1618"/>
      <c r="E157" s="3477" t="s">
        <v>149</v>
      </c>
      <c r="F157" s="3478"/>
      <c r="G157" s="1502" t="s">
        <v>150</v>
      </c>
      <c r="H157" s="2356"/>
      <c r="I157" s="2356"/>
      <c r="J157" s="2356"/>
      <c r="K157" s="2356"/>
      <c r="L157" s="2356"/>
      <c r="M157" s="2357"/>
      <c r="N157" s="2335" t="s">
        <v>524</v>
      </c>
      <c r="O157" s="2335" t="s">
        <v>151</v>
      </c>
      <c r="P157" s="2393" t="s">
        <v>152</v>
      </c>
      <c r="Q157" s="2394" t="s">
        <v>195</v>
      </c>
      <c r="R157" s="3448" t="s">
        <v>791</v>
      </c>
      <c r="S157" s="3448"/>
      <c r="T157" s="2395" t="b">
        <f>COUNTA(H158,H160,P158)&lt;&gt;0</f>
        <v>0</v>
      </c>
      <c r="U157" s="977" t="s">
        <v>2005</v>
      </c>
      <c r="V157" s="977"/>
    </row>
    <row r="158" spans="1:22" ht="13.5" customHeight="1">
      <c r="A158">
        <f>ROW()</f>
        <v>158</v>
      </c>
      <c r="B158" s="3590"/>
      <c r="C158" s="2681" t="s">
        <v>2003</v>
      </c>
      <c r="D158" s="2682"/>
      <c r="E158" s="3250" t="e">
        <f>VLOOKUP($L$9,浴槽上,2,0)</f>
        <v>#N/A</v>
      </c>
      <c r="F158" s="3252"/>
      <c r="G158" s="3448" t="s">
        <v>196</v>
      </c>
      <c r="H158" s="818"/>
      <c r="I158" s="819" t="e">
        <f>VLOOKUP($L$9,浴槽上,3,0)</f>
        <v>#N/A</v>
      </c>
      <c r="J158" s="820" t="e">
        <f>VLOOKUP($L$9,浴槽上,5,0)</f>
        <v>#N/A</v>
      </c>
      <c r="K158" s="821" t="e">
        <f>VLOOKUP($L$9,浴槽上,7,0)</f>
        <v>#N/A</v>
      </c>
      <c r="L158" s="2327"/>
      <c r="M158" s="2327"/>
      <c r="N158" s="3461" t="e">
        <f>ROUNDDOWN(H159*H161,2)</f>
        <v>#N/A</v>
      </c>
      <c r="O158" s="3450" t="e">
        <f>INT(E158*N158)</f>
        <v>#N/A</v>
      </c>
      <c r="P158" s="3455"/>
      <c r="Q158" s="3458" t="s">
        <v>197</v>
      </c>
      <c r="R158" s="3250">
        <f>IF(ISERROR(INT(O158*P158)),0,INT(O158*P158))</f>
        <v>0</v>
      </c>
      <c r="S158" s="3252"/>
      <c r="T158" s="2395" t="b">
        <f>T157</f>
        <v>0</v>
      </c>
      <c r="U158" s="977" t="s">
        <v>1996</v>
      </c>
      <c r="V158" s="977"/>
    </row>
    <row r="159" spans="1:22" ht="13.5" customHeight="1">
      <c r="B159" s="3590"/>
      <c r="C159" s="2681"/>
      <c r="D159" s="2682"/>
      <c r="E159" s="3245"/>
      <c r="F159" s="3247"/>
      <c r="G159" s="3448"/>
      <c r="H159" s="813" t="e">
        <f>HLOOKUP(H158,I158:K159,2,0)</f>
        <v>#N/A</v>
      </c>
      <c r="I159" s="814" t="e">
        <f>VLOOKUP($L$9,浴槽上,4,0)</f>
        <v>#N/A</v>
      </c>
      <c r="J159" s="822" t="e">
        <f>VLOOKUP($L$9,浴槽上,6,0)</f>
        <v>#N/A</v>
      </c>
      <c r="K159" s="815" t="e">
        <f>VLOOKUP($L$9,浴槽上,8,0)</f>
        <v>#N/A</v>
      </c>
      <c r="L159" s="2322"/>
      <c r="M159" s="2322"/>
      <c r="N159" s="3462"/>
      <c r="O159" s="3451"/>
      <c r="P159" s="3456"/>
      <c r="Q159" s="3459"/>
      <c r="R159" s="3245"/>
      <c r="S159" s="3247"/>
      <c r="T159" s="2395" t="b">
        <f>T157</f>
        <v>0</v>
      </c>
      <c r="U159" s="977" t="s">
        <v>1997</v>
      </c>
      <c r="V159" s="977"/>
    </row>
    <row r="160" spans="1:22" ht="13.5" customHeight="1">
      <c r="B160" s="3590"/>
      <c r="C160" s="2681"/>
      <c r="D160" s="2682"/>
      <c r="E160" s="3245"/>
      <c r="F160" s="3247"/>
      <c r="G160" s="3448" t="s">
        <v>909</v>
      </c>
      <c r="H160" s="818"/>
      <c r="I160" s="819" t="e">
        <f>VLOOKUP($L$9,浴槽上,9,0)</f>
        <v>#N/A</v>
      </c>
      <c r="J160" s="820" t="e">
        <f>VLOOKUP($L$9,浴槽上,11,0)</f>
        <v>#N/A</v>
      </c>
      <c r="K160" s="821" t="e">
        <f>VLOOKUP($L$9,浴槽上,13,0)</f>
        <v>#N/A</v>
      </c>
      <c r="L160" s="2322"/>
      <c r="M160" s="2322"/>
      <c r="N160" s="3462"/>
      <c r="O160" s="3451"/>
      <c r="P160" s="3456"/>
      <c r="Q160" s="3459"/>
      <c r="R160" s="3245"/>
      <c r="S160" s="3247"/>
      <c r="T160" s="2395" t="b">
        <f>T157</f>
        <v>0</v>
      </c>
      <c r="U160" s="977" t="s">
        <v>1998</v>
      </c>
      <c r="V160" s="977"/>
    </row>
    <row r="161" spans="1:22" ht="13.5" customHeight="1">
      <c r="B161" s="3590"/>
      <c r="C161" s="2684"/>
      <c r="D161" s="2686"/>
      <c r="E161" s="3248"/>
      <c r="F161" s="3249"/>
      <c r="G161" s="3448"/>
      <c r="H161" s="813" t="e">
        <f>HLOOKUP(H160,I160:K161,2,0)</f>
        <v>#N/A</v>
      </c>
      <c r="I161" s="814" t="e">
        <f>VLOOKUP($L$9,浴槽上,10,0)</f>
        <v>#N/A</v>
      </c>
      <c r="J161" s="822" t="e">
        <f>VLOOKUP($L$9,浴槽上,12,0)</f>
        <v>#N/A</v>
      </c>
      <c r="K161" s="815" t="e">
        <f>VLOOKUP($L$9,浴槽上,14,0)</f>
        <v>#N/A</v>
      </c>
      <c r="L161" s="2306"/>
      <c r="M161" s="2306"/>
      <c r="N161" s="3463"/>
      <c r="O161" s="3452"/>
      <c r="P161" s="3457"/>
      <c r="Q161" s="3460"/>
      <c r="R161" s="3248"/>
      <c r="S161" s="3249"/>
      <c r="T161" s="2395" t="b">
        <f>T157</f>
        <v>0</v>
      </c>
      <c r="U161" s="977" t="s">
        <v>1999</v>
      </c>
      <c r="V161" s="977"/>
    </row>
    <row r="162" spans="1:22" ht="13.5" customHeight="1">
      <c r="B162" s="3590"/>
      <c r="C162" s="1617"/>
      <c r="D162" s="1618"/>
      <c r="E162" s="3477" t="s">
        <v>149</v>
      </c>
      <c r="F162" s="3478"/>
      <c r="G162" s="1502" t="s">
        <v>150</v>
      </c>
      <c r="H162" s="2356"/>
      <c r="I162" s="2356"/>
      <c r="J162" s="2356"/>
      <c r="K162" s="2356"/>
      <c r="L162" s="2357"/>
      <c r="M162" s="2357"/>
      <c r="N162" s="2335" t="s">
        <v>524</v>
      </c>
      <c r="O162" s="2335" t="s">
        <v>151</v>
      </c>
      <c r="P162" s="2393" t="s">
        <v>152</v>
      </c>
      <c r="Q162" s="2394" t="s">
        <v>195</v>
      </c>
      <c r="R162" s="3448" t="s">
        <v>791</v>
      </c>
      <c r="S162" s="3448"/>
      <c r="T162" s="2395" t="b">
        <f>COUNTA(H163,H165,P163)&lt;&gt;0</f>
        <v>0</v>
      </c>
      <c r="U162" s="977"/>
      <c r="V162" s="977"/>
    </row>
    <row r="163" spans="1:22" ht="13.5" customHeight="1">
      <c r="B163" s="3590"/>
      <c r="C163" s="2681" t="s">
        <v>2004</v>
      </c>
      <c r="D163" s="2682"/>
      <c r="E163" s="3250" t="e">
        <f>VLOOKUP($L$9,浴槽並,2,0)</f>
        <v>#N/A</v>
      </c>
      <c r="F163" s="3252"/>
      <c r="G163" s="3448" t="s">
        <v>196</v>
      </c>
      <c r="H163" s="818"/>
      <c r="I163" s="819" t="e">
        <f>VLOOKUP($L$9,浴槽並,3,0)</f>
        <v>#N/A</v>
      </c>
      <c r="J163" s="820" t="e">
        <f>VLOOKUP($L$9,浴槽並,5,0)</f>
        <v>#N/A</v>
      </c>
      <c r="K163" s="821" t="e">
        <f>VLOOKUP($L$9,浴槽並,7,0)</f>
        <v>#N/A</v>
      </c>
      <c r="L163" s="2327"/>
      <c r="M163" s="2327"/>
      <c r="N163" s="3461" t="e">
        <f>ROUNDDOWN(H164*H166,2)</f>
        <v>#N/A</v>
      </c>
      <c r="O163" s="3450" t="e">
        <f>INT(E163*N163)</f>
        <v>#N/A</v>
      </c>
      <c r="P163" s="3455"/>
      <c r="Q163" s="3458" t="s">
        <v>197</v>
      </c>
      <c r="R163" s="3250">
        <f>IF(ISERROR(INT(O163*P163)),0,INT(O163*P163))</f>
        <v>0</v>
      </c>
      <c r="S163" s="3252"/>
      <c r="T163" s="2395" t="b">
        <f>T162</f>
        <v>0</v>
      </c>
      <c r="U163" s="977"/>
      <c r="V163" s="977"/>
    </row>
    <row r="164" spans="1:22" ht="13.5" customHeight="1">
      <c r="B164" s="3590"/>
      <c r="C164" s="2681"/>
      <c r="D164" s="2682"/>
      <c r="E164" s="3245"/>
      <c r="F164" s="3247"/>
      <c r="G164" s="3448"/>
      <c r="H164" s="813" t="e">
        <f>HLOOKUP(H163,I163:K164,2,0)</f>
        <v>#N/A</v>
      </c>
      <c r="I164" s="814" t="e">
        <f>VLOOKUP($L$9,浴槽並,4,0)</f>
        <v>#N/A</v>
      </c>
      <c r="J164" s="822" t="e">
        <f>VLOOKUP($L$9,浴槽並,6,0)</f>
        <v>#N/A</v>
      </c>
      <c r="K164" s="815" t="e">
        <f>VLOOKUP($L$9,浴槽並,8,0)</f>
        <v>#N/A</v>
      </c>
      <c r="L164" s="2322"/>
      <c r="M164" s="2322"/>
      <c r="N164" s="3462"/>
      <c r="O164" s="3451"/>
      <c r="P164" s="3456"/>
      <c r="Q164" s="3459"/>
      <c r="R164" s="3245"/>
      <c r="S164" s="3247"/>
      <c r="T164" s="2395" t="b">
        <f>T162</f>
        <v>0</v>
      </c>
      <c r="U164" s="977"/>
      <c r="V164" s="977"/>
    </row>
    <row r="165" spans="1:22" ht="13.5" customHeight="1">
      <c r="B165" s="3590"/>
      <c r="C165" s="2681"/>
      <c r="D165" s="2682"/>
      <c r="E165" s="3245"/>
      <c r="F165" s="3247"/>
      <c r="G165" s="3448" t="s">
        <v>909</v>
      </c>
      <c r="H165" s="818"/>
      <c r="I165" s="819" t="e">
        <f>VLOOKUP($L$9,浴槽並,9,0)</f>
        <v>#N/A</v>
      </c>
      <c r="J165" s="820" t="e">
        <f>VLOOKUP($L$9,浴槽並,11,0)</f>
        <v>#N/A</v>
      </c>
      <c r="K165" s="821" t="e">
        <f>VLOOKUP($L$9,浴槽並,13,0)</f>
        <v>#N/A</v>
      </c>
      <c r="L165" s="2322"/>
      <c r="M165" s="2322"/>
      <c r="N165" s="3462"/>
      <c r="O165" s="3451"/>
      <c r="P165" s="3456"/>
      <c r="Q165" s="3459"/>
      <c r="R165" s="3245"/>
      <c r="S165" s="3247"/>
      <c r="T165" s="2395" t="b">
        <f>T162</f>
        <v>0</v>
      </c>
    </row>
    <row r="166" spans="1:22" ht="13.5" customHeight="1">
      <c r="B166" s="3590"/>
      <c r="C166" s="2684"/>
      <c r="D166" s="2686"/>
      <c r="E166" s="3248"/>
      <c r="F166" s="3249"/>
      <c r="G166" s="3448"/>
      <c r="H166" s="813" t="e">
        <f>HLOOKUP(H165,I165:K166,2,0)</f>
        <v>#N/A</v>
      </c>
      <c r="I166" s="814" t="e">
        <f>VLOOKUP($L$9,浴槽並,10,0)</f>
        <v>#N/A</v>
      </c>
      <c r="J166" s="822" t="e">
        <f>VLOOKUP($L$9,浴槽並,12,0)</f>
        <v>#N/A</v>
      </c>
      <c r="K166" s="815" t="e">
        <f>VLOOKUP($L$9,浴槽並,14,0)</f>
        <v>#N/A</v>
      </c>
      <c r="L166" s="2306"/>
      <c r="M166" s="2306"/>
      <c r="N166" s="3463"/>
      <c r="O166" s="3452"/>
      <c r="P166" s="3457"/>
      <c r="Q166" s="3460"/>
      <c r="R166" s="3248"/>
      <c r="S166" s="3249"/>
      <c r="T166" s="2395" t="b">
        <f>T162</f>
        <v>0</v>
      </c>
    </row>
    <row r="167" spans="1:22" ht="13.5" customHeight="1">
      <c r="B167" s="3590"/>
      <c r="C167" s="1617"/>
      <c r="D167" s="1618"/>
      <c r="E167" s="3477" t="s">
        <v>149</v>
      </c>
      <c r="F167" s="3478"/>
      <c r="G167" s="1502" t="s">
        <v>150</v>
      </c>
      <c r="H167" s="2356"/>
      <c r="I167" s="2356"/>
      <c r="J167" s="2356"/>
      <c r="K167" s="2356"/>
      <c r="L167" s="2356"/>
      <c r="M167" s="2357"/>
      <c r="N167" s="2335" t="s">
        <v>524</v>
      </c>
      <c r="O167" s="2335" t="s">
        <v>151</v>
      </c>
      <c r="P167" s="2393" t="s">
        <v>152</v>
      </c>
      <c r="Q167" s="2394" t="s">
        <v>195</v>
      </c>
      <c r="R167" s="3448" t="s">
        <v>791</v>
      </c>
      <c r="S167" s="3448"/>
      <c r="T167" s="2395" t="b">
        <f>COUNTA(H168,H170,H173,H177:I177,P168)&lt;&gt;0</f>
        <v>0</v>
      </c>
    </row>
    <row r="168" spans="1:22" ht="13.5" customHeight="1">
      <c r="A168">
        <f>ROW()</f>
        <v>168</v>
      </c>
      <c r="B168" s="3590"/>
      <c r="C168" s="2681" t="s">
        <v>910</v>
      </c>
      <c r="D168" s="2682"/>
      <c r="E168" s="3250" t="e">
        <f>VLOOKUP($L$9,ＵＢ,2,0)</f>
        <v>#N/A</v>
      </c>
      <c r="F168" s="3252"/>
      <c r="G168" s="3448" t="s">
        <v>911</v>
      </c>
      <c r="H168" s="818"/>
      <c r="I168" s="819" t="e">
        <f>VLOOKUP($L$9,ＵＢ,3,0)</f>
        <v>#N/A</v>
      </c>
      <c r="J168" s="821" t="e">
        <f>VLOOKUP($L$9,ＵＢ,5,0)</f>
        <v>#N/A</v>
      </c>
      <c r="K168" s="2327"/>
      <c r="L168" s="2327"/>
      <c r="M168" s="2328"/>
      <c r="N168" s="3461" t="e">
        <f>ROUNDDOWN(H169*H172*H174,2)</f>
        <v>#N/A</v>
      </c>
      <c r="O168" s="3450" t="e">
        <f>INT(E168*N168)</f>
        <v>#N/A</v>
      </c>
      <c r="P168" s="3464"/>
      <c r="Q168" s="3458" t="s">
        <v>197</v>
      </c>
      <c r="R168" s="3250">
        <f>IF(ISERROR(INT(O168*P168)),0,INT(O168*P168))</f>
        <v>0</v>
      </c>
      <c r="S168" s="3252"/>
      <c r="T168" s="2395" t="b">
        <f>T167</f>
        <v>0</v>
      </c>
    </row>
    <row r="169" spans="1:22" ht="13.5" customHeight="1">
      <c r="B169" s="3590"/>
      <c r="C169" s="2681"/>
      <c r="D169" s="2682"/>
      <c r="E169" s="3245"/>
      <c r="F169" s="3247"/>
      <c r="G169" s="3448"/>
      <c r="H169" s="813" t="e">
        <f>HLOOKUP(H168,I168:M169,2,0)</f>
        <v>#N/A</v>
      </c>
      <c r="I169" s="814" t="e">
        <f>VLOOKUP($L$9,ＵＢ,4,0)</f>
        <v>#N/A</v>
      </c>
      <c r="J169" s="815" t="e">
        <f>VLOOKUP($L$9,ＵＢ,6,0)</f>
        <v>#N/A</v>
      </c>
      <c r="K169" s="2322"/>
      <c r="L169" s="2322"/>
      <c r="M169" s="2323"/>
      <c r="N169" s="3462"/>
      <c r="O169" s="3451"/>
      <c r="P169" s="3465"/>
      <c r="Q169" s="3459"/>
      <c r="R169" s="3245"/>
      <c r="S169" s="3247"/>
      <c r="T169" s="2395" t="b">
        <f>T167</f>
        <v>0</v>
      </c>
    </row>
    <row r="170" spans="1:22" ht="13.5" customHeight="1">
      <c r="B170" s="3590"/>
      <c r="C170" s="2681"/>
      <c r="D170" s="2682"/>
      <c r="E170" s="3245"/>
      <c r="F170" s="3247"/>
      <c r="G170" s="3448" t="s">
        <v>196</v>
      </c>
      <c r="H170" s="881"/>
      <c r="I170" s="882" t="e">
        <f>VLOOKUP($L$9,ＵＢ,15,0)</f>
        <v>#N/A</v>
      </c>
      <c r="J170" s="883" t="e">
        <f>VLOOKUP($L$9,ＵＢ,18,0)</f>
        <v>#N/A</v>
      </c>
      <c r="K170" s="884" t="e">
        <f>VLOOKUP($L$9,ＵＢ,21,0)</f>
        <v>#N/A</v>
      </c>
      <c r="L170" s="885" t="s">
        <v>848</v>
      </c>
      <c r="M170" s="2322"/>
      <c r="N170" s="3462"/>
      <c r="O170" s="3451"/>
      <c r="P170" s="3465"/>
      <c r="Q170" s="3459"/>
      <c r="R170" s="3245"/>
      <c r="S170" s="3247"/>
      <c r="T170" s="2395" t="b">
        <f>T167</f>
        <v>0</v>
      </c>
    </row>
    <row r="171" spans="1:22" ht="13.5" customHeight="1">
      <c r="B171" s="3590"/>
      <c r="C171" s="2681"/>
      <c r="D171" s="2682"/>
      <c r="E171" s="3245"/>
      <c r="F171" s="3247"/>
      <c r="G171" s="3448"/>
      <c r="H171" s="1694" t="e">
        <f>HLOOKUP(H170,I170:M172,2,0)</f>
        <v>#N/A</v>
      </c>
      <c r="I171" s="1654" t="e">
        <f>VLOOKUP($L$9,ＵＢ,16,0)</f>
        <v>#N/A</v>
      </c>
      <c r="J171" s="1655" t="e">
        <f>VLOOKUP($L$9,ＵＢ,19,0)</f>
        <v>#N/A</v>
      </c>
      <c r="K171" s="1656" t="e">
        <f>VLOOKUP($L$9,ＵＢ,22,0)</f>
        <v>#N/A</v>
      </c>
      <c r="L171" s="1657" t="str">
        <f>IF(J177,J177,"-")</f>
        <v>-</v>
      </c>
      <c r="M171" s="2322"/>
      <c r="N171" s="3462"/>
      <c r="O171" s="3451"/>
      <c r="P171" s="3465"/>
      <c r="Q171" s="3459"/>
      <c r="R171" s="3245"/>
      <c r="S171" s="3247"/>
      <c r="T171" s="2395" t="b">
        <f>T167</f>
        <v>0</v>
      </c>
    </row>
    <row r="172" spans="1:22" ht="13.5" customHeight="1">
      <c r="B172" s="3590"/>
      <c r="C172" s="2681"/>
      <c r="D172" s="2682"/>
      <c r="E172" s="3245"/>
      <c r="F172" s="3247"/>
      <c r="G172" s="3448"/>
      <c r="H172" s="813" t="e">
        <f>HLOOKUP(H170,I170:M172,3,0)</f>
        <v>#N/A</v>
      </c>
      <c r="I172" s="814" t="e">
        <f>VLOOKUP($L$9,ＵＢ,17,0)</f>
        <v>#N/A</v>
      </c>
      <c r="J172" s="822" t="e">
        <f>VLOOKUP($L$9,ＵＢ,20,0)</f>
        <v>#N/A</v>
      </c>
      <c r="K172" s="831" t="e">
        <f>VLOOKUP($L$9,ＵＢ,23,0)</f>
        <v>#N/A</v>
      </c>
      <c r="L172" s="832" t="str">
        <f>IF(J177,ROUNDDOWN(1+(L171-J171)*IF(L171&gt;J171,(I172-J172)/(I171-J171),(J172-K172)/(J171-K171)),2),"-")</f>
        <v>-</v>
      </c>
      <c r="M172" s="2332"/>
      <c r="N172" s="3462"/>
      <c r="O172" s="3451"/>
      <c r="P172" s="3465"/>
      <c r="Q172" s="3459"/>
      <c r="R172" s="3245"/>
      <c r="S172" s="3247"/>
      <c r="T172" s="2395" t="b">
        <f>T167</f>
        <v>0</v>
      </c>
    </row>
    <row r="173" spans="1:22" ht="13.5" customHeight="1">
      <c r="B173" s="3590"/>
      <c r="C173" s="2681"/>
      <c r="D173" s="2682"/>
      <c r="E173" s="3245"/>
      <c r="F173" s="3247"/>
      <c r="G173" s="3448" t="s">
        <v>794</v>
      </c>
      <c r="H173" s="818"/>
      <c r="I173" s="819" t="e">
        <f>VLOOKUP($L$9,ＵＢ,9,0)</f>
        <v>#N/A</v>
      </c>
      <c r="J173" s="820" t="e">
        <f>VLOOKUP($L$9,ＵＢ,11,0)</f>
        <v>#N/A</v>
      </c>
      <c r="K173" s="821" t="e">
        <f>VLOOKUP($L$9,ＵＢ,13,0)</f>
        <v>#N/A</v>
      </c>
      <c r="L173" s="2322"/>
      <c r="M173" s="2322"/>
      <c r="N173" s="3462"/>
      <c r="O173" s="3451"/>
      <c r="P173" s="3465"/>
      <c r="Q173" s="3459"/>
      <c r="R173" s="3245"/>
      <c r="S173" s="3247"/>
      <c r="T173" s="2395" t="b">
        <f>T167</f>
        <v>0</v>
      </c>
      <c r="U173" s="2358" t="s">
        <v>2373</v>
      </c>
    </row>
    <row r="174" spans="1:22" ht="13.5" customHeight="1">
      <c r="B174" s="3590"/>
      <c r="C174" s="2681"/>
      <c r="D174" s="2682"/>
      <c r="E174" s="3248"/>
      <c r="F174" s="3249"/>
      <c r="G174" s="3448"/>
      <c r="H174" s="813" t="e">
        <f>HLOOKUP(H173,I173:M174,2,0)</f>
        <v>#N/A</v>
      </c>
      <c r="I174" s="814" t="e">
        <f>VLOOKUP($L$9,ＵＢ,10,0)</f>
        <v>#N/A</v>
      </c>
      <c r="J174" s="822" t="e">
        <f>VLOOKUP($L$9,ＵＢ,12,0)</f>
        <v>#N/A</v>
      </c>
      <c r="K174" s="815" t="e">
        <f>VLOOKUP($L$9,ＵＢ,14,0)</f>
        <v>#N/A</v>
      </c>
      <c r="L174" s="2306"/>
      <c r="M174" s="2306"/>
      <c r="N174" s="3463"/>
      <c r="O174" s="3452"/>
      <c r="P174" s="3466"/>
      <c r="Q174" s="3460"/>
      <c r="R174" s="3248"/>
      <c r="S174" s="3249"/>
      <c r="T174" s="2395" t="b">
        <f>T167</f>
        <v>0</v>
      </c>
    </row>
    <row r="175" spans="1:22" ht="6" customHeight="1">
      <c r="B175" s="3590"/>
      <c r="C175" s="2681"/>
      <c r="D175" s="2682"/>
      <c r="E175" s="2321"/>
      <c r="F175" s="2322"/>
      <c r="G175" s="2322"/>
      <c r="H175" s="2322"/>
      <c r="I175" s="2322"/>
      <c r="J175" s="2322"/>
      <c r="K175" s="2322"/>
      <c r="L175" s="2322"/>
      <c r="M175" s="2322"/>
      <c r="N175" s="2333"/>
      <c r="O175" s="2322"/>
      <c r="P175" s="2333"/>
      <c r="Q175" s="2333"/>
      <c r="R175" s="2322"/>
      <c r="S175" s="2323"/>
      <c r="T175" s="2395" t="b">
        <f>+J177&lt;&gt;0</f>
        <v>0</v>
      </c>
    </row>
    <row r="176" spans="1:22" ht="13.5" customHeight="1">
      <c r="B176" s="3590"/>
      <c r="C176" s="2681"/>
      <c r="D176" s="2682"/>
      <c r="E176" s="2321"/>
      <c r="F176" s="2322"/>
      <c r="G176" s="3449" t="s">
        <v>912</v>
      </c>
      <c r="H176" s="1502" t="s">
        <v>1325</v>
      </c>
      <c r="I176" s="2356"/>
      <c r="J176" s="2357"/>
      <c r="K176" s="2322"/>
      <c r="L176" s="2322"/>
      <c r="M176" s="2322"/>
      <c r="N176" s="2333"/>
      <c r="O176" s="2322"/>
      <c r="P176" s="2333"/>
      <c r="Q176" s="2333"/>
      <c r="R176" s="2322"/>
      <c r="S176" s="2323"/>
      <c r="T176" s="2395" t="b">
        <f>+$T$175</f>
        <v>0</v>
      </c>
    </row>
    <row r="177" spans="2:20" ht="13.5" customHeight="1">
      <c r="B177" s="3590"/>
      <c r="C177" s="2681"/>
      <c r="D177" s="2682"/>
      <c r="E177" s="2321"/>
      <c r="F177" s="2322"/>
      <c r="G177" s="3448"/>
      <c r="H177" s="887"/>
      <c r="I177" s="888"/>
      <c r="J177" s="1658">
        <f>H177*I177</f>
        <v>0</v>
      </c>
      <c r="K177" s="2322"/>
      <c r="L177" s="2322"/>
      <c r="M177" s="2322"/>
      <c r="N177" s="2333"/>
      <c r="O177" s="2322"/>
      <c r="P177" s="2333"/>
      <c r="Q177" s="2333"/>
      <c r="R177" s="2322"/>
      <c r="S177" s="2323"/>
      <c r="T177" s="2395" t="b">
        <f t="shared" ref="T177:T178" si="26">+$T$175</f>
        <v>0</v>
      </c>
    </row>
    <row r="178" spans="2:20" ht="6" customHeight="1">
      <c r="B178" s="3590"/>
      <c r="C178" s="2684"/>
      <c r="D178" s="2686"/>
      <c r="E178" s="2324"/>
      <c r="F178" s="2306"/>
      <c r="G178" s="2306"/>
      <c r="H178" s="2306"/>
      <c r="I178" s="2306"/>
      <c r="J178" s="2306"/>
      <c r="K178" s="2306"/>
      <c r="L178" s="2306"/>
      <c r="M178" s="2306"/>
      <c r="N178" s="2319"/>
      <c r="O178" s="2306"/>
      <c r="P178" s="2319"/>
      <c r="Q178" s="2319"/>
      <c r="R178" s="2306"/>
      <c r="S178" s="2325"/>
      <c r="T178" s="2395" t="b">
        <f t="shared" si="26"/>
        <v>0</v>
      </c>
    </row>
    <row r="179" spans="2:20" ht="13.5" customHeight="1">
      <c r="B179" s="3590"/>
      <c r="C179" s="1617"/>
      <c r="D179" s="1618"/>
      <c r="E179" s="3477" t="s">
        <v>149</v>
      </c>
      <c r="F179" s="3478"/>
      <c r="G179" s="1502" t="s">
        <v>150</v>
      </c>
      <c r="H179" s="2356"/>
      <c r="I179" s="2356"/>
      <c r="J179" s="2356"/>
      <c r="K179" s="2356"/>
      <c r="L179" s="2356"/>
      <c r="M179" s="2357"/>
      <c r="N179" s="2335" t="s">
        <v>524</v>
      </c>
      <c r="O179" s="2335" t="s">
        <v>151</v>
      </c>
      <c r="P179" s="2393" t="s">
        <v>152</v>
      </c>
      <c r="Q179" s="2394" t="s">
        <v>195</v>
      </c>
      <c r="R179" s="3448" t="s">
        <v>791</v>
      </c>
      <c r="S179" s="3448"/>
      <c r="T179" s="2395" t="b">
        <f>COUNTA(H183,H180,H187:I187,P180)&lt;&gt;0</f>
        <v>0</v>
      </c>
    </row>
    <row r="180" spans="2:20" ht="13.5" customHeight="1">
      <c r="B180" s="3590"/>
      <c r="C180" s="2681" t="s">
        <v>199</v>
      </c>
      <c r="D180" s="2682"/>
      <c r="E180" s="3250" t="e">
        <f>VLOOKUP($L$9,ＨＵＢ,2,0)</f>
        <v>#N/A</v>
      </c>
      <c r="F180" s="3252"/>
      <c r="G180" s="3448" t="s">
        <v>196</v>
      </c>
      <c r="H180" s="881"/>
      <c r="I180" s="882" t="e">
        <f>VLOOKUP($L$9,ＨＵＢ,9,0)</f>
        <v>#N/A</v>
      </c>
      <c r="J180" s="883" t="e">
        <f>VLOOKUP($L$9,ＨＵＢ,12,0)</f>
        <v>#N/A</v>
      </c>
      <c r="K180" s="884" t="e">
        <f>VLOOKUP($L$9,ＨＵＢ,15,0)</f>
        <v>#N/A</v>
      </c>
      <c r="L180" s="885" t="s">
        <v>848</v>
      </c>
      <c r="M180" s="2327" t="s">
        <v>2358</v>
      </c>
      <c r="N180" s="3461" t="e">
        <f>ROUNDDOWN(H184*H182,2)</f>
        <v>#N/A</v>
      </c>
      <c r="O180" s="3450" t="e">
        <f>INT(E180*N180)</f>
        <v>#N/A</v>
      </c>
      <c r="P180" s="3464"/>
      <c r="Q180" s="3458" t="s">
        <v>197</v>
      </c>
      <c r="R180" s="3250">
        <f>IF(ISERROR(INT(O180*P180)),0,INT(O180*P180))</f>
        <v>0</v>
      </c>
      <c r="S180" s="3252"/>
      <c r="T180" s="2395" t="b">
        <f>T179</f>
        <v>0</v>
      </c>
    </row>
    <row r="181" spans="2:20" ht="13.5" customHeight="1">
      <c r="B181" s="3590"/>
      <c r="C181" s="2681"/>
      <c r="D181" s="2682"/>
      <c r="E181" s="3245"/>
      <c r="F181" s="3247"/>
      <c r="G181" s="3448"/>
      <c r="H181" s="1694" t="e">
        <f>HLOOKUP(H180,I180:M182,2,0)</f>
        <v>#N/A</v>
      </c>
      <c r="I181" s="1654" t="e">
        <f>VLOOKUP($L$9,ＨＵＢ,10,0)</f>
        <v>#N/A</v>
      </c>
      <c r="J181" s="1655" t="e">
        <f>VLOOKUP($L$9,ＨＵＢ,13,0)</f>
        <v>#N/A</v>
      </c>
      <c r="K181" s="1656" t="e">
        <f>VLOOKUP($L$9,ＨＵＢ,16,0)</f>
        <v>#N/A</v>
      </c>
      <c r="L181" s="1657" t="str">
        <f>IF(J187,J187,"-")</f>
        <v>-</v>
      </c>
      <c r="M181" s="2322"/>
      <c r="N181" s="3462"/>
      <c r="O181" s="3451"/>
      <c r="P181" s="3465"/>
      <c r="Q181" s="3459"/>
      <c r="R181" s="3245"/>
      <c r="S181" s="3247"/>
      <c r="T181" s="2395" t="b">
        <f>T179</f>
        <v>0</v>
      </c>
    </row>
    <row r="182" spans="2:20" ht="13.5" customHeight="1">
      <c r="B182" s="3590"/>
      <c r="C182" s="2681"/>
      <c r="D182" s="2682"/>
      <c r="E182" s="3245"/>
      <c r="F182" s="3247"/>
      <c r="G182" s="3448"/>
      <c r="H182" s="813" t="e">
        <f>HLOOKUP(H180,I180:M182,3,0)</f>
        <v>#N/A</v>
      </c>
      <c r="I182" s="814" t="e">
        <f>VLOOKUP($L$9,ＨＵＢ,11,0)</f>
        <v>#N/A</v>
      </c>
      <c r="J182" s="822" t="e">
        <f>VLOOKUP($L$9,ＨＵＢ,14,0)</f>
        <v>#N/A</v>
      </c>
      <c r="K182" s="831" t="e">
        <f>VLOOKUP($L$9,ＨＵＢ,17,0)</f>
        <v>#N/A</v>
      </c>
      <c r="L182" s="832" t="e">
        <f>+MAX(IF(J187,ROUNDDOWN(1+(L181-J181)*(I182-J182)/(I181-J181),2),"-"),J182)</f>
        <v>#VALUE!</v>
      </c>
      <c r="M182" s="2332"/>
      <c r="N182" s="3462"/>
      <c r="O182" s="3451"/>
      <c r="P182" s="3465"/>
      <c r="Q182" s="3459"/>
      <c r="R182" s="3245"/>
      <c r="S182" s="3247"/>
      <c r="T182" s="2395" t="b">
        <f>T179</f>
        <v>0</v>
      </c>
    </row>
    <row r="183" spans="2:20" ht="13.5" customHeight="1">
      <c r="B183" s="3590"/>
      <c r="C183" s="2681"/>
      <c r="D183" s="2682"/>
      <c r="E183" s="3245"/>
      <c r="F183" s="3247"/>
      <c r="G183" s="3448" t="s">
        <v>794</v>
      </c>
      <c r="H183" s="818"/>
      <c r="I183" s="819" t="e">
        <f>VLOOKUP($L$9,ＨＵＢ,3,0)</f>
        <v>#N/A</v>
      </c>
      <c r="J183" s="820" t="e">
        <f>VLOOKUP($L$9,ＨＵＢ,5,0)</f>
        <v>#N/A</v>
      </c>
      <c r="K183" s="821" t="e">
        <f>VLOOKUP($L$9,ＨＵＢ,7,0)</f>
        <v>#N/A</v>
      </c>
      <c r="L183" s="2327"/>
      <c r="M183" s="2323"/>
      <c r="N183" s="3462"/>
      <c r="O183" s="3451"/>
      <c r="P183" s="3465"/>
      <c r="Q183" s="3459"/>
      <c r="R183" s="3245"/>
      <c r="S183" s="3247"/>
      <c r="T183" s="2395" t="b">
        <f>T179</f>
        <v>0</v>
      </c>
    </row>
    <row r="184" spans="2:20" ht="13.5" customHeight="1">
      <c r="B184" s="3590"/>
      <c r="C184" s="2681"/>
      <c r="D184" s="2682"/>
      <c r="E184" s="3248"/>
      <c r="F184" s="3249"/>
      <c r="G184" s="3448"/>
      <c r="H184" s="813" t="e">
        <f>HLOOKUP(H183,I183:M184,2,0)</f>
        <v>#N/A</v>
      </c>
      <c r="I184" s="814" t="e">
        <f>VLOOKUP($L$9,ＨＵＢ,4,0)</f>
        <v>#N/A</v>
      </c>
      <c r="J184" s="822" t="e">
        <f>VLOOKUP($L$9,ＨＵＢ,6,0)</f>
        <v>#N/A</v>
      </c>
      <c r="K184" s="815" t="e">
        <f>VLOOKUP($L$9,ＨＵＢ,8,0)</f>
        <v>#N/A</v>
      </c>
      <c r="L184" s="2306"/>
      <c r="M184" s="2306"/>
      <c r="N184" s="3463"/>
      <c r="O184" s="3452"/>
      <c r="P184" s="3466"/>
      <c r="Q184" s="3460"/>
      <c r="R184" s="3248"/>
      <c r="S184" s="3249"/>
      <c r="T184" s="2395" t="b">
        <f>T179</f>
        <v>0</v>
      </c>
    </row>
    <row r="185" spans="2:20" ht="6" customHeight="1">
      <c r="B185" s="3590"/>
      <c r="C185" s="2681"/>
      <c r="D185" s="2682"/>
      <c r="E185" s="2321"/>
      <c r="F185" s="2322"/>
      <c r="G185" s="2322"/>
      <c r="H185" s="2322"/>
      <c r="I185" s="2322"/>
      <c r="J185" s="2322"/>
      <c r="K185" s="2322"/>
      <c r="L185" s="2322"/>
      <c r="M185" s="2322"/>
      <c r="N185" s="2333"/>
      <c r="O185" s="2322"/>
      <c r="P185" s="2333"/>
      <c r="Q185" s="2333"/>
      <c r="R185" s="2322"/>
      <c r="S185" s="2323"/>
      <c r="T185" s="2395" t="b">
        <f>+J187&lt;&gt;0</f>
        <v>0</v>
      </c>
    </row>
    <row r="186" spans="2:20" ht="13.5" customHeight="1">
      <c r="B186" s="3590"/>
      <c r="C186" s="2681"/>
      <c r="D186" s="2682"/>
      <c r="E186" s="2321"/>
      <c r="F186" s="2322"/>
      <c r="G186" s="3449" t="s">
        <v>912</v>
      </c>
      <c r="H186" s="1502" t="s">
        <v>1325</v>
      </c>
      <c r="I186" s="2356"/>
      <c r="J186" s="2357"/>
      <c r="K186" s="2322"/>
      <c r="L186" s="2322"/>
      <c r="M186" s="2322"/>
      <c r="N186" s="2333"/>
      <c r="O186" s="2322"/>
      <c r="P186" s="2333"/>
      <c r="Q186" s="2333"/>
      <c r="R186" s="2322"/>
      <c r="S186" s="2323"/>
      <c r="T186" s="2395" t="b">
        <f>+$T$185</f>
        <v>0</v>
      </c>
    </row>
    <row r="187" spans="2:20" ht="13.5" customHeight="1">
      <c r="B187" s="3590"/>
      <c r="C187" s="2681"/>
      <c r="D187" s="2682"/>
      <c r="E187" s="2321"/>
      <c r="F187" s="2322"/>
      <c r="G187" s="3448"/>
      <c r="H187" s="887"/>
      <c r="I187" s="888"/>
      <c r="J187" s="1658">
        <f>H187*I187</f>
        <v>0</v>
      </c>
      <c r="K187" s="2322"/>
      <c r="L187" s="2322"/>
      <c r="M187" s="2322"/>
      <c r="N187" s="2333"/>
      <c r="O187" s="2322"/>
      <c r="P187" s="2333"/>
      <c r="Q187" s="2333"/>
      <c r="R187" s="2322"/>
      <c r="S187" s="2323"/>
      <c r="T187" s="2395" t="b">
        <f t="shared" ref="T187:T188" si="27">+$T$185</f>
        <v>0</v>
      </c>
    </row>
    <row r="188" spans="2:20" ht="6" customHeight="1">
      <c r="B188" s="3590"/>
      <c r="C188" s="2684"/>
      <c r="D188" s="2686"/>
      <c r="E188" s="2324"/>
      <c r="F188" s="2306"/>
      <c r="G188" s="2306"/>
      <c r="H188" s="2306"/>
      <c r="I188" s="2306"/>
      <c r="J188" s="2306"/>
      <c r="K188" s="2306"/>
      <c r="L188" s="2306"/>
      <c r="M188" s="2306"/>
      <c r="N188" s="2319"/>
      <c r="O188" s="2306"/>
      <c r="P188" s="2319"/>
      <c r="Q188" s="2319"/>
      <c r="R188" s="2306"/>
      <c r="S188" s="2325"/>
      <c r="T188" s="2395" t="b">
        <f t="shared" si="27"/>
        <v>0</v>
      </c>
    </row>
    <row r="189" spans="2:20" ht="13.5" customHeight="1">
      <c r="B189" s="3590"/>
      <c r="C189" s="1617"/>
      <c r="D189" s="1618"/>
      <c r="E189" s="3477" t="s">
        <v>149</v>
      </c>
      <c r="F189" s="3478"/>
      <c r="G189" s="1502" t="s">
        <v>150</v>
      </c>
      <c r="H189" s="2356"/>
      <c r="I189" s="2356"/>
      <c r="J189" s="2356"/>
      <c r="K189" s="2356"/>
      <c r="L189" s="2356"/>
      <c r="M189" s="2357"/>
      <c r="N189" s="2335" t="s">
        <v>524</v>
      </c>
      <c r="O189" s="2335" t="s">
        <v>151</v>
      </c>
      <c r="P189" s="2393" t="s">
        <v>152</v>
      </c>
      <c r="Q189" s="2394" t="s">
        <v>195</v>
      </c>
      <c r="R189" s="3448" t="s">
        <v>791</v>
      </c>
      <c r="S189" s="3448"/>
      <c r="T189" s="2395" t="b">
        <f>COUNTA(H190,P190)&lt;&gt;0</f>
        <v>0</v>
      </c>
    </row>
    <row r="190" spans="2:20" ht="13.5" customHeight="1">
      <c r="B190" s="3590"/>
      <c r="C190" s="2681" t="s">
        <v>1427</v>
      </c>
      <c r="D190" s="2682"/>
      <c r="E190" s="3250" t="e">
        <f>VLOOKUP($L$9,浴室換気乾燥機,2,0)</f>
        <v>#N/A</v>
      </c>
      <c r="F190" s="3252"/>
      <c r="G190" s="3467" t="s">
        <v>794</v>
      </c>
      <c r="H190" s="818"/>
      <c r="I190" s="819" t="e">
        <f>VLOOKUP($L$9,浴室換気乾燥機,3,0)</f>
        <v>#N/A</v>
      </c>
      <c r="J190" s="820" t="e">
        <f>VLOOKUP($L$9,浴室換気乾燥機,5,0)</f>
        <v>#N/A</v>
      </c>
      <c r="K190" s="821" t="e">
        <f>VLOOKUP($L$9,浴室換気乾燥機,7,0)</f>
        <v>#N/A</v>
      </c>
      <c r="L190" s="2327"/>
      <c r="M190" s="2327"/>
      <c r="N190" s="3461" t="e">
        <f>ROUNDDOWN(H191,2)</f>
        <v>#N/A</v>
      </c>
      <c r="O190" s="3450" t="e">
        <f>INT(E190*N190)</f>
        <v>#N/A</v>
      </c>
      <c r="P190" s="3653"/>
      <c r="Q190" s="3651" t="s">
        <v>197</v>
      </c>
      <c r="R190" s="3250">
        <f>IF(ISERROR(INT(O190*P190)),0,INT(O190*P190))</f>
        <v>0</v>
      </c>
      <c r="S190" s="3252"/>
      <c r="T190" s="2395" t="b">
        <f>T189</f>
        <v>0</v>
      </c>
    </row>
    <row r="191" spans="2:20" ht="13.5" customHeight="1">
      <c r="B191" s="3590"/>
      <c r="C191" s="2681"/>
      <c r="D191" s="2682"/>
      <c r="E191" s="3245"/>
      <c r="F191" s="3247"/>
      <c r="G191" s="2837"/>
      <c r="H191" s="813" t="e">
        <f>HLOOKUP(H190,I190:M191,2,0)</f>
        <v>#N/A</v>
      </c>
      <c r="I191" s="814" t="e">
        <f>VLOOKUP($L$9,浴室換気乾燥機,4,0)</f>
        <v>#N/A</v>
      </c>
      <c r="J191" s="822" t="e">
        <f>VLOOKUP($L$9,浴室換気乾燥機,6,0)</f>
        <v>#N/A</v>
      </c>
      <c r="K191" s="815" t="e">
        <f>VLOOKUP($L$9,浴室換気乾燥機,8,0)</f>
        <v>#N/A</v>
      </c>
      <c r="L191" s="2306"/>
      <c r="M191" s="2306"/>
      <c r="N191" s="3463"/>
      <c r="O191" s="3452"/>
      <c r="P191" s="2816"/>
      <c r="Q191" s="2816"/>
      <c r="R191" s="3248"/>
      <c r="S191" s="3249"/>
      <c r="T191" s="2395" t="b">
        <f>T190</f>
        <v>0</v>
      </c>
    </row>
    <row r="192" spans="2:20" ht="13.5" customHeight="1">
      <c r="B192" s="3590"/>
      <c r="C192" s="1617"/>
      <c r="D192" s="1618"/>
      <c r="E192" s="3477" t="s">
        <v>149</v>
      </c>
      <c r="F192" s="3478"/>
      <c r="G192" s="1502" t="s">
        <v>150</v>
      </c>
      <c r="H192" s="2356"/>
      <c r="I192" s="2356"/>
      <c r="J192" s="2356"/>
      <c r="K192" s="2356"/>
      <c r="L192" s="2356"/>
      <c r="M192" s="2357"/>
      <c r="N192" s="2335" t="s">
        <v>524</v>
      </c>
      <c r="O192" s="2335" t="s">
        <v>151</v>
      </c>
      <c r="P192" s="2393" t="s">
        <v>152</v>
      </c>
      <c r="Q192" s="2394" t="s">
        <v>195</v>
      </c>
      <c r="R192" s="3477" t="s">
        <v>791</v>
      </c>
      <c r="S192" s="3478"/>
      <c r="T192" s="2395" t="b">
        <f>COUNTA(H196,H193,H200:I200,P193)&lt;&gt;0</f>
        <v>0</v>
      </c>
    </row>
    <row r="193" spans="2:21" ht="13.5" customHeight="1">
      <c r="B193" s="3590"/>
      <c r="C193" s="2681" t="s">
        <v>201</v>
      </c>
      <c r="D193" s="2682"/>
      <c r="E193" s="3250" t="e">
        <f>VLOOKUP($L$9,ＵＳ,2,0)</f>
        <v>#N/A</v>
      </c>
      <c r="F193" s="3252"/>
      <c r="G193" s="3448" t="s">
        <v>196</v>
      </c>
      <c r="H193" s="881"/>
      <c r="I193" s="882" t="e">
        <f>VLOOKUP($L$9,ＵＳ,9,0)</f>
        <v>#N/A</v>
      </c>
      <c r="J193" s="883" t="e">
        <f>VLOOKUP($L$9,ＵＳ,12,0)</f>
        <v>#N/A</v>
      </c>
      <c r="K193" s="884" t="e">
        <f>VLOOKUP($L$9,ＵＳ,15,0)</f>
        <v>#N/A</v>
      </c>
      <c r="L193" s="885" t="s">
        <v>848</v>
      </c>
      <c r="M193" s="2327"/>
      <c r="N193" s="3461" t="e">
        <f>ROUNDDOWN(H197*H195,2)</f>
        <v>#N/A</v>
      </c>
      <c r="O193" s="3450" t="e">
        <f>INT(E193*N193)</f>
        <v>#N/A</v>
      </c>
      <c r="P193" s="3653"/>
      <c r="Q193" s="3651" t="s">
        <v>197</v>
      </c>
      <c r="R193" s="3250">
        <f>IF(ISERROR(INT(O193*P193)),0,INT(O193*P193))</f>
        <v>0</v>
      </c>
      <c r="S193" s="3252"/>
      <c r="T193" s="2395" t="b">
        <f>T192</f>
        <v>0</v>
      </c>
    </row>
    <row r="194" spans="2:21" ht="13.5" customHeight="1">
      <c r="B194" s="3590"/>
      <c r="C194" s="2681"/>
      <c r="D194" s="2682"/>
      <c r="E194" s="3245"/>
      <c r="F194" s="3247"/>
      <c r="G194" s="3448"/>
      <c r="H194" s="886" t="e">
        <f>HLOOKUP(H193,I193:M195,2,0)</f>
        <v>#N/A</v>
      </c>
      <c r="I194" s="1654" t="e">
        <f>VLOOKUP($L$9,ＵＳ,10,0)</f>
        <v>#N/A</v>
      </c>
      <c r="J194" s="1655" t="e">
        <f>VLOOKUP($L$9,ＵＳ,13,0)</f>
        <v>#N/A</v>
      </c>
      <c r="K194" s="1656" t="e">
        <f>VLOOKUP($L$9,ＵＳ,16,0)</f>
        <v>#N/A</v>
      </c>
      <c r="L194" s="1657" t="str">
        <f>IF(J200,J200,"-")</f>
        <v>-</v>
      </c>
      <c r="M194" s="2322"/>
      <c r="N194" s="3462"/>
      <c r="O194" s="3451"/>
      <c r="P194" s="3654"/>
      <c r="Q194" s="3652"/>
      <c r="R194" s="3245"/>
      <c r="S194" s="3247"/>
      <c r="T194" s="2395" t="b">
        <f>T192</f>
        <v>0</v>
      </c>
    </row>
    <row r="195" spans="2:21" ht="13.5" customHeight="1">
      <c r="B195" s="3590"/>
      <c r="C195" s="2681"/>
      <c r="D195" s="2682"/>
      <c r="E195" s="3245"/>
      <c r="F195" s="3247"/>
      <c r="G195" s="3448"/>
      <c r="H195" s="813" t="e">
        <f>HLOOKUP(H193,I193:M195,3,0)</f>
        <v>#N/A</v>
      </c>
      <c r="I195" s="814" t="e">
        <f>VLOOKUP($L$9,ＵＳ,11,0)</f>
        <v>#N/A</v>
      </c>
      <c r="J195" s="822" t="e">
        <f>VLOOKUP($L$9,ＵＳ,14,0)</f>
        <v>#N/A</v>
      </c>
      <c r="K195" s="831" t="e">
        <f>VLOOKUP($L$9,ＵＳ,17,0)</f>
        <v>#N/A</v>
      </c>
      <c r="L195" s="832" t="str">
        <f>IF(J200,ROUNDDOWN(1+(L194-J194)*IF(L194&gt;J194,(I195-J195)/(I194-J194),(J195-K195)/(J194-K194)),2),"-")</f>
        <v>-</v>
      </c>
      <c r="M195" s="2332"/>
      <c r="N195" s="3462"/>
      <c r="O195" s="3451"/>
      <c r="P195" s="3654"/>
      <c r="Q195" s="3652"/>
      <c r="R195" s="3245"/>
      <c r="S195" s="3247"/>
      <c r="T195" s="2395" t="b">
        <f>T192</f>
        <v>0</v>
      </c>
    </row>
    <row r="196" spans="2:21" ht="13.5" customHeight="1">
      <c r="B196" s="3590"/>
      <c r="C196" s="2681"/>
      <c r="D196" s="2682"/>
      <c r="E196" s="3245"/>
      <c r="F196" s="3247"/>
      <c r="G196" s="3448" t="s">
        <v>794</v>
      </c>
      <c r="H196" s="818"/>
      <c r="I196" s="819" t="e">
        <f>VLOOKUP($L$9,ＵＳ,3,0)</f>
        <v>#N/A</v>
      </c>
      <c r="J196" s="820" t="e">
        <f>VLOOKUP($L$9,ＵＳ,5,0)</f>
        <v>#N/A</v>
      </c>
      <c r="K196" s="821" t="e">
        <f>VLOOKUP($L$9,ＵＳ,7,0)</f>
        <v>#N/A</v>
      </c>
      <c r="L196" s="2327"/>
      <c r="M196" s="2322"/>
      <c r="N196" s="3462"/>
      <c r="O196" s="3451"/>
      <c r="P196" s="3654"/>
      <c r="Q196" s="3652"/>
      <c r="R196" s="3245"/>
      <c r="S196" s="3247"/>
      <c r="T196" s="2395" t="b">
        <f>T192</f>
        <v>0</v>
      </c>
    </row>
    <row r="197" spans="2:21" ht="13.5" customHeight="1">
      <c r="B197" s="3590"/>
      <c r="C197" s="2681"/>
      <c r="D197" s="2682"/>
      <c r="E197" s="3248"/>
      <c r="F197" s="3249"/>
      <c r="G197" s="3448"/>
      <c r="H197" s="813" t="e">
        <f>HLOOKUP(H196,I196:K197,2,0)</f>
        <v>#N/A</v>
      </c>
      <c r="I197" s="814" t="e">
        <f>VLOOKUP($L$9,ＵＳ,4,0)</f>
        <v>#N/A</v>
      </c>
      <c r="J197" s="822" t="e">
        <f>VLOOKUP($L$9,ＵＳ,6,0)</f>
        <v>#N/A</v>
      </c>
      <c r="K197" s="815" t="e">
        <f>VLOOKUP($L$9,ＵＳ,8,0)</f>
        <v>#N/A</v>
      </c>
      <c r="L197" s="2306"/>
      <c r="M197" s="2306"/>
      <c r="N197" s="3463"/>
      <c r="O197" s="3452"/>
      <c r="P197" s="3655"/>
      <c r="Q197" s="2816"/>
      <c r="R197" s="3248"/>
      <c r="S197" s="3249"/>
      <c r="T197" s="2395" t="b">
        <f>T192</f>
        <v>0</v>
      </c>
    </row>
    <row r="198" spans="2:21" ht="6" customHeight="1">
      <c r="B198" s="3590"/>
      <c r="C198" s="2681"/>
      <c r="D198" s="2682"/>
      <c r="E198" s="2321"/>
      <c r="F198" s="2322"/>
      <c r="G198" s="2322"/>
      <c r="H198" s="2322"/>
      <c r="I198" s="2322"/>
      <c r="J198" s="2322"/>
      <c r="K198" s="2322"/>
      <c r="L198" s="2322"/>
      <c r="M198" s="2322"/>
      <c r="N198" s="2333"/>
      <c r="O198" s="2322"/>
      <c r="P198" s="2333"/>
      <c r="Q198" s="2333"/>
      <c r="R198" s="2322"/>
      <c r="S198" s="2323"/>
      <c r="T198" s="2395" t="b">
        <f>+J200&lt;&gt;0</f>
        <v>0</v>
      </c>
    </row>
    <row r="199" spans="2:21" ht="13.5" customHeight="1">
      <c r="B199" s="3590"/>
      <c r="C199" s="2681"/>
      <c r="D199" s="2682"/>
      <c r="E199" s="2321"/>
      <c r="F199" s="2322"/>
      <c r="G199" s="3449" t="s">
        <v>912</v>
      </c>
      <c r="H199" s="1502" t="s">
        <v>1324</v>
      </c>
      <c r="I199" s="2356"/>
      <c r="J199" s="2357"/>
      <c r="K199" s="2322"/>
      <c r="L199" s="2322"/>
      <c r="M199" s="2322"/>
      <c r="N199" s="2333"/>
      <c r="O199" s="2322"/>
      <c r="P199" s="2333"/>
      <c r="Q199" s="2333"/>
      <c r="R199" s="2322"/>
      <c r="S199" s="2323"/>
      <c r="T199" s="2395" t="b">
        <f>T192</f>
        <v>0</v>
      </c>
    </row>
    <row r="200" spans="2:21" ht="13.5" customHeight="1">
      <c r="B200" s="3590"/>
      <c r="C200" s="2681"/>
      <c r="D200" s="2682"/>
      <c r="E200" s="2321"/>
      <c r="F200" s="2322"/>
      <c r="G200" s="3448"/>
      <c r="H200" s="887"/>
      <c r="I200" s="888"/>
      <c r="J200" s="1658">
        <f>H200*I200</f>
        <v>0</v>
      </c>
      <c r="K200" s="2322"/>
      <c r="L200" s="2322"/>
      <c r="M200" s="2322"/>
      <c r="N200" s="2333"/>
      <c r="O200" s="2322"/>
      <c r="P200" s="2333"/>
      <c r="Q200" s="2333"/>
      <c r="R200" s="2322"/>
      <c r="S200" s="2323"/>
      <c r="T200" s="2395" t="b">
        <f>T192</f>
        <v>0</v>
      </c>
    </row>
    <row r="201" spans="2:21" ht="6" customHeight="1">
      <c r="B201" s="3590"/>
      <c r="C201" s="2684"/>
      <c r="D201" s="2686"/>
      <c r="E201" s="2324"/>
      <c r="F201" s="2306"/>
      <c r="G201" s="2306"/>
      <c r="H201" s="2306"/>
      <c r="I201" s="2306"/>
      <c r="J201" s="2306"/>
      <c r="K201" s="2306"/>
      <c r="L201" s="2306"/>
      <c r="M201" s="2306"/>
      <c r="N201" s="2319"/>
      <c r="O201" s="2306"/>
      <c r="P201" s="2319"/>
      <c r="Q201" s="2319"/>
      <c r="R201" s="2306"/>
      <c r="S201" s="2325"/>
      <c r="T201" s="2395" t="b">
        <f>T192</f>
        <v>0</v>
      </c>
    </row>
    <row r="202" spans="2:21" s="2001" customFormat="1" ht="13.5" customHeight="1">
      <c r="B202" s="3590"/>
      <c r="C202" s="1617"/>
      <c r="D202" s="1618"/>
      <c r="E202" s="3477" t="s">
        <v>149</v>
      </c>
      <c r="F202" s="3478"/>
      <c r="G202" s="1502" t="s">
        <v>150</v>
      </c>
      <c r="H202" s="2356"/>
      <c r="I202" s="2356"/>
      <c r="J202" s="2356"/>
      <c r="K202" s="2356"/>
      <c r="L202" s="2356"/>
      <c r="M202" s="2357"/>
      <c r="N202" s="2335" t="s">
        <v>524</v>
      </c>
      <c r="O202" s="2335" t="s">
        <v>151</v>
      </c>
      <c r="P202" s="2393" t="s">
        <v>152</v>
      </c>
      <c r="Q202" s="2394" t="s">
        <v>195</v>
      </c>
      <c r="R202" s="3477" t="s">
        <v>791</v>
      </c>
      <c r="S202" s="3478"/>
      <c r="T202" s="2395" t="b">
        <f>COUNTA(H206,H203,H210:I210,P203)&lt;&gt;0</f>
        <v>0</v>
      </c>
      <c r="U202" s="2358" t="s">
        <v>2131</v>
      </c>
    </row>
    <row r="203" spans="2:21" s="2001" customFormat="1" ht="13.5" customHeight="1">
      <c r="B203" s="3590"/>
      <c r="C203" s="2681" t="s">
        <v>2192</v>
      </c>
      <c r="D203" s="2682"/>
      <c r="E203" s="3250" t="e">
        <f>VLOOKUP($L$9,流し台,2,0)</f>
        <v>#N/A</v>
      </c>
      <c r="F203" s="3252"/>
      <c r="G203" s="3448" t="s">
        <v>196</v>
      </c>
      <c r="H203" s="881"/>
      <c r="I203" s="882" t="e">
        <f>VLOOKUP($L$9,流し台,9,0)</f>
        <v>#N/A</v>
      </c>
      <c r="J203" s="883" t="e">
        <f>VLOOKUP($L$9,流し台,12,0)</f>
        <v>#N/A</v>
      </c>
      <c r="K203" s="884" t="e">
        <f>VLOOKUP($L$9,流し台,15,0)</f>
        <v>#N/A</v>
      </c>
      <c r="L203" s="885" t="s">
        <v>848</v>
      </c>
      <c r="M203" s="2327"/>
      <c r="N203" s="3461" t="e">
        <f>ROUNDDOWN(H207*H205,2)</f>
        <v>#N/A</v>
      </c>
      <c r="O203" s="3450" t="e">
        <f>INT(E203*N203)</f>
        <v>#N/A</v>
      </c>
      <c r="P203" s="3653"/>
      <c r="Q203" s="3651" t="s">
        <v>197</v>
      </c>
      <c r="R203" s="3250">
        <f>IF(ISERROR(INT(O203*P203)),0,INT(O203*P203))</f>
        <v>0</v>
      </c>
      <c r="S203" s="3252"/>
      <c r="T203" s="2395" t="b">
        <f>T$202</f>
        <v>0</v>
      </c>
      <c r="U203" s="2358"/>
    </row>
    <row r="204" spans="2:21" s="2001" customFormat="1" ht="13.5" customHeight="1">
      <c r="B204" s="3590"/>
      <c r="C204" s="2681"/>
      <c r="D204" s="2682"/>
      <c r="E204" s="3245"/>
      <c r="F204" s="3247"/>
      <c r="G204" s="3448"/>
      <c r="H204" s="886" t="e">
        <f>HLOOKUP(H203,I203:M205,2,0)</f>
        <v>#N/A</v>
      </c>
      <c r="I204" s="1654" t="e">
        <f>VLOOKUP($L$9,流し台,10,0)</f>
        <v>#N/A</v>
      </c>
      <c r="J204" s="1655" t="e">
        <f>VLOOKUP($L$9,流し台,13,0)</f>
        <v>#N/A</v>
      </c>
      <c r="K204" s="1656" t="e">
        <f>VLOOKUP($L$9,流し台,16,0)</f>
        <v>#N/A</v>
      </c>
      <c r="L204" s="1657" t="str">
        <f>IF(J210,J210,"-")</f>
        <v>-</v>
      </c>
      <c r="M204" s="2322"/>
      <c r="N204" s="3462"/>
      <c r="O204" s="3451"/>
      <c r="P204" s="3654"/>
      <c r="Q204" s="3652"/>
      <c r="R204" s="3245"/>
      <c r="S204" s="3247"/>
      <c r="T204" s="2395" t="b">
        <f t="shared" ref="T204:T211" si="28">T$202</f>
        <v>0</v>
      </c>
      <c r="U204" s="2358"/>
    </row>
    <row r="205" spans="2:21" s="2001" customFormat="1" ht="13.5" customHeight="1">
      <c r="B205" s="3590"/>
      <c r="C205" s="2681"/>
      <c r="D205" s="2682"/>
      <c r="E205" s="3245"/>
      <c r="F205" s="3247"/>
      <c r="G205" s="3448"/>
      <c r="H205" s="813" t="e">
        <f>HLOOKUP(H203,I203:M205,3,0)</f>
        <v>#N/A</v>
      </c>
      <c r="I205" s="814" t="e">
        <f>VLOOKUP($L$9,流し台,11,0)</f>
        <v>#N/A</v>
      </c>
      <c r="J205" s="822" t="e">
        <f>VLOOKUP($L$9,流し台,14,0)</f>
        <v>#N/A</v>
      </c>
      <c r="K205" s="831" t="e">
        <f>VLOOKUP($L$9,流し台,17,0)</f>
        <v>#N/A</v>
      </c>
      <c r="L205" s="832" t="str">
        <f>IF(J210,ROUNDDOWN(1+(L204-J204)*IF(L204&gt;J204,(I205-J205)/(I204-J204),(J205-K205)/(J204-K204)),2),"-")</f>
        <v>-</v>
      </c>
      <c r="M205" s="2332"/>
      <c r="N205" s="3462"/>
      <c r="O205" s="3451"/>
      <c r="P205" s="3654"/>
      <c r="Q205" s="3652"/>
      <c r="R205" s="3245"/>
      <c r="S205" s="3247"/>
      <c r="T205" s="2395" t="b">
        <f t="shared" si="28"/>
        <v>0</v>
      </c>
      <c r="U205" s="2358"/>
    </row>
    <row r="206" spans="2:21" s="2001" customFormat="1" ht="13.5" customHeight="1">
      <c r="B206" s="3590"/>
      <c r="C206" s="2681"/>
      <c r="D206" s="2682"/>
      <c r="E206" s="3245"/>
      <c r="F206" s="3247"/>
      <c r="G206" s="3448" t="s">
        <v>794</v>
      </c>
      <c r="H206" s="818"/>
      <c r="I206" s="819" t="e">
        <f>VLOOKUP($L$9,流し台,3,0)</f>
        <v>#N/A</v>
      </c>
      <c r="J206" s="820" t="e">
        <f>VLOOKUP($L$9,流し台,5,0)</f>
        <v>#N/A</v>
      </c>
      <c r="K206" s="821" t="e">
        <f>VLOOKUP($L$9,流し台,7,0)</f>
        <v>#N/A</v>
      </c>
      <c r="L206" s="2327"/>
      <c r="M206" s="2322"/>
      <c r="N206" s="3462"/>
      <c r="O206" s="3451"/>
      <c r="P206" s="3654"/>
      <c r="Q206" s="3652"/>
      <c r="R206" s="3245"/>
      <c r="S206" s="3247"/>
      <c r="T206" s="2395" t="b">
        <f t="shared" si="28"/>
        <v>0</v>
      </c>
      <c r="U206" s="2358"/>
    </row>
    <row r="207" spans="2:21" s="2001" customFormat="1" ht="13.5" customHeight="1">
      <c r="B207" s="3590"/>
      <c r="C207" s="2681"/>
      <c r="D207" s="2682"/>
      <c r="E207" s="3248"/>
      <c r="F207" s="3249"/>
      <c r="G207" s="3448"/>
      <c r="H207" s="813" t="e">
        <f>HLOOKUP(H206,I206:K207,2,0)</f>
        <v>#N/A</v>
      </c>
      <c r="I207" s="814" t="e">
        <f>VLOOKUP($L$9,流し台,4,0)</f>
        <v>#N/A</v>
      </c>
      <c r="J207" s="822" t="e">
        <f>VLOOKUP($L$9,流し台,6,0)</f>
        <v>#N/A</v>
      </c>
      <c r="K207" s="815" t="e">
        <f>VLOOKUP($L$9,流し台,8,0)</f>
        <v>#N/A</v>
      </c>
      <c r="L207" s="2306"/>
      <c r="M207" s="2306"/>
      <c r="N207" s="3463"/>
      <c r="O207" s="3452"/>
      <c r="P207" s="3655"/>
      <c r="Q207" s="2816"/>
      <c r="R207" s="3248"/>
      <c r="S207" s="3249"/>
      <c r="T207" s="2395" t="b">
        <f t="shared" si="28"/>
        <v>0</v>
      </c>
      <c r="U207" s="2358"/>
    </row>
    <row r="208" spans="2:21" s="2001" customFormat="1" ht="6" customHeight="1">
      <c r="B208" s="3590"/>
      <c r="C208" s="2681"/>
      <c r="D208" s="2682"/>
      <c r="E208" s="2321"/>
      <c r="F208" s="2322"/>
      <c r="G208" s="2322"/>
      <c r="H208" s="2322"/>
      <c r="I208" s="2322"/>
      <c r="J208" s="2322"/>
      <c r="K208" s="2322"/>
      <c r="L208" s="2322"/>
      <c r="M208" s="2322"/>
      <c r="N208" s="2333"/>
      <c r="O208" s="2322"/>
      <c r="P208" s="2333"/>
      <c r="Q208" s="2333"/>
      <c r="R208" s="2322"/>
      <c r="S208" s="2323"/>
      <c r="T208" s="2395" t="b">
        <f t="shared" si="28"/>
        <v>0</v>
      </c>
      <c r="U208" s="2358"/>
    </row>
    <row r="209" spans="1:21" s="2001" customFormat="1" ht="13.5" customHeight="1">
      <c r="B209" s="3590"/>
      <c r="C209" s="2681"/>
      <c r="D209" s="2682"/>
      <c r="E209" s="2321"/>
      <c r="F209" s="2322"/>
      <c r="G209" s="3449" t="s">
        <v>912</v>
      </c>
      <c r="H209" s="1502" t="s">
        <v>1324</v>
      </c>
      <c r="I209" s="2356"/>
      <c r="J209" s="2357"/>
      <c r="K209" s="2322"/>
      <c r="L209" s="2322"/>
      <c r="M209" s="2322"/>
      <c r="N209" s="2333"/>
      <c r="O209" s="2322"/>
      <c r="P209" s="2333"/>
      <c r="Q209" s="2333"/>
      <c r="R209" s="2322"/>
      <c r="S209" s="2323"/>
      <c r="T209" s="2395" t="b">
        <f t="shared" si="28"/>
        <v>0</v>
      </c>
      <c r="U209" s="2358"/>
    </row>
    <row r="210" spans="1:21" s="2001" customFormat="1" ht="13.5" customHeight="1">
      <c r="B210" s="3590"/>
      <c r="C210" s="2681"/>
      <c r="D210" s="2682"/>
      <c r="E210" s="2321"/>
      <c r="F210" s="2322"/>
      <c r="G210" s="3448"/>
      <c r="H210" s="887"/>
      <c r="I210" s="888"/>
      <c r="J210" s="1658">
        <f>H210*I210</f>
        <v>0</v>
      </c>
      <c r="K210" s="2322"/>
      <c r="L210" s="2322"/>
      <c r="M210" s="2322"/>
      <c r="N210" s="2333"/>
      <c r="O210" s="2322"/>
      <c r="P210" s="2333"/>
      <c r="Q210" s="2333"/>
      <c r="R210" s="2322"/>
      <c r="S210" s="2323"/>
      <c r="T210" s="2395" t="b">
        <f t="shared" si="28"/>
        <v>0</v>
      </c>
      <c r="U210" s="2358"/>
    </row>
    <row r="211" spans="1:21" s="2001" customFormat="1" ht="6" customHeight="1">
      <c r="B211" s="3590"/>
      <c r="C211" s="2684"/>
      <c r="D211" s="2686"/>
      <c r="E211" s="2324"/>
      <c r="F211" s="2306"/>
      <c r="G211" s="2306"/>
      <c r="H211" s="2306"/>
      <c r="I211" s="2306"/>
      <c r="J211" s="2306"/>
      <c r="K211" s="2306"/>
      <c r="L211" s="2306"/>
      <c r="M211" s="2306"/>
      <c r="N211" s="2319"/>
      <c r="O211" s="2306"/>
      <c r="P211" s="2319"/>
      <c r="Q211" s="2319"/>
      <c r="R211" s="2306"/>
      <c r="S211" s="2325"/>
      <c r="T211" s="2395" t="b">
        <f t="shared" si="28"/>
        <v>0</v>
      </c>
      <c r="U211" s="2358"/>
    </row>
    <row r="212" spans="1:21" ht="13.5" customHeight="1">
      <c r="B212" s="3590"/>
      <c r="C212" s="137"/>
      <c r="D212" s="139"/>
      <c r="E212" s="3497" t="s">
        <v>149</v>
      </c>
      <c r="F212" s="3498"/>
      <c r="G212" s="34" t="s">
        <v>150</v>
      </c>
      <c r="H212" s="32"/>
      <c r="I212" s="32"/>
      <c r="J212" s="32"/>
      <c r="K212" s="32"/>
      <c r="L212" s="32"/>
      <c r="M212" s="33"/>
      <c r="N212" s="536" t="s">
        <v>524</v>
      </c>
      <c r="O212" s="536" t="s">
        <v>151</v>
      </c>
      <c r="P212" s="844" t="s">
        <v>152</v>
      </c>
      <c r="Q212" s="845" t="s">
        <v>195</v>
      </c>
      <c r="R212" s="3313" t="s">
        <v>791</v>
      </c>
      <c r="S212" s="3313"/>
      <c r="T212" s="25" t="b">
        <f>COUNTA(H213,H215,H217,P213,I222,I223)&lt;&gt;0</f>
        <v>0</v>
      </c>
      <c r="U212" s="2358" t="s">
        <v>1414</v>
      </c>
    </row>
    <row r="213" spans="1:21" ht="13.5" customHeight="1">
      <c r="A213">
        <f>ROW()</f>
        <v>213</v>
      </c>
      <c r="B213" s="3590"/>
      <c r="C213" s="2681" t="s">
        <v>1326</v>
      </c>
      <c r="D213" s="2683"/>
      <c r="E213" s="3250" t="e">
        <f>VLOOKUP($L$9,給湯器,2,0)</f>
        <v>#N/A</v>
      </c>
      <c r="F213" s="3252"/>
      <c r="G213" s="3467" t="s">
        <v>202</v>
      </c>
      <c r="H213" s="1683"/>
      <c r="I213" s="1659" t="e">
        <f>VLOOKUP($L$9,給湯器,3,0)</f>
        <v>#N/A</v>
      </c>
      <c r="J213" s="1660" t="e">
        <f>VLOOKUP($L$9,給湯器,5,0)</f>
        <v>#N/A</v>
      </c>
      <c r="K213" s="1661" t="e">
        <f>VLOOKUP($L$9,給湯器,7,0)</f>
        <v>#N/A</v>
      </c>
      <c r="L213" s="1812" t="str">
        <f>IF(I221&lt;&gt;0,I221,IF(I222&lt;&gt;0,N222,IF(I223&lt;&gt;0,N223,"-")))</f>
        <v>-</v>
      </c>
      <c r="M213" s="505"/>
      <c r="N213" s="3632" t="e">
        <f>ROUNDDOWN(H214*H216*H218,2)</f>
        <v>#N/A</v>
      </c>
      <c r="O213" s="3656" t="e">
        <f>INT(E213*N213)</f>
        <v>#N/A</v>
      </c>
      <c r="P213" s="3315"/>
      <c r="Q213" s="3273" t="s">
        <v>197</v>
      </c>
      <c r="R213" s="3649">
        <f>IF(ISERROR(INT(O213*P213)),0,INT(O213*P213))</f>
        <v>0</v>
      </c>
      <c r="S213" s="3650"/>
      <c r="T213" s="25" t="b">
        <f>$T$212</f>
        <v>0</v>
      </c>
      <c r="U213" s="2358" t="s">
        <v>2349</v>
      </c>
    </row>
    <row r="214" spans="1:21" ht="13.5" customHeight="1">
      <c r="B214" s="3590"/>
      <c r="C214" s="2681"/>
      <c r="D214" s="2683"/>
      <c r="E214" s="3245"/>
      <c r="F214" s="3488"/>
      <c r="G214" s="3495"/>
      <c r="H214" s="813" t="e">
        <f>HLOOKUP(H213,I213:L214,2,0)</f>
        <v>#N/A</v>
      </c>
      <c r="I214" s="814" t="e">
        <f>VLOOKUP($L$9,給湯器,4,0)</f>
        <v>#N/A</v>
      </c>
      <c r="J214" s="822" t="e">
        <f>VLOOKUP($L$9,給湯器,6,0)</f>
        <v>#N/A</v>
      </c>
      <c r="K214" s="815" t="e">
        <f>VLOOKUP($L$9,給湯器,8,0)</f>
        <v>#N/A</v>
      </c>
      <c r="L214" s="1669" t="str">
        <f>IF(ISNUMBER(L213),+ROUNDDOWN(J214+(L213-J213)*IF(L213&gt;J213,(I214-J214)/(I213-J213),(K214-J214)/(K213-J213)),2),"-")</f>
        <v>-</v>
      </c>
      <c r="M214" s="1437"/>
      <c r="N214" s="3632"/>
      <c r="O214" s="3656"/>
      <c r="P214" s="3315"/>
      <c r="Q214" s="3273"/>
      <c r="R214" s="3649"/>
      <c r="S214" s="3650"/>
      <c r="T214" s="25" t="b">
        <f t="shared" ref="T214:T218" si="29">$T$212</f>
        <v>0</v>
      </c>
    </row>
    <row r="215" spans="1:21" ht="13.5" customHeight="1">
      <c r="B215" s="3590"/>
      <c r="C215" s="2681"/>
      <c r="D215" s="2683"/>
      <c r="E215" s="3245"/>
      <c r="F215" s="3488"/>
      <c r="G215" s="3467" t="s">
        <v>1334</v>
      </c>
      <c r="H215" s="1508"/>
      <c r="I215" s="1505" t="e">
        <f>VLOOKUP($L$9,給湯器,11,0)</f>
        <v>#N/A</v>
      </c>
      <c r="J215" s="1506" t="e">
        <f>VLOOKUP($L$9,給湯器,13,0)</f>
        <v>#N/A</v>
      </c>
      <c r="K215" s="1507"/>
      <c r="L215" s="2294" t="s">
        <v>2350</v>
      </c>
      <c r="M215" s="1437"/>
      <c r="N215" s="3632"/>
      <c r="O215" s="3656"/>
      <c r="P215" s="3315"/>
      <c r="Q215" s="3273"/>
      <c r="R215" s="3649"/>
      <c r="S215" s="3650"/>
      <c r="T215" s="25" t="b">
        <f t="shared" si="29"/>
        <v>0</v>
      </c>
      <c r="U215" s="3513" t="s">
        <v>1476</v>
      </c>
    </row>
    <row r="216" spans="1:21" ht="13.5" customHeight="1">
      <c r="B216" s="3590"/>
      <c r="C216" s="2681"/>
      <c r="D216" s="2683"/>
      <c r="E216" s="3245"/>
      <c r="F216" s="3488"/>
      <c r="G216" s="3495"/>
      <c r="H216" s="813" t="e">
        <f>HLOOKUP(H215,I215:M216,2,0)</f>
        <v>#N/A</v>
      </c>
      <c r="I216" s="814" t="e">
        <f>VLOOKUP($L$9,給湯器,12,0)</f>
        <v>#N/A</v>
      </c>
      <c r="J216" s="815" t="e">
        <f>VLOOKUP($L$9,給湯器,14,0)</f>
        <v>#N/A</v>
      </c>
      <c r="K216" s="816"/>
      <c r="L216" s="1436"/>
      <c r="M216" s="1437"/>
      <c r="N216" s="3632"/>
      <c r="O216" s="3656"/>
      <c r="P216" s="3315"/>
      <c r="Q216" s="3273"/>
      <c r="R216" s="3649"/>
      <c r="S216" s="3650"/>
      <c r="T216" s="25" t="b">
        <f t="shared" si="29"/>
        <v>0</v>
      </c>
      <c r="U216" s="3513"/>
    </row>
    <row r="217" spans="1:21" ht="13.5" customHeight="1">
      <c r="B217" s="3590"/>
      <c r="C217" s="2681"/>
      <c r="D217" s="2683"/>
      <c r="E217" s="3245"/>
      <c r="F217" s="3488"/>
      <c r="G217" s="3467" t="s">
        <v>794</v>
      </c>
      <c r="H217" s="818"/>
      <c r="I217" s="819" t="e">
        <f>VLOOKUP($L$9,給湯器,15,0)</f>
        <v>#N/A</v>
      </c>
      <c r="J217" s="820" t="e">
        <f>VLOOKUP($L$9,給湯器,17,0)</f>
        <v>#N/A</v>
      </c>
      <c r="K217" s="821" t="e">
        <f>VLOOKUP($L$9,給湯器,19,0)</f>
        <v>#N/A</v>
      </c>
      <c r="L217" s="1436"/>
      <c r="M217" s="1437"/>
      <c r="N217" s="3632"/>
      <c r="O217" s="3656"/>
      <c r="P217" s="3315"/>
      <c r="Q217" s="3273"/>
      <c r="R217" s="3649"/>
      <c r="S217" s="3650"/>
      <c r="T217" s="25" t="b">
        <f t="shared" si="29"/>
        <v>0</v>
      </c>
    </row>
    <row r="218" spans="1:21" ht="13.5" customHeight="1">
      <c r="B218" s="3590"/>
      <c r="C218" s="2681"/>
      <c r="D218" s="2683"/>
      <c r="E218" s="3248"/>
      <c r="F218" s="3249"/>
      <c r="G218" s="3496"/>
      <c r="H218" s="813" t="e">
        <f>HLOOKUP(H217,I217:M218,2,0)</f>
        <v>#N/A</v>
      </c>
      <c r="I218" s="814" t="e">
        <f>VLOOKUP($L$9,給湯器,16,0)</f>
        <v>#N/A</v>
      </c>
      <c r="J218" s="822" t="e">
        <f>VLOOKUP($L$9,給湯器,18,0)</f>
        <v>#N/A</v>
      </c>
      <c r="K218" s="815" t="e">
        <f>VLOOKUP($L$9,給湯器,20,0)</f>
        <v>#N/A</v>
      </c>
      <c r="L218" s="221"/>
      <c r="M218" s="221"/>
      <c r="N218" s="3632"/>
      <c r="O218" s="3656"/>
      <c r="P218" s="3315"/>
      <c r="Q218" s="3273"/>
      <c r="R218" s="3649"/>
      <c r="S218" s="3650"/>
      <c r="T218" s="25" t="b">
        <f t="shared" si="29"/>
        <v>0</v>
      </c>
    </row>
    <row r="219" spans="1:21" ht="6" customHeight="1">
      <c r="B219" s="3590"/>
      <c r="C219" s="2681"/>
      <c r="D219" s="2683"/>
      <c r="E219" s="1651"/>
      <c r="F219" s="1563"/>
      <c r="G219" s="1664"/>
      <c r="H219" s="1647"/>
      <c r="I219" s="1647"/>
      <c r="J219" s="1647"/>
      <c r="K219" s="1647"/>
      <c r="L219" s="1563"/>
      <c r="M219" s="1563"/>
      <c r="N219" s="1643"/>
      <c r="O219" s="1640"/>
      <c r="P219" s="1563"/>
      <c r="Q219" s="1667"/>
      <c r="R219" s="1563"/>
      <c r="S219" s="1649"/>
      <c r="T219" s="25" t="b">
        <f>+OR($T$222,$T$223)</f>
        <v>0</v>
      </c>
      <c r="U219" s="3513" t="s">
        <v>1430</v>
      </c>
    </row>
    <row r="220" spans="1:21" ht="13.5" customHeight="1">
      <c r="B220" s="3590"/>
      <c r="C220" s="2681"/>
      <c r="D220" s="2683"/>
      <c r="E220" s="1652"/>
      <c r="F220" s="1530"/>
      <c r="G220" s="1668"/>
      <c r="H220" s="1646" t="s">
        <v>1658</v>
      </c>
      <c r="I220" s="1603"/>
      <c r="J220" s="1603"/>
      <c r="K220" s="1603"/>
      <c r="L220" s="1530"/>
      <c r="M220" s="1530"/>
      <c r="N220" s="1646"/>
      <c r="O220" s="1641"/>
      <c r="P220" s="1530"/>
      <c r="Q220" s="1645"/>
      <c r="R220" s="1530"/>
      <c r="S220" s="1650"/>
      <c r="T220" s="25" t="b">
        <v>0</v>
      </c>
      <c r="U220" s="3513"/>
    </row>
    <row r="221" spans="1:21" ht="13.5" customHeight="1">
      <c r="B221" s="3590"/>
      <c r="C221" s="2681"/>
      <c r="D221" s="2683"/>
      <c r="E221" s="1652"/>
      <c r="F221" s="1530"/>
      <c r="G221" s="1668" t="s">
        <v>1418</v>
      </c>
      <c r="H221" s="1670" t="s">
        <v>1419</v>
      </c>
      <c r="I221" s="1804"/>
      <c r="J221" s="1671">
        <v>28</v>
      </c>
      <c r="K221" s="1672">
        <v>24</v>
      </c>
      <c r="L221" s="1672">
        <v>20</v>
      </c>
      <c r="M221" s="1673">
        <v>16</v>
      </c>
      <c r="N221" s="1674" t="s">
        <v>1422</v>
      </c>
      <c r="O221" s="1641"/>
      <c r="P221" s="1530"/>
      <c r="Q221" s="1645"/>
      <c r="R221" s="1530"/>
      <c r="S221" s="1650"/>
      <c r="T221" s="25" t="b">
        <f>+OR($T$222,$T$223)</f>
        <v>0</v>
      </c>
      <c r="U221" s="3513"/>
    </row>
    <row r="222" spans="1:21" ht="13.5" customHeight="1">
      <c r="B222" s="3590"/>
      <c r="C222" s="2681"/>
      <c r="D222" s="2683"/>
      <c r="E222" s="1652"/>
      <c r="F222" s="1530"/>
      <c r="G222" s="1668"/>
      <c r="H222" s="1670" t="s">
        <v>1420</v>
      </c>
      <c r="I222" s="1675"/>
      <c r="J222" s="1676">
        <v>42000</v>
      </c>
      <c r="K222" s="1677">
        <v>36000</v>
      </c>
      <c r="L222" s="1677">
        <v>30000</v>
      </c>
      <c r="M222" s="1678">
        <v>24000</v>
      </c>
      <c r="N222" s="1684">
        <f>ROUNDDOWN(+I222/1500,2)</f>
        <v>0</v>
      </c>
      <c r="O222" s="1641"/>
      <c r="P222" s="1530"/>
      <c r="Q222" s="1645"/>
      <c r="R222" s="1530"/>
      <c r="S222" s="1650"/>
      <c r="T222" s="25" t="b">
        <f>+I222&lt;&gt;0</f>
        <v>0</v>
      </c>
      <c r="U222" s="3513"/>
    </row>
    <row r="223" spans="1:21" ht="13.5" customHeight="1">
      <c r="B223" s="3590"/>
      <c r="C223" s="2681"/>
      <c r="D223" s="2683"/>
      <c r="E223" s="1652"/>
      <c r="F223" s="1530"/>
      <c r="G223" s="1668"/>
      <c r="H223" s="1670" t="s">
        <v>1421</v>
      </c>
      <c r="I223" s="1679"/>
      <c r="J223" s="1680">
        <v>48.83</v>
      </c>
      <c r="K223" s="1681">
        <v>41.86</v>
      </c>
      <c r="L223" s="1681">
        <v>34.880000000000003</v>
      </c>
      <c r="M223" s="1682">
        <v>27.9</v>
      </c>
      <c r="N223" s="1684">
        <f>+ROUND(I223/1.744185,2)</f>
        <v>0</v>
      </c>
      <c r="O223" s="1641"/>
      <c r="P223" s="1530"/>
      <c r="Q223" s="1645"/>
      <c r="R223" s="1530"/>
      <c r="S223" s="1650"/>
      <c r="T223" s="25" t="b">
        <f>+I223&lt;&gt;0</f>
        <v>0</v>
      </c>
      <c r="U223" s="3513"/>
    </row>
    <row r="224" spans="1:21" ht="6" customHeight="1">
      <c r="B224" s="3590"/>
      <c r="C224" s="2684"/>
      <c r="D224" s="2686"/>
      <c r="E224" s="1653"/>
      <c r="F224" s="1665"/>
      <c r="G224" s="1666"/>
      <c r="H224" s="1466"/>
      <c r="I224" s="1466"/>
      <c r="J224" s="1466"/>
      <c r="K224" s="1466"/>
      <c r="L224" s="1665"/>
      <c r="M224" s="1665"/>
      <c r="N224" s="1644"/>
      <c r="O224" s="1642"/>
      <c r="P224" s="1665"/>
      <c r="Q224" s="1639"/>
      <c r="R224" s="1665"/>
      <c r="S224" s="1648"/>
      <c r="T224" s="25" t="b">
        <f>+OR($T$222,$T$223)</f>
        <v>0</v>
      </c>
      <c r="U224" s="3513"/>
    </row>
    <row r="225" spans="1:21" ht="13.5" customHeight="1">
      <c r="B225" s="3590"/>
      <c r="C225" s="137"/>
      <c r="D225" s="139"/>
      <c r="E225" s="3497" t="s">
        <v>149</v>
      </c>
      <c r="F225" s="3498"/>
      <c r="G225" s="34" t="s">
        <v>150</v>
      </c>
      <c r="H225" s="32"/>
      <c r="I225" s="32"/>
      <c r="J225" s="32"/>
      <c r="K225" s="32"/>
      <c r="L225" s="33"/>
      <c r="M225" s="33"/>
      <c r="N225" s="536" t="s">
        <v>524</v>
      </c>
      <c r="O225" s="536" t="s">
        <v>151</v>
      </c>
      <c r="P225" s="844" t="s">
        <v>152</v>
      </c>
      <c r="Q225" s="845" t="s">
        <v>195</v>
      </c>
      <c r="R225" s="3313" t="s">
        <v>791</v>
      </c>
      <c r="S225" s="3313"/>
      <c r="T225" s="25" t="b">
        <f>COUNTA(H226,H228,M227,P226)&lt;&gt;0</f>
        <v>0</v>
      </c>
      <c r="U225" s="2358" t="s">
        <v>1414</v>
      </c>
    </row>
    <row r="226" spans="1:21" ht="13.5" customHeight="1">
      <c r="B226" s="3590"/>
      <c r="C226" s="2681" t="s">
        <v>203</v>
      </c>
      <c r="D226" s="2682"/>
      <c r="E226" s="3250" t="e">
        <f>VLOOKUP($L$9,給湯貯湯式,2,0)</f>
        <v>#N/A</v>
      </c>
      <c r="F226" s="3252"/>
      <c r="G226" s="3538" t="s">
        <v>204</v>
      </c>
      <c r="H226" s="1513"/>
      <c r="I226" s="894" t="e">
        <f>VLOOKUP($L$9,給湯貯湯式,3,0)</f>
        <v>#N/A</v>
      </c>
      <c r="J226" s="895" t="e">
        <f>VLOOKUP($L$9,給湯貯湯式,5,0)</f>
        <v>#N/A</v>
      </c>
      <c r="K226" s="895" t="e">
        <f>VLOOKUP($L$9,給湯貯湯式,7,0)</f>
        <v>#N/A</v>
      </c>
      <c r="L226" s="893" t="s">
        <v>848</v>
      </c>
      <c r="M226" s="294" t="s">
        <v>204</v>
      </c>
      <c r="N226" s="3461" t="e">
        <f>ROUNDDOWN(H227*H229,2)</f>
        <v>#N/A</v>
      </c>
      <c r="O226" s="3450" t="e">
        <f>INT(E226*N226)</f>
        <v>#N/A</v>
      </c>
      <c r="P226" s="3455"/>
      <c r="Q226" s="3458" t="s">
        <v>197</v>
      </c>
      <c r="R226" s="3250">
        <f>IF(ISERROR(INT(O226*P226)),0,INT(O226*P226))</f>
        <v>0</v>
      </c>
      <c r="S226" s="3252"/>
      <c r="T226" s="25" t="b">
        <f>T$225</f>
        <v>0</v>
      </c>
      <c r="U226" s="2358" t="s">
        <v>2351</v>
      </c>
    </row>
    <row r="227" spans="1:21" ht="13.5" customHeight="1">
      <c r="B227" s="3590"/>
      <c r="C227" s="2681"/>
      <c r="D227" s="2682"/>
      <c r="E227" s="3248"/>
      <c r="F227" s="3249"/>
      <c r="G227" s="3631"/>
      <c r="H227" s="813" t="e">
        <f>HLOOKUP(H226,I226:M227,2,0)</f>
        <v>#N/A</v>
      </c>
      <c r="I227" s="814" t="e">
        <f>VLOOKUP($L$9,給湯貯湯式,4,0)</f>
        <v>#N/A</v>
      </c>
      <c r="J227" s="822" t="e">
        <f>VLOOKUP($L$9,給湯貯湯式,6,0)</f>
        <v>#N/A</v>
      </c>
      <c r="K227" s="822" t="e">
        <f>VLOOKUP($L$9,給湯貯湯式,8,0)</f>
        <v>#N/A</v>
      </c>
      <c r="L227" s="832" t="str">
        <f>IF(M227,ROUNDDOWN(1+(M227-J226)*IF(M227&gt;J226,(I227-J227)/(I226-J226),(J227-K227)/(J226-K226)),2),"-")</f>
        <v>-</v>
      </c>
      <c r="M227" s="896"/>
      <c r="N227" s="3462"/>
      <c r="O227" s="3451"/>
      <c r="P227" s="3456"/>
      <c r="Q227" s="3459"/>
      <c r="R227" s="3245"/>
      <c r="S227" s="3247"/>
      <c r="T227" s="25" t="b">
        <f t="shared" ref="T227:T229" si="30">T$225</f>
        <v>0</v>
      </c>
    </row>
    <row r="228" spans="1:21" ht="13.5" customHeight="1">
      <c r="B228" s="3590"/>
      <c r="C228" s="2681"/>
      <c r="D228" s="2682"/>
      <c r="E228" s="3248"/>
      <c r="F228" s="3249"/>
      <c r="G228" s="3538" t="s">
        <v>794</v>
      </c>
      <c r="H228" s="818"/>
      <c r="I228" s="819" t="e">
        <f>VLOOKUP($L$9,給湯貯湯式,9,0)</f>
        <v>#N/A</v>
      </c>
      <c r="J228" s="820" t="e">
        <f>VLOOKUP($L$9,給湯貯湯式,11,0)</f>
        <v>#N/A</v>
      </c>
      <c r="K228" s="821" t="e">
        <f>VLOOKUP($L$9,給湯貯湯式,13,0)</f>
        <v>#N/A</v>
      </c>
      <c r="L228" s="510"/>
      <c r="M228" s="2294"/>
      <c r="N228" s="3462"/>
      <c r="O228" s="3451"/>
      <c r="P228" s="3456"/>
      <c r="Q228" s="3459"/>
      <c r="R228" s="3245"/>
      <c r="S228" s="3247"/>
      <c r="T228" s="25" t="b">
        <f t="shared" si="30"/>
        <v>0</v>
      </c>
    </row>
    <row r="229" spans="1:21" ht="13.5" customHeight="1">
      <c r="B229" s="3590"/>
      <c r="C229" s="2681"/>
      <c r="D229" s="2682"/>
      <c r="E229" s="3248"/>
      <c r="F229" s="3249"/>
      <c r="G229" s="3495"/>
      <c r="H229" s="813" t="e">
        <f>HLOOKUP(H228,I228:M229,2,0)</f>
        <v>#N/A</v>
      </c>
      <c r="I229" s="814" t="e">
        <f>VLOOKUP($L$9,給湯貯湯式,10,0)</f>
        <v>#N/A</v>
      </c>
      <c r="J229" s="822" t="e">
        <f>VLOOKUP($L$9,給湯貯湯式,12,0)</f>
        <v>#N/A</v>
      </c>
      <c r="K229" s="815" t="e">
        <f>VLOOKUP($L$9,給湯貯湯式,14,0)</f>
        <v>#N/A</v>
      </c>
      <c r="L229" s="510"/>
      <c r="M229" s="510"/>
      <c r="N229" s="3463"/>
      <c r="O229" s="3452"/>
      <c r="P229" s="3457"/>
      <c r="Q229" s="3460"/>
      <c r="R229" s="3248"/>
      <c r="S229" s="3249"/>
      <c r="T229" s="25" t="b">
        <f t="shared" si="30"/>
        <v>0</v>
      </c>
    </row>
    <row r="230" spans="1:21" ht="13.5" customHeight="1">
      <c r="B230" s="3590"/>
      <c r="C230" s="1617"/>
      <c r="D230" s="1618"/>
      <c r="E230" s="3497" t="s">
        <v>149</v>
      </c>
      <c r="F230" s="3498"/>
      <c r="G230" s="34" t="s">
        <v>150</v>
      </c>
      <c r="H230" s="32"/>
      <c r="I230" s="32"/>
      <c r="J230" s="32"/>
      <c r="K230" s="32"/>
      <c r="L230" s="33"/>
      <c r="M230" s="33"/>
      <c r="N230" s="1620" t="s">
        <v>524</v>
      </c>
      <c r="O230" s="1620" t="s">
        <v>151</v>
      </c>
      <c r="P230" s="844" t="s">
        <v>152</v>
      </c>
      <c r="Q230" s="845" t="s">
        <v>1624</v>
      </c>
      <c r="R230" s="3313" t="s">
        <v>791</v>
      </c>
      <c r="S230" s="3313"/>
      <c r="T230" s="25" t="b">
        <f>+OR($T$212,$T$225)</f>
        <v>0</v>
      </c>
      <c r="U230" s="2358" t="s">
        <v>1621</v>
      </c>
    </row>
    <row r="231" spans="1:21" ht="13.5" customHeight="1">
      <c r="B231" s="3590"/>
      <c r="C231" s="2681" t="s">
        <v>1411</v>
      </c>
      <c r="D231" s="2682"/>
      <c r="E231" s="3248" t="e">
        <f>VLOOKUP($L$9,給湯管,2,0)</f>
        <v>#N/A</v>
      </c>
      <c r="F231" s="3249"/>
      <c r="G231" s="3538" t="s">
        <v>794</v>
      </c>
      <c r="H231" s="818"/>
      <c r="I231" s="819" t="e">
        <f>VLOOKUP($L$9,給湯管,3,0)</f>
        <v>#N/A</v>
      </c>
      <c r="J231" s="820" t="e">
        <f>VLOOKUP($L$9,給湯管,5,0)</f>
        <v>#N/A</v>
      </c>
      <c r="K231" s="821" t="e">
        <f>VLOOKUP($L$9,給湯管,7,0)</f>
        <v>#N/A</v>
      </c>
      <c r="L231" s="1619"/>
      <c r="M231" s="1619"/>
      <c r="N231" s="3462" t="e">
        <f>+H232</f>
        <v>#N/A</v>
      </c>
      <c r="O231" s="3451" t="e">
        <f>+INT(E231*N231)</f>
        <v>#N/A</v>
      </c>
      <c r="P231" s="3514"/>
      <c r="Q231" s="3459" t="s">
        <v>238</v>
      </c>
      <c r="R231" s="3245">
        <f>IF(ISERROR(INT(O231*P231)),0,INT(O231*P231))</f>
        <v>0</v>
      </c>
      <c r="S231" s="3247"/>
      <c r="T231" s="25" t="b">
        <f>+$T$230</f>
        <v>0</v>
      </c>
      <c r="U231" s="2358" t="s">
        <v>1452</v>
      </c>
    </row>
    <row r="232" spans="1:21" ht="13.5" customHeight="1">
      <c r="B232" s="3590"/>
      <c r="C232" s="2681"/>
      <c r="D232" s="2682"/>
      <c r="E232" s="3248"/>
      <c r="F232" s="3249"/>
      <c r="G232" s="3495"/>
      <c r="H232" s="813" t="e">
        <f>HLOOKUP(H231,I231:M232,2,0)</f>
        <v>#N/A</v>
      </c>
      <c r="I232" s="814" t="e">
        <f>VLOOKUP($L$9,給湯管,4,0)</f>
        <v>#N/A</v>
      </c>
      <c r="J232" s="822" t="e">
        <f>VLOOKUP($L$9,給湯管,6,0)</f>
        <v>#N/A</v>
      </c>
      <c r="K232" s="815" t="e">
        <f>VLOOKUP($L$9,給湯管,8,0)</f>
        <v>#N/A</v>
      </c>
      <c r="L232" s="1619"/>
      <c r="M232" s="1619"/>
      <c r="N232" s="3463"/>
      <c r="O232" s="3452"/>
      <c r="P232" s="3515"/>
      <c r="Q232" s="3460"/>
      <c r="R232" s="3248"/>
      <c r="S232" s="3249"/>
      <c r="T232" s="25" t="b">
        <f>+$T$230</f>
        <v>0</v>
      </c>
    </row>
    <row r="233" spans="1:21" ht="13.5" customHeight="1">
      <c r="B233" s="3590"/>
      <c r="C233" s="137"/>
      <c r="D233" s="139"/>
      <c r="E233" s="3497" t="s">
        <v>149</v>
      </c>
      <c r="F233" s="3498"/>
      <c r="G233" s="34" t="s">
        <v>150</v>
      </c>
      <c r="H233" s="32"/>
      <c r="I233" s="32"/>
      <c r="J233" s="32"/>
      <c r="K233" s="32"/>
      <c r="L233" s="32"/>
      <c r="M233" s="33"/>
      <c r="N233" s="536" t="s">
        <v>524</v>
      </c>
      <c r="O233" s="536" t="s">
        <v>151</v>
      </c>
      <c r="P233" s="844" t="s">
        <v>152</v>
      </c>
      <c r="Q233" s="845" t="s">
        <v>195</v>
      </c>
      <c r="R233" s="3313" t="s">
        <v>791</v>
      </c>
      <c r="S233" s="3313"/>
      <c r="T233" s="25" t="b">
        <f>COUNTA(H234,H236,M235,P234)&lt;&gt;0</f>
        <v>0</v>
      </c>
      <c r="U233" s="3513" t="s">
        <v>2374</v>
      </c>
    </row>
    <row r="234" spans="1:21" ht="13.5" customHeight="1">
      <c r="B234" s="3590"/>
      <c r="C234" s="2681" t="s">
        <v>1429</v>
      </c>
      <c r="D234" s="2682"/>
      <c r="E234" s="3250" t="e">
        <f>VLOOKUP($L$9,ミニＳＫ,2,0)</f>
        <v>#N/A</v>
      </c>
      <c r="F234" s="3252"/>
      <c r="G234" s="3449" t="s">
        <v>1337</v>
      </c>
      <c r="H234" s="881"/>
      <c r="I234" s="899" t="e">
        <f>VLOOKUP($L$9,ミニＳＫ,3,0)</f>
        <v>#N/A</v>
      </c>
      <c r="J234" s="900" t="e">
        <f>VLOOKUP($L$9,ミニＳＫ,5,0)</f>
        <v>#N/A</v>
      </c>
      <c r="K234" s="901" t="e">
        <f>VLOOKUP($L$9,ミニＳＫ,7,0)</f>
        <v>#N/A</v>
      </c>
      <c r="L234" s="898" t="s">
        <v>848</v>
      </c>
      <c r="M234" s="1514" t="s">
        <v>1338</v>
      </c>
      <c r="N234" s="3461" t="e">
        <f>ROUNDDOWN(H235*H237,2)</f>
        <v>#N/A</v>
      </c>
      <c r="O234" s="3450" t="e">
        <f>INT(E234*N234)</f>
        <v>#N/A</v>
      </c>
      <c r="P234" s="3455"/>
      <c r="Q234" s="3458" t="s">
        <v>197</v>
      </c>
      <c r="R234" s="3250">
        <f>IF(ISERROR(INT(O234*P234)),0,INT(O234*P234))</f>
        <v>0</v>
      </c>
      <c r="S234" s="3252"/>
      <c r="T234" s="25" t="b">
        <f>T233</f>
        <v>0</v>
      </c>
      <c r="U234" s="3513"/>
    </row>
    <row r="235" spans="1:21" ht="13.5" customHeight="1">
      <c r="B235" s="3590"/>
      <c r="C235" s="2681"/>
      <c r="D235" s="2682"/>
      <c r="E235" s="3245"/>
      <c r="F235" s="3247"/>
      <c r="G235" s="3494"/>
      <c r="H235" s="813" t="e">
        <f>HLOOKUP(H234,I234:M235,2,0)</f>
        <v>#N/A</v>
      </c>
      <c r="I235" s="814" t="e">
        <f>VLOOKUP($L$9,ミニＳＫ,4,0)</f>
        <v>#N/A</v>
      </c>
      <c r="J235" s="822" t="e">
        <f>VLOOKUP($L$9,ミニＳＫ,6,0)</f>
        <v>#N/A</v>
      </c>
      <c r="K235" s="831" t="e">
        <f>VLOOKUP($L$9,ミニＳＫ,8,0)</f>
        <v>#N/A</v>
      </c>
      <c r="L235" s="832" t="str">
        <f>IF(M235,ROUNDDOWN(1+(M235-J234)*IF(M235&gt;J234,(I235-J235)/(I234-J234),(J235-K235)/(J234-K234)),2),"－")</f>
        <v>－</v>
      </c>
      <c r="M235" s="902"/>
      <c r="N235" s="3462"/>
      <c r="O235" s="3451"/>
      <c r="P235" s="3456"/>
      <c r="Q235" s="3459"/>
      <c r="R235" s="3245"/>
      <c r="S235" s="3247"/>
      <c r="T235" s="25" t="b">
        <f>T233</f>
        <v>0</v>
      </c>
      <c r="U235" s="3513"/>
    </row>
    <row r="236" spans="1:21" ht="13.5" customHeight="1">
      <c r="B236" s="3590"/>
      <c r="C236" s="2681"/>
      <c r="D236" s="2682"/>
      <c r="E236" s="3245"/>
      <c r="F236" s="3247"/>
      <c r="G236" s="3494" t="s">
        <v>794</v>
      </c>
      <c r="H236" s="818"/>
      <c r="I236" s="819" t="e">
        <f>VLOOKUP($L$9,ミニＳＫ,9,0)</f>
        <v>#N/A</v>
      </c>
      <c r="J236" s="820" t="e">
        <f>VLOOKUP($L$9,ミニＳＫ,11,0)</f>
        <v>#N/A</v>
      </c>
      <c r="K236" s="821" t="e">
        <f>VLOOKUP($L$9,ミニＳＫ,13,0)</f>
        <v>#N/A</v>
      </c>
      <c r="L236" s="510"/>
      <c r="M236" s="510"/>
      <c r="N236" s="3462"/>
      <c r="O236" s="3451"/>
      <c r="P236" s="3456"/>
      <c r="Q236" s="3459"/>
      <c r="R236" s="3245"/>
      <c r="S236" s="3247"/>
      <c r="T236" s="25" t="b">
        <f>T233</f>
        <v>0</v>
      </c>
      <c r="U236" s="3513"/>
    </row>
    <row r="237" spans="1:21" ht="13.5" customHeight="1">
      <c r="B237" s="3590"/>
      <c r="C237" s="2681"/>
      <c r="D237" s="2682"/>
      <c r="E237" s="3248"/>
      <c r="F237" s="3249"/>
      <c r="G237" s="3494"/>
      <c r="H237" s="813" t="e">
        <f>HLOOKUP(H236,I236:M237,2,0)</f>
        <v>#N/A</v>
      </c>
      <c r="I237" s="814" t="e">
        <f>VLOOKUP($L$9,ミニＳＫ,10,0)</f>
        <v>#N/A</v>
      </c>
      <c r="J237" s="822" t="e">
        <f>VLOOKUP($L$9,ミニＳＫ,12,0)</f>
        <v>#N/A</v>
      </c>
      <c r="K237" s="815" t="e">
        <f>VLOOKUP($L$9,ミニＳＫ,14,0)</f>
        <v>#N/A</v>
      </c>
      <c r="L237" s="510"/>
      <c r="M237" s="510"/>
      <c r="N237" s="3463"/>
      <c r="O237" s="3452"/>
      <c r="P237" s="3457"/>
      <c r="Q237" s="3460"/>
      <c r="R237" s="3248"/>
      <c r="S237" s="3249"/>
      <c r="T237" s="25" t="b">
        <f>T233</f>
        <v>0</v>
      </c>
      <c r="U237" s="3513"/>
    </row>
    <row r="238" spans="1:21" ht="13.5" customHeight="1">
      <c r="B238" s="3590"/>
      <c r="C238" s="137"/>
      <c r="D238" s="139"/>
      <c r="E238" s="3497" t="s">
        <v>149</v>
      </c>
      <c r="F238" s="3498"/>
      <c r="G238" s="34" t="s">
        <v>150</v>
      </c>
      <c r="H238" s="32"/>
      <c r="I238" s="32"/>
      <c r="J238" s="32"/>
      <c r="K238" s="32"/>
      <c r="L238" s="32"/>
      <c r="M238" s="33"/>
      <c r="N238" s="536" t="s">
        <v>524</v>
      </c>
      <c r="O238" s="536" t="s">
        <v>151</v>
      </c>
      <c r="P238" s="844" t="s">
        <v>152</v>
      </c>
      <c r="Q238" s="845" t="s">
        <v>195</v>
      </c>
      <c r="R238" s="3313" t="s">
        <v>791</v>
      </c>
      <c r="S238" s="3313"/>
      <c r="T238" s="25" t="b">
        <f>COUNTA(H239,H241,M240,P239)&lt;&gt;0</f>
        <v>0</v>
      </c>
    </row>
    <row r="239" spans="1:21" ht="13.5" customHeight="1">
      <c r="A239">
        <f>ROW()</f>
        <v>239</v>
      </c>
      <c r="B239" s="3590"/>
      <c r="C239" s="2681" t="s">
        <v>1428</v>
      </c>
      <c r="D239" s="2682"/>
      <c r="E239" s="3250" t="e">
        <f>VLOOKUP($L$9,ＳＫ,2,0)</f>
        <v>#N/A</v>
      </c>
      <c r="F239" s="3252"/>
      <c r="G239" s="3449" t="s">
        <v>1337</v>
      </c>
      <c r="H239" s="881"/>
      <c r="I239" s="899" t="e">
        <f>VLOOKUP($L$9,ＳＫ,3,0)</f>
        <v>#N/A</v>
      </c>
      <c r="J239" s="900" t="e">
        <f>VLOOKUP($L$9,ＳＫ,5,0)</f>
        <v>#N/A</v>
      </c>
      <c r="K239" s="901" t="e">
        <f>VLOOKUP($L$9,ＳＫ,7,0)</f>
        <v>#N/A</v>
      </c>
      <c r="L239" s="898" t="s">
        <v>848</v>
      </c>
      <c r="M239" s="1514" t="s">
        <v>1338</v>
      </c>
      <c r="N239" s="3461" t="e">
        <f>ROUNDDOWN(H240*H242,2)</f>
        <v>#N/A</v>
      </c>
      <c r="O239" s="3450" t="e">
        <f>INT(E239*N239)</f>
        <v>#N/A</v>
      </c>
      <c r="P239" s="3455"/>
      <c r="Q239" s="3458" t="s">
        <v>197</v>
      </c>
      <c r="R239" s="3250">
        <f>IF(ISERROR(INT(O239*P239)),0,INT(O239*P239))</f>
        <v>0</v>
      </c>
      <c r="S239" s="3252"/>
      <c r="T239" s="25" t="b">
        <f>T238</f>
        <v>0</v>
      </c>
    </row>
    <row r="240" spans="1:21" ht="13.5" customHeight="1">
      <c r="B240" s="3590"/>
      <c r="C240" s="2681"/>
      <c r="D240" s="2682"/>
      <c r="E240" s="3245"/>
      <c r="F240" s="3247"/>
      <c r="G240" s="3494"/>
      <c r="H240" s="813" t="e">
        <f>HLOOKUP(H239,I239:M240,2,0)</f>
        <v>#N/A</v>
      </c>
      <c r="I240" s="814" t="e">
        <f>VLOOKUP($L$9,ＳＫ,4,0)</f>
        <v>#N/A</v>
      </c>
      <c r="J240" s="822" t="e">
        <f>VLOOKUP($L$9,ＳＫ,6,0)</f>
        <v>#N/A</v>
      </c>
      <c r="K240" s="831" t="e">
        <f>VLOOKUP($L$9,ＳＫ,8,0)</f>
        <v>#N/A</v>
      </c>
      <c r="L240" s="832" t="str">
        <f>IF(M240,ROUNDDOWN(1+(M240-J239)*IF(M240&gt;J239,(I240-J240)/(I239-J239),(J240-K240)/(J239-K239)),2),"－")</f>
        <v>－</v>
      </c>
      <c r="M240" s="902"/>
      <c r="N240" s="3462"/>
      <c r="O240" s="3451"/>
      <c r="P240" s="3456"/>
      <c r="Q240" s="3459"/>
      <c r="R240" s="3245"/>
      <c r="S240" s="3247"/>
      <c r="T240" s="25" t="b">
        <f>T238</f>
        <v>0</v>
      </c>
    </row>
    <row r="241" spans="1:21" ht="13.5" customHeight="1">
      <c r="B241" s="3590"/>
      <c r="C241" s="2681"/>
      <c r="D241" s="2682"/>
      <c r="E241" s="3245"/>
      <c r="F241" s="3247"/>
      <c r="G241" s="3494" t="s">
        <v>794</v>
      </c>
      <c r="H241" s="818"/>
      <c r="I241" s="819" t="e">
        <f>VLOOKUP($L$9,ＳＫ,9,0)</f>
        <v>#N/A</v>
      </c>
      <c r="J241" s="820" t="e">
        <f>VLOOKUP($L$9,ＳＫ,11,0)</f>
        <v>#N/A</v>
      </c>
      <c r="K241" s="821" t="e">
        <f>VLOOKUP($L$9,ＳＫ,13,0)</f>
        <v>#N/A</v>
      </c>
      <c r="L241" s="505"/>
      <c r="M241" s="531"/>
      <c r="N241" s="3462"/>
      <c r="O241" s="3451"/>
      <c r="P241" s="3456"/>
      <c r="Q241" s="3459"/>
      <c r="R241" s="3245"/>
      <c r="S241" s="3247"/>
      <c r="T241" s="25" t="b">
        <f>T238</f>
        <v>0</v>
      </c>
    </row>
    <row r="242" spans="1:21" ht="13.5" customHeight="1">
      <c r="B242" s="3590"/>
      <c r="C242" s="2681"/>
      <c r="D242" s="2682"/>
      <c r="E242" s="3248"/>
      <c r="F242" s="3249"/>
      <c r="G242" s="3494"/>
      <c r="H242" s="813" t="e">
        <f>HLOOKUP(H241,I241:M242,2,0)</f>
        <v>#N/A</v>
      </c>
      <c r="I242" s="814" t="e">
        <f>VLOOKUP($L$9,ＳＫ,10,0)</f>
        <v>#N/A</v>
      </c>
      <c r="J242" s="822" t="e">
        <f>VLOOKUP($L$9,ＳＫ,12,0)</f>
        <v>#N/A</v>
      </c>
      <c r="K242" s="815" t="e">
        <f>VLOOKUP($L$9,ＳＫ,14,0)</f>
        <v>#N/A</v>
      </c>
      <c r="L242" s="221"/>
      <c r="M242" s="220"/>
      <c r="N242" s="3462"/>
      <c r="O242" s="3451"/>
      <c r="P242" s="3456"/>
      <c r="Q242" s="3459"/>
      <c r="R242" s="3248"/>
      <c r="S242" s="3249"/>
      <c r="T242" s="25" t="b">
        <f>T238</f>
        <v>0</v>
      </c>
    </row>
    <row r="243" spans="1:21" ht="13.5" customHeight="1">
      <c r="B243" s="3590"/>
      <c r="C243" s="137"/>
      <c r="D243" s="139"/>
      <c r="E243" s="3497" t="s">
        <v>149</v>
      </c>
      <c r="F243" s="3498"/>
      <c r="G243" s="34" t="s">
        <v>150</v>
      </c>
      <c r="H243" s="32"/>
      <c r="I243" s="32"/>
      <c r="J243" s="32"/>
      <c r="K243" s="32"/>
      <c r="L243" s="32"/>
      <c r="M243" s="33"/>
      <c r="N243" s="536" t="s">
        <v>524</v>
      </c>
      <c r="O243" s="536" t="s">
        <v>151</v>
      </c>
      <c r="P243" s="844" t="s">
        <v>152</v>
      </c>
      <c r="Q243" s="2029" t="s">
        <v>2095</v>
      </c>
      <c r="R243" s="3313" t="s">
        <v>791</v>
      </c>
      <c r="S243" s="3313"/>
      <c r="T243" s="25" t="b">
        <f>COUNTA(H244,H246,M247,P244)&lt;&gt;0</f>
        <v>0</v>
      </c>
    </row>
    <row r="244" spans="1:21" ht="13.5" customHeight="1">
      <c r="A244">
        <f>ROW()</f>
        <v>244</v>
      </c>
      <c r="B244" s="3590"/>
      <c r="C244" s="2681" t="s">
        <v>2097</v>
      </c>
      <c r="D244" s="2683"/>
      <c r="E244" s="3473" t="e">
        <f>VLOOKUP($L$9,ガス,2,0)</f>
        <v>#N/A</v>
      </c>
      <c r="F244" s="3474"/>
      <c r="G244" s="3448" t="s">
        <v>576</v>
      </c>
      <c r="H244" s="818"/>
      <c r="I244" s="819" t="e">
        <f>VLOOKUP($L$9,ガス,5,0)</f>
        <v>#N/A</v>
      </c>
      <c r="J244" s="821" t="e">
        <f>VLOOKUP($L$9,ガス,7,0)</f>
        <v>#N/A</v>
      </c>
      <c r="K244" s="2322"/>
      <c r="L244" s="2322"/>
      <c r="M244" s="2327"/>
      <c r="N244" s="3479" t="e">
        <f>ROUNDDOWN(H245*H247,2)</f>
        <v>#N/A</v>
      </c>
      <c r="O244" s="3492" t="e">
        <f>INT(E244*N244)</f>
        <v>#N/A</v>
      </c>
      <c r="P244" s="3520"/>
      <c r="Q244" s="3523" t="s">
        <v>2098</v>
      </c>
      <c r="R244" s="3473">
        <f>IF(ISERROR(INT(O244*P244)),0,INT(O244*P244))</f>
        <v>0</v>
      </c>
      <c r="S244" s="3474"/>
      <c r="T244" s="2395" t="b">
        <f t="shared" ref="T244:T247" si="31">T$243</f>
        <v>0</v>
      </c>
    </row>
    <row r="245" spans="1:21" ht="13.5" customHeight="1">
      <c r="B245" s="3590"/>
      <c r="C245" s="2681"/>
      <c r="D245" s="2683"/>
      <c r="E245" s="3516"/>
      <c r="F245" s="3517"/>
      <c r="G245" s="3448"/>
      <c r="H245" s="813" t="e">
        <f>HLOOKUP(H244,I244:J245,2,0)</f>
        <v>#N/A</v>
      </c>
      <c r="I245" s="814" t="e">
        <f>VLOOKUP($L$9,ガス,6,0)</f>
        <v>#N/A</v>
      </c>
      <c r="J245" s="815" t="e">
        <f>VLOOKUP($L$9,ガス,8,0)</f>
        <v>#N/A</v>
      </c>
      <c r="K245" s="2322"/>
      <c r="L245" s="2322"/>
      <c r="M245" s="2322"/>
      <c r="N245" s="3518"/>
      <c r="O245" s="3519"/>
      <c r="P245" s="3521"/>
      <c r="Q245" s="3524"/>
      <c r="R245" s="3516"/>
      <c r="S245" s="3517"/>
      <c r="T245" s="2395" t="b">
        <f t="shared" si="31"/>
        <v>0</v>
      </c>
    </row>
    <row r="246" spans="1:21" ht="13.5" customHeight="1">
      <c r="B246" s="3590"/>
      <c r="C246" s="2681"/>
      <c r="D246" s="2683"/>
      <c r="E246" s="3516"/>
      <c r="F246" s="3517"/>
      <c r="G246" s="3448" t="s">
        <v>2096</v>
      </c>
      <c r="H246" s="2418"/>
      <c r="I246" s="2419" t="e">
        <f>VLOOKUP($L$9,ガス,9,0)</f>
        <v>#N/A</v>
      </c>
      <c r="J246" s="2407" t="e">
        <f>VLOOKUP($L$9,ガス,11,0)</f>
        <v>#N/A</v>
      </c>
      <c r="K246" s="824" t="e">
        <f>VLOOKUP($L$9,ガス,13,0)</f>
        <v>#N/A</v>
      </c>
      <c r="L246" s="825" t="s">
        <v>848</v>
      </c>
      <c r="M246" s="1514" t="s">
        <v>2096</v>
      </c>
      <c r="N246" s="3518"/>
      <c r="O246" s="3519"/>
      <c r="P246" s="3521"/>
      <c r="Q246" s="3524"/>
      <c r="R246" s="3516"/>
      <c r="S246" s="3517"/>
      <c r="T246" s="2395" t="b">
        <f t="shared" si="31"/>
        <v>0</v>
      </c>
    </row>
    <row r="247" spans="1:21" ht="13.5" customHeight="1">
      <c r="B247" s="3590"/>
      <c r="C247" s="2681"/>
      <c r="D247" s="2683"/>
      <c r="E247" s="3475"/>
      <c r="F247" s="3476"/>
      <c r="G247" s="3448"/>
      <c r="H247" s="813" t="e">
        <f>HLOOKUP(H246,I246:L247,2,0)</f>
        <v>#N/A</v>
      </c>
      <c r="I247" s="814" t="e">
        <f>VLOOKUP($L$9,ガス,10,0)</f>
        <v>#N/A</v>
      </c>
      <c r="J247" s="822" t="e">
        <f>VLOOKUP($L$9,ガス,12,0)</f>
        <v>#N/A</v>
      </c>
      <c r="K247" s="831" t="e">
        <f>VLOOKUP($L$9,ガス,14,0)</f>
        <v>#N/A</v>
      </c>
      <c r="L247" s="832" t="str">
        <f>IF(M247,ROUNDDOWN(1+(M247-J246)*(I247-J247)/(I246-J246),2),"－")</f>
        <v>－</v>
      </c>
      <c r="M247" s="2420"/>
      <c r="N247" s="3480"/>
      <c r="O247" s="3493"/>
      <c r="P247" s="3522"/>
      <c r="Q247" s="3525"/>
      <c r="R247" s="3475"/>
      <c r="S247" s="3476"/>
      <c r="T247" s="2395" t="b">
        <f t="shared" si="31"/>
        <v>0</v>
      </c>
    </row>
    <row r="248" spans="1:21" s="2001" customFormat="1" ht="13.5" customHeight="1">
      <c r="B248" s="2002"/>
      <c r="C248" s="1617"/>
      <c r="D248" s="1618"/>
      <c r="E248" s="3477" t="s">
        <v>149</v>
      </c>
      <c r="F248" s="3478"/>
      <c r="G248" s="1502" t="s">
        <v>150</v>
      </c>
      <c r="H248" s="2356"/>
      <c r="I248" s="2356"/>
      <c r="J248" s="2356"/>
      <c r="K248" s="2356"/>
      <c r="L248" s="2356"/>
      <c r="M248" s="2357"/>
      <c r="N248" s="2335" t="s">
        <v>524</v>
      </c>
      <c r="O248" s="2335" t="s">
        <v>151</v>
      </c>
      <c r="P248" s="2393" t="s">
        <v>152</v>
      </c>
      <c r="Q248" s="2394" t="s">
        <v>790</v>
      </c>
      <c r="R248" s="3448" t="s">
        <v>791</v>
      </c>
      <c r="S248" s="3448"/>
      <c r="T248" s="2395" t="b">
        <f>COUNTA(H249,H251,H253,H255,H257)&lt;&gt;0</f>
        <v>0</v>
      </c>
      <c r="U248" s="2358" t="s">
        <v>2344</v>
      </c>
    </row>
    <row r="249" spans="1:21" s="2001" customFormat="1" ht="13.5" customHeight="1">
      <c r="A249" s="2001">
        <f>ROW()</f>
        <v>249</v>
      </c>
      <c r="B249" s="2002"/>
      <c r="C249" s="2614" t="s">
        <v>2367</v>
      </c>
      <c r="D249" s="2616"/>
      <c r="E249" s="3250" t="e">
        <f>VLOOKUP($L$9,総合集合小,2,0)</f>
        <v>#N/A</v>
      </c>
      <c r="F249" s="3252"/>
      <c r="G249" s="3449" t="s">
        <v>2180</v>
      </c>
      <c r="H249" s="2421"/>
      <c r="I249" s="2422" t="e">
        <f>VLOOKUP($L$9,総合集合小,3,0)</f>
        <v>#N/A</v>
      </c>
      <c r="J249" s="2423" t="e">
        <f>VLOOKUP($L$9,総合集合小,5,0)</f>
        <v>#N/A</v>
      </c>
      <c r="K249" s="884" t="e">
        <f>VLOOKUP($L$9,総合集合小,7,0)</f>
        <v>#N/A</v>
      </c>
      <c r="L249" s="898" t="s">
        <v>848</v>
      </c>
      <c r="M249" s="2424" t="s">
        <v>2183</v>
      </c>
      <c r="N249" s="3461" t="e">
        <f>ROUNDDOWN(H250*H252*H254*H258*H256,2)</f>
        <v>#N/A</v>
      </c>
      <c r="O249" s="3450" t="e">
        <f>INT(E249*N249)</f>
        <v>#N/A</v>
      </c>
      <c r="P249" s="3453">
        <f>$P$9</f>
        <v>0</v>
      </c>
      <c r="Q249" s="3458" t="s">
        <v>68</v>
      </c>
      <c r="R249" s="3250">
        <f>IF(ISERROR(INT(O249*P249)),0,INT(O249*P249))</f>
        <v>0</v>
      </c>
      <c r="S249" s="3252"/>
      <c r="T249" s="2395" t="b">
        <f>T$248</f>
        <v>0</v>
      </c>
      <c r="U249" s="2358" t="s">
        <v>2353</v>
      </c>
    </row>
    <row r="250" spans="1:21" s="2001" customFormat="1" ht="13.5" customHeight="1">
      <c r="B250" s="2002"/>
      <c r="C250" s="2614"/>
      <c r="D250" s="2616"/>
      <c r="E250" s="3245"/>
      <c r="F250" s="3247"/>
      <c r="G250" s="3449"/>
      <c r="H250" s="813" t="e">
        <f>HLOOKUP(H249,I249:L250,2,0)</f>
        <v>#N/A</v>
      </c>
      <c r="I250" s="814" t="e">
        <f>VLOOKUP($L$9,総合集合小,4,0)</f>
        <v>#N/A</v>
      </c>
      <c r="J250" s="822" t="e">
        <f>VLOOKUP($L$9,総合集合小,6,0)</f>
        <v>#N/A</v>
      </c>
      <c r="K250" s="831" t="e">
        <f>VLOOKUP($L$9,総合集合小,8,0)</f>
        <v>#N/A</v>
      </c>
      <c r="L250" s="832" t="str">
        <f>IF(M250,ROUNDDOWN(1+(M250-J249)*(I250-J250)/(I249-J249),2),"－")</f>
        <v>－</v>
      </c>
      <c r="M250" s="2425"/>
      <c r="N250" s="3462"/>
      <c r="O250" s="3451"/>
      <c r="P250" s="3454"/>
      <c r="Q250" s="3459"/>
      <c r="R250" s="3245"/>
      <c r="S250" s="3247"/>
      <c r="T250" s="2395" t="b">
        <f t="shared" ref="T250:T258" si="32">T$248</f>
        <v>0</v>
      </c>
      <c r="U250" s="2358" t="s">
        <v>2184</v>
      </c>
    </row>
    <row r="251" spans="1:21" s="2001" customFormat="1" ht="13.5" customHeight="1">
      <c r="B251" s="2002"/>
      <c r="C251" s="2614"/>
      <c r="D251" s="2616"/>
      <c r="E251" s="3245"/>
      <c r="F251" s="3247"/>
      <c r="G251" s="3448" t="s">
        <v>205</v>
      </c>
      <c r="H251" s="2426"/>
      <c r="I251" s="2427" t="e">
        <f>VLOOKUP($L$9,総合集合小,9,0)</f>
        <v>#N/A</v>
      </c>
      <c r="J251" s="2428" t="e">
        <f>VLOOKUP($L$9,総合集合小,11,0)</f>
        <v>#N/A</v>
      </c>
      <c r="K251" s="941" t="e">
        <f>VLOOKUP($L$9,総合集合小,13,0)</f>
        <v>#N/A</v>
      </c>
      <c r="L251" s="2429"/>
      <c r="M251" s="2430"/>
      <c r="N251" s="3630"/>
      <c r="O251" s="3451"/>
      <c r="P251" s="3454"/>
      <c r="Q251" s="3459"/>
      <c r="R251" s="3245"/>
      <c r="S251" s="3247"/>
      <c r="T251" s="2395" t="b">
        <f t="shared" si="32"/>
        <v>0</v>
      </c>
      <c r="U251" s="2358" t="s">
        <v>2347</v>
      </c>
    </row>
    <row r="252" spans="1:21" s="2001" customFormat="1" ht="13.5" customHeight="1">
      <c r="B252" s="2002"/>
      <c r="C252" s="2614"/>
      <c r="D252" s="2616"/>
      <c r="E252" s="3245"/>
      <c r="F252" s="3247"/>
      <c r="G252" s="3448"/>
      <c r="H252" s="813" t="e">
        <f>HLOOKUP(H251,I251:L252,2,0)</f>
        <v>#N/A</v>
      </c>
      <c r="I252" s="814" t="e">
        <f>VLOOKUP($L$9,総合集合小,10,0)</f>
        <v>#N/A</v>
      </c>
      <c r="J252" s="822" t="e">
        <f>VLOOKUP($L$9,総合集合小,12,0)</f>
        <v>#N/A</v>
      </c>
      <c r="K252" s="815" t="e">
        <f>VLOOKUP($L$9,総合集合小,14,0)</f>
        <v>#N/A</v>
      </c>
      <c r="L252" s="1603"/>
      <c r="M252" s="2431"/>
      <c r="N252" s="3630"/>
      <c r="O252" s="3451"/>
      <c r="P252" s="3454"/>
      <c r="Q252" s="3459"/>
      <c r="R252" s="3245"/>
      <c r="S252" s="3247"/>
      <c r="T252" s="2395" t="b">
        <f t="shared" si="32"/>
        <v>0</v>
      </c>
      <c r="U252" s="2358"/>
    </row>
    <row r="253" spans="1:21" s="2001" customFormat="1" ht="13.5" customHeight="1">
      <c r="B253" s="2002"/>
      <c r="C253" s="2614"/>
      <c r="D253" s="2616"/>
      <c r="E253" s="3245"/>
      <c r="F253" s="3247"/>
      <c r="G253" s="3449" t="s">
        <v>2181</v>
      </c>
      <c r="H253" s="818"/>
      <c r="I253" s="819" t="e">
        <f>VLOOKUP($L$9,総合集合小,15,0)</f>
        <v>#N/A</v>
      </c>
      <c r="J253" s="820" t="e">
        <f>VLOOKUP($L$9,総合集合小,17,0)</f>
        <v>#N/A</v>
      </c>
      <c r="K253" s="821" t="e">
        <f>VLOOKUP($L$9,総合集合小,19,0)</f>
        <v>#N/A</v>
      </c>
      <c r="L253" s="1530"/>
      <c r="M253" s="2432"/>
      <c r="N253" s="3630"/>
      <c r="O253" s="3451"/>
      <c r="P253" s="3454"/>
      <c r="Q253" s="3459"/>
      <c r="R253" s="3245"/>
      <c r="S253" s="3247"/>
      <c r="T253" s="2395" t="b">
        <f t="shared" si="32"/>
        <v>0</v>
      </c>
      <c r="U253" s="2358"/>
    </row>
    <row r="254" spans="1:21" s="2001" customFormat="1" ht="13.5" customHeight="1">
      <c r="B254" s="2002"/>
      <c r="C254" s="2614"/>
      <c r="D254" s="2616"/>
      <c r="E254" s="3245"/>
      <c r="F254" s="3247"/>
      <c r="G254" s="3448"/>
      <c r="H254" s="813" t="e">
        <f>HLOOKUP(H253,I253:K254,2,0)</f>
        <v>#N/A</v>
      </c>
      <c r="I254" s="814" t="e">
        <f>VLOOKUP($L$9,総合集合小,16,0)</f>
        <v>#N/A</v>
      </c>
      <c r="J254" s="822" t="e">
        <f>VLOOKUP($L$9,総合集合小,18,0)</f>
        <v>#N/A</v>
      </c>
      <c r="K254" s="815" t="e">
        <f>VLOOKUP($L$9,総合集合小,20,0)</f>
        <v>#N/A</v>
      </c>
      <c r="L254" s="2322"/>
      <c r="M254" s="2322"/>
      <c r="N254" s="3462"/>
      <c r="O254" s="3451"/>
      <c r="P254" s="3454"/>
      <c r="Q254" s="3459"/>
      <c r="R254" s="3245"/>
      <c r="S254" s="3247"/>
      <c r="T254" s="2395" t="b">
        <f t="shared" si="32"/>
        <v>0</v>
      </c>
      <c r="U254" s="1418"/>
    </row>
    <row r="255" spans="1:21" s="2001" customFormat="1" ht="13.5" customHeight="1">
      <c r="B255" s="2002"/>
      <c r="C255" s="2614"/>
      <c r="D255" s="2617"/>
      <c r="E255" s="3245"/>
      <c r="F255" s="3488"/>
      <c r="G255" s="3448" t="s">
        <v>2182</v>
      </c>
      <c r="H255" s="2433"/>
      <c r="I255" s="834" t="e">
        <f>VLOOKUP($L$9,総合集合小,29,0)</f>
        <v>#N/A</v>
      </c>
      <c r="J255" s="947" t="e">
        <f>VLOOKUP($L$9,総合集合小,31,0)</f>
        <v>#N/A</v>
      </c>
      <c r="K255" s="2434"/>
      <c r="L255" s="2322"/>
      <c r="M255" s="2322"/>
      <c r="N255" s="3462"/>
      <c r="O255" s="3451"/>
      <c r="P255" s="3454"/>
      <c r="Q255" s="3630"/>
      <c r="R255" s="3245"/>
      <c r="S255" s="3488"/>
      <c r="T255" s="2395" t="b">
        <f t="shared" si="32"/>
        <v>0</v>
      </c>
      <c r="U255" s="2358"/>
    </row>
    <row r="256" spans="1:21" s="2001" customFormat="1" ht="13.5" customHeight="1">
      <c r="B256" s="2002"/>
      <c r="C256" s="2614"/>
      <c r="D256" s="2617"/>
      <c r="E256" s="3245"/>
      <c r="F256" s="3488"/>
      <c r="G256" s="3448"/>
      <c r="H256" s="813" t="e">
        <f>HLOOKUP(H255,I255:J256,2,0)</f>
        <v>#N/A</v>
      </c>
      <c r="I256" s="814" t="e">
        <f>VLOOKUP($L$9,総合集合小,30,0)</f>
        <v>#N/A</v>
      </c>
      <c r="J256" s="831" t="e">
        <f>VLOOKUP($L$9,総合集合小,32,0)</f>
        <v>#N/A</v>
      </c>
      <c r="K256" s="2056"/>
      <c r="L256" s="2322"/>
      <c r="M256" s="2322"/>
      <c r="N256" s="3462"/>
      <c r="O256" s="3451"/>
      <c r="P256" s="3454"/>
      <c r="Q256" s="3630"/>
      <c r="R256" s="3245"/>
      <c r="S256" s="3488"/>
      <c r="T256" s="2395" t="b">
        <f t="shared" si="32"/>
        <v>0</v>
      </c>
      <c r="U256" s="2358"/>
    </row>
    <row r="257" spans="2:21" s="2001" customFormat="1" ht="13.5" customHeight="1">
      <c r="B257" s="2002"/>
      <c r="C257" s="2614"/>
      <c r="D257" s="2616"/>
      <c r="E257" s="3245"/>
      <c r="F257" s="3247"/>
      <c r="G257" s="3448" t="s">
        <v>794</v>
      </c>
      <c r="H257" s="2433"/>
      <c r="I257" s="834" t="e">
        <f>VLOOKUP($L$9,総合集合小,21,0)</f>
        <v>#N/A</v>
      </c>
      <c r="J257" s="835" t="e">
        <f>VLOOKUP($L$9,総合集合小,23,0)</f>
        <v>#N/A</v>
      </c>
      <c r="K257" s="836" t="e">
        <f>VLOOKUP($L$9,総合集合小,25,0)</f>
        <v>#N/A</v>
      </c>
      <c r="L257" s="2321"/>
      <c r="M257" s="2336"/>
      <c r="N257" s="3462"/>
      <c r="O257" s="3451"/>
      <c r="P257" s="3454"/>
      <c r="Q257" s="3459"/>
      <c r="R257" s="3245"/>
      <c r="S257" s="3247"/>
      <c r="T257" s="2395" t="b">
        <f t="shared" si="32"/>
        <v>0</v>
      </c>
      <c r="U257" s="2358"/>
    </row>
    <row r="258" spans="2:21" s="2001" customFormat="1" ht="13.5" customHeight="1">
      <c r="B258" s="2002"/>
      <c r="C258" s="2618"/>
      <c r="D258" s="2620"/>
      <c r="E258" s="3248"/>
      <c r="F258" s="3249"/>
      <c r="G258" s="3448"/>
      <c r="H258" s="813" t="e">
        <f>HLOOKUP(H257,I257:K258,2,0)</f>
        <v>#N/A</v>
      </c>
      <c r="I258" s="814" t="e">
        <f>VLOOKUP($L$9,総合集合小,22,0)</f>
        <v>#N/A</v>
      </c>
      <c r="J258" s="822" t="e">
        <f>VLOOKUP($L$9,総合集合小,24,0)</f>
        <v>#N/A</v>
      </c>
      <c r="K258" s="815" t="e">
        <f>VLOOKUP($L$9,総合集合小,26,0)</f>
        <v>#N/A</v>
      </c>
      <c r="L258" s="2306"/>
      <c r="M258" s="2306"/>
      <c r="N258" s="3463"/>
      <c r="O258" s="3452"/>
      <c r="P258" s="2815"/>
      <c r="Q258" s="3460"/>
      <c r="R258" s="3248"/>
      <c r="S258" s="3249"/>
      <c r="T258" s="2395" t="b">
        <f t="shared" si="32"/>
        <v>0</v>
      </c>
      <c r="U258" s="2358"/>
    </row>
    <row r="259" spans="2:21" s="2001" customFormat="1" ht="13.5" customHeight="1">
      <c r="B259" s="2002"/>
      <c r="C259" s="879"/>
      <c r="D259" s="880"/>
      <c r="E259" s="3477" t="s">
        <v>149</v>
      </c>
      <c r="F259" s="3478"/>
      <c r="G259" s="1502" t="s">
        <v>150</v>
      </c>
      <c r="H259" s="2356"/>
      <c r="I259" s="2356"/>
      <c r="J259" s="2356"/>
      <c r="K259" s="2356"/>
      <c r="L259" s="2356"/>
      <c r="M259" s="2357"/>
      <c r="N259" s="2335" t="s">
        <v>524</v>
      </c>
      <c r="O259" s="2335" t="s">
        <v>151</v>
      </c>
      <c r="P259" s="2393" t="s">
        <v>152</v>
      </c>
      <c r="Q259" s="2394" t="s">
        <v>790</v>
      </c>
      <c r="R259" s="3448" t="s">
        <v>791</v>
      </c>
      <c r="S259" s="3448"/>
      <c r="T259" s="2395" t="b">
        <f>COUNTA(H260,H262,H264,H266,H268)&lt;&gt;0</f>
        <v>0</v>
      </c>
      <c r="U259" s="2358" t="s">
        <v>2345</v>
      </c>
    </row>
    <row r="260" spans="2:21" s="2001" customFormat="1" ht="13.5" customHeight="1">
      <c r="B260" s="2002"/>
      <c r="C260" s="2614" t="s">
        <v>2368</v>
      </c>
      <c r="D260" s="2616"/>
      <c r="E260" s="3250" t="e">
        <f>VLOOKUP($L$9,総合集合大,2,0)</f>
        <v>#N/A</v>
      </c>
      <c r="F260" s="3252"/>
      <c r="G260" s="3449" t="s">
        <v>2180</v>
      </c>
      <c r="H260" s="2421"/>
      <c r="I260" s="2422" t="e">
        <f>VLOOKUP($L$9,総合集合大,3,0)</f>
        <v>#N/A</v>
      </c>
      <c r="J260" s="2423" t="e">
        <f>VLOOKUP($L$9,総合集合大,5,0)</f>
        <v>#N/A</v>
      </c>
      <c r="K260" s="901" t="e">
        <f>VLOOKUP($L$9,総合集合大,7,0)</f>
        <v>#N/A</v>
      </c>
      <c r="L260" s="898" t="s">
        <v>848</v>
      </c>
      <c r="M260" s="1514" t="s">
        <v>2183</v>
      </c>
      <c r="N260" s="3461" t="e">
        <f>ROUNDDOWN(H261*H263*H265*H269*H267,2)</f>
        <v>#N/A</v>
      </c>
      <c r="O260" s="3450" t="e">
        <f>INT(E260*N260)</f>
        <v>#N/A</v>
      </c>
      <c r="P260" s="3453">
        <f>$P$9</f>
        <v>0</v>
      </c>
      <c r="Q260" s="3458" t="s">
        <v>68</v>
      </c>
      <c r="R260" s="3250">
        <f>IF(ISERROR(INT(O260*P260)),0,INT(O260*P260))</f>
        <v>0</v>
      </c>
      <c r="S260" s="3252"/>
      <c r="T260" s="2395" t="b">
        <f>T$259</f>
        <v>0</v>
      </c>
      <c r="U260" s="2358" t="s">
        <v>2346</v>
      </c>
    </row>
    <row r="261" spans="2:21" s="2001" customFormat="1" ht="13.5" customHeight="1">
      <c r="B261" s="2002"/>
      <c r="C261" s="2614"/>
      <c r="D261" s="2616"/>
      <c r="E261" s="3245"/>
      <c r="F261" s="3247"/>
      <c r="G261" s="3449"/>
      <c r="H261" s="813" t="e">
        <f>HLOOKUP(H260,I260:L261,2,0)</f>
        <v>#N/A</v>
      </c>
      <c r="I261" s="814" t="e">
        <f>VLOOKUP($L$9,総合集合大,4,0)</f>
        <v>#N/A</v>
      </c>
      <c r="J261" s="822" t="e">
        <f>VLOOKUP($L$9,総合集合大,6,0)</f>
        <v>#N/A</v>
      </c>
      <c r="K261" s="831" t="e">
        <f>VLOOKUP($L$9,総合集合大,8,0)</f>
        <v>#N/A</v>
      </c>
      <c r="L261" s="832" t="str">
        <f>IF(M261,ROUNDDOWN(1+(M261-J260)*(I261-J261)/(I260-J260),2),"－")</f>
        <v>－</v>
      </c>
      <c r="M261" s="2435"/>
      <c r="N261" s="3462"/>
      <c r="O261" s="3451"/>
      <c r="P261" s="3454"/>
      <c r="Q261" s="3459"/>
      <c r="R261" s="3245"/>
      <c r="S261" s="3247"/>
      <c r="T261" s="2395" t="b">
        <f t="shared" ref="T261:T269" si="33">T$259</f>
        <v>0</v>
      </c>
      <c r="U261" s="2358" t="s">
        <v>2347</v>
      </c>
    </row>
    <row r="262" spans="2:21" s="2001" customFormat="1" ht="13.5" customHeight="1">
      <c r="B262" s="2002"/>
      <c r="C262" s="2614"/>
      <c r="D262" s="2616"/>
      <c r="E262" s="3245"/>
      <c r="F262" s="3247"/>
      <c r="G262" s="3448" t="s">
        <v>205</v>
      </c>
      <c r="H262" s="2426"/>
      <c r="I262" s="2427" t="e">
        <f>VLOOKUP($L$9,総合集合大,9,0)</f>
        <v>#N/A</v>
      </c>
      <c r="J262" s="2428" t="e">
        <f>VLOOKUP($L$9,総合集合大,11,0)</f>
        <v>#N/A</v>
      </c>
      <c r="K262" s="901" t="e">
        <f>VLOOKUP($L$9,総合集合大,13,0)</f>
        <v>#N/A</v>
      </c>
      <c r="L262" s="898" t="s">
        <v>771</v>
      </c>
      <c r="M262" s="1514" t="s">
        <v>205</v>
      </c>
      <c r="N262" s="3462"/>
      <c r="O262" s="3451"/>
      <c r="P262" s="3454"/>
      <c r="Q262" s="3459"/>
      <c r="R262" s="3245"/>
      <c r="S262" s="3247"/>
      <c r="T262" s="2395" t="b">
        <f t="shared" si="33"/>
        <v>0</v>
      </c>
      <c r="U262" s="2358"/>
    </row>
    <row r="263" spans="2:21" s="2001" customFormat="1" ht="13.5" customHeight="1">
      <c r="B263" s="2002"/>
      <c r="C263" s="2614"/>
      <c r="D263" s="2616"/>
      <c r="E263" s="3245"/>
      <c r="F263" s="3247"/>
      <c r="G263" s="3448"/>
      <c r="H263" s="813" t="e">
        <f>HLOOKUP(H262,I262:L263,2,0)</f>
        <v>#N/A</v>
      </c>
      <c r="I263" s="814" t="e">
        <f>VLOOKUP($L$9,総合集合大,10,0)</f>
        <v>#N/A</v>
      </c>
      <c r="J263" s="822" t="e">
        <f>VLOOKUP($L$9,総合集合大,12,0)</f>
        <v>#N/A</v>
      </c>
      <c r="K263" s="831" t="e">
        <f>VLOOKUP($L$9,総合集合大,14,0)</f>
        <v>#N/A</v>
      </c>
      <c r="L263" s="832" t="str">
        <f>IF(M263,ROUNDDOWN(1+(M263-J262)*(I263-J263)/(I262-J262),2),"－")</f>
        <v>－</v>
      </c>
      <c r="M263" s="2436"/>
      <c r="N263" s="3462"/>
      <c r="O263" s="3451"/>
      <c r="P263" s="3454"/>
      <c r="Q263" s="3459"/>
      <c r="R263" s="3245"/>
      <c r="S263" s="3247"/>
      <c r="T263" s="2395" t="b">
        <f t="shared" si="33"/>
        <v>0</v>
      </c>
      <c r="U263" s="2358"/>
    </row>
    <row r="264" spans="2:21" s="2001" customFormat="1" ht="13.5" customHeight="1">
      <c r="B264" s="2002"/>
      <c r="C264" s="2614"/>
      <c r="D264" s="2616"/>
      <c r="E264" s="3245"/>
      <c r="F264" s="3247"/>
      <c r="G264" s="3449" t="s">
        <v>2181</v>
      </c>
      <c r="H264" s="818"/>
      <c r="I264" s="819" t="e">
        <f>VLOOKUP($L$9,総合集合大,15,0)</f>
        <v>#N/A</v>
      </c>
      <c r="J264" s="820" t="e">
        <f>VLOOKUP($L$9,総合集合大,17,0)</f>
        <v>#N/A</v>
      </c>
      <c r="K264" s="821" t="e">
        <f>VLOOKUP($L$9,総合集合大,19,0)</f>
        <v>#N/A</v>
      </c>
      <c r="L264" s="2322"/>
      <c r="M264" s="2322"/>
      <c r="N264" s="3462"/>
      <c r="O264" s="3451"/>
      <c r="P264" s="3454"/>
      <c r="Q264" s="3459"/>
      <c r="R264" s="3245"/>
      <c r="S264" s="3247"/>
      <c r="T264" s="2395" t="b">
        <f t="shared" si="33"/>
        <v>0</v>
      </c>
      <c r="U264" s="2358"/>
    </row>
    <row r="265" spans="2:21" s="2001" customFormat="1" ht="13.5" customHeight="1">
      <c r="B265" s="2002"/>
      <c r="C265" s="2614"/>
      <c r="D265" s="2616"/>
      <c r="E265" s="3245"/>
      <c r="F265" s="3247"/>
      <c r="G265" s="3448"/>
      <c r="H265" s="813" t="e">
        <f>HLOOKUP(H264,I264:K265,2,0)</f>
        <v>#N/A</v>
      </c>
      <c r="I265" s="814" t="e">
        <f>VLOOKUP($L$9,総合集合大,16,0)</f>
        <v>#N/A</v>
      </c>
      <c r="J265" s="822" t="e">
        <f>VLOOKUP($L$9,総合集合大,18,0)</f>
        <v>#N/A</v>
      </c>
      <c r="K265" s="815" t="e">
        <f>VLOOKUP($L$9,総合集合大,20,0)</f>
        <v>#N/A</v>
      </c>
      <c r="L265" s="2322"/>
      <c r="M265" s="2322"/>
      <c r="N265" s="3462"/>
      <c r="O265" s="3451"/>
      <c r="P265" s="3454"/>
      <c r="Q265" s="3459"/>
      <c r="R265" s="3245"/>
      <c r="S265" s="3247"/>
      <c r="T265" s="2395" t="b">
        <f t="shared" si="33"/>
        <v>0</v>
      </c>
      <c r="U265" s="2358"/>
    </row>
    <row r="266" spans="2:21" s="2001" customFormat="1" ht="13.5" customHeight="1">
      <c r="B266" s="2002"/>
      <c r="C266" s="2614"/>
      <c r="D266" s="2617"/>
      <c r="E266" s="3245"/>
      <c r="F266" s="3488"/>
      <c r="G266" s="3448" t="s">
        <v>2182</v>
      </c>
      <c r="H266" s="2433"/>
      <c r="I266" s="834" t="e">
        <f>VLOOKUP($L$9,総合集合大,29,0)</f>
        <v>#N/A</v>
      </c>
      <c r="J266" s="947" t="e">
        <f>VLOOKUP($L$9,総合集合大,31,0)</f>
        <v>#N/A</v>
      </c>
      <c r="K266" s="2434"/>
      <c r="L266" s="2322"/>
      <c r="M266" s="2322"/>
      <c r="N266" s="3462"/>
      <c r="O266" s="3451"/>
      <c r="P266" s="3454"/>
      <c r="Q266" s="3630"/>
      <c r="R266" s="3245"/>
      <c r="S266" s="3488"/>
      <c r="T266" s="2395" t="b">
        <f t="shared" si="33"/>
        <v>0</v>
      </c>
      <c r="U266" s="2358"/>
    </row>
    <row r="267" spans="2:21" s="2001" customFormat="1" ht="13.5" customHeight="1">
      <c r="B267" s="2002"/>
      <c r="C267" s="2614"/>
      <c r="D267" s="2617"/>
      <c r="E267" s="3245"/>
      <c r="F267" s="3488"/>
      <c r="G267" s="3448"/>
      <c r="H267" s="813" t="e">
        <f>HLOOKUP(H266,I266:J267,2,0)</f>
        <v>#N/A</v>
      </c>
      <c r="I267" s="814" t="e">
        <f>VLOOKUP($L$9,総合集合大,30,0)</f>
        <v>#N/A</v>
      </c>
      <c r="J267" s="831" t="e">
        <f>VLOOKUP($L$9,総合集合大,32,0)</f>
        <v>#N/A</v>
      </c>
      <c r="K267" s="2056"/>
      <c r="L267" s="2322"/>
      <c r="M267" s="2322"/>
      <c r="N267" s="3462"/>
      <c r="O267" s="3451"/>
      <c r="P267" s="3454"/>
      <c r="Q267" s="3630"/>
      <c r="R267" s="3245"/>
      <c r="S267" s="3488"/>
      <c r="T267" s="2395" t="b">
        <f t="shared" si="33"/>
        <v>0</v>
      </c>
      <c r="U267" s="2358"/>
    </row>
    <row r="268" spans="2:21" s="2001" customFormat="1" ht="13.5" customHeight="1">
      <c r="B268" s="2002"/>
      <c r="C268" s="2614"/>
      <c r="D268" s="2616"/>
      <c r="E268" s="3245"/>
      <c r="F268" s="3247"/>
      <c r="G268" s="3448" t="s">
        <v>794</v>
      </c>
      <c r="H268" s="2433"/>
      <c r="I268" s="834" t="e">
        <f>VLOOKUP($L$9,総合集合大,21,0)</f>
        <v>#N/A</v>
      </c>
      <c r="J268" s="835" t="e">
        <f>VLOOKUP($L$9,総合集合大,23,0)</f>
        <v>#N/A</v>
      </c>
      <c r="K268" s="836" t="e">
        <f>VLOOKUP($L$9,総合集合大,25,0)</f>
        <v>#N/A</v>
      </c>
      <c r="L268" s="2321"/>
      <c r="M268" s="2336"/>
      <c r="N268" s="3462"/>
      <c r="O268" s="3451"/>
      <c r="P268" s="3454"/>
      <c r="Q268" s="3459"/>
      <c r="R268" s="3245"/>
      <c r="S268" s="3247"/>
      <c r="T268" s="2395" t="b">
        <f t="shared" si="33"/>
        <v>0</v>
      </c>
      <c r="U268" s="2358"/>
    </row>
    <row r="269" spans="2:21" s="2001" customFormat="1" ht="13.5" customHeight="1">
      <c r="B269" s="2002"/>
      <c r="C269" s="2618"/>
      <c r="D269" s="2620"/>
      <c r="E269" s="3248"/>
      <c r="F269" s="3249"/>
      <c r="G269" s="3448"/>
      <c r="H269" s="813" t="e">
        <f>HLOOKUP(H268,I268:K269,2,0)</f>
        <v>#N/A</v>
      </c>
      <c r="I269" s="814" t="e">
        <f>VLOOKUP($L$9,総合集合小,22,0)</f>
        <v>#N/A</v>
      </c>
      <c r="J269" s="822" t="e">
        <f>VLOOKUP($L$9,総合集合大,24,0)</f>
        <v>#N/A</v>
      </c>
      <c r="K269" s="815" t="e">
        <f>VLOOKUP($L$9,総合集合大,26,0)</f>
        <v>#N/A</v>
      </c>
      <c r="L269" s="2306"/>
      <c r="M269" s="2306"/>
      <c r="N269" s="3463"/>
      <c r="O269" s="3452"/>
      <c r="P269" s="2815"/>
      <c r="Q269" s="3460"/>
      <c r="R269" s="3248"/>
      <c r="S269" s="3249"/>
      <c r="T269" s="2395" t="b">
        <f t="shared" si="33"/>
        <v>0</v>
      </c>
      <c r="U269" s="2358"/>
    </row>
    <row r="270" spans="2:21" ht="13.5" customHeight="1">
      <c r="B270" s="804"/>
      <c r="C270" s="2337"/>
      <c r="D270" s="2337"/>
      <c r="E270" s="3477" t="s">
        <v>149</v>
      </c>
      <c r="F270" s="3478"/>
      <c r="G270" s="1502" t="s">
        <v>150</v>
      </c>
      <c r="H270" s="2356"/>
      <c r="I270" s="2356"/>
      <c r="J270" s="2356"/>
      <c r="K270" s="2356"/>
      <c r="L270" s="2356"/>
      <c r="M270" s="2357"/>
      <c r="N270" s="2335" t="s">
        <v>524</v>
      </c>
      <c r="O270" s="2335" t="s">
        <v>151</v>
      </c>
      <c r="P270" s="2393" t="s">
        <v>152</v>
      </c>
      <c r="Q270" s="2394" t="s">
        <v>206</v>
      </c>
      <c r="R270" s="3448" t="s">
        <v>791</v>
      </c>
      <c r="S270" s="3448"/>
      <c r="T270" s="2395" t="b">
        <f>COUNTA(H271,H273,H276,H279,H281,H283,J288:R289,K292:K292)&lt;&gt;0</f>
        <v>0</v>
      </c>
    </row>
    <row r="271" spans="2:21" ht="13.5" customHeight="1">
      <c r="B271" s="3590" t="s">
        <v>1661</v>
      </c>
      <c r="C271" s="2614" t="s">
        <v>139</v>
      </c>
      <c r="D271" s="2625" t="s">
        <v>207</v>
      </c>
      <c r="E271" s="3481" t="e">
        <f>VLOOKUP($L$9,熱源方式,2,0)</f>
        <v>#N/A</v>
      </c>
      <c r="F271" s="3482"/>
      <c r="G271" s="3445" t="s">
        <v>208</v>
      </c>
      <c r="H271" s="818"/>
      <c r="I271" s="819" t="e">
        <f>VLOOKUP($L$9,熱源方式,3,0)</f>
        <v>#N/A</v>
      </c>
      <c r="J271" s="821" t="e">
        <f>VLOOKUP($L$9,熱源方式,5,0)</f>
        <v>#N/A</v>
      </c>
      <c r="K271" s="2322"/>
      <c r="L271" s="2322"/>
      <c r="M271" s="2322"/>
      <c r="N271" s="3461" t="e">
        <f>ROUNDDOWN(H272*H275*H278*H280*H282*H284*H286,2)</f>
        <v>#N/A</v>
      </c>
      <c r="O271" s="3450" t="e">
        <f>INT(E271*N271)</f>
        <v>#N/A</v>
      </c>
      <c r="P271" s="3509">
        <f>K290</f>
        <v>0</v>
      </c>
      <c r="Q271" s="3458" t="s">
        <v>68</v>
      </c>
      <c r="R271" s="3551">
        <f>IF(ISERROR(INT(O271*P271)),0,INT(O271*P271))</f>
        <v>0</v>
      </c>
      <c r="S271" s="3552"/>
      <c r="T271" s="2395" t="b">
        <f t="shared" ref="T271:T286" si="34">T$270</f>
        <v>0</v>
      </c>
    </row>
    <row r="272" spans="2:21" ht="13.5" customHeight="1">
      <c r="B272" s="3590"/>
      <c r="C272" s="2614"/>
      <c r="D272" s="2625"/>
      <c r="E272" s="3481"/>
      <c r="F272" s="3482"/>
      <c r="G272" s="3447"/>
      <c r="H272" s="903" t="e">
        <f>HLOOKUP(H271,I271:M272,2,0)</f>
        <v>#N/A</v>
      </c>
      <c r="I272" s="904" t="e">
        <f>VLOOKUP($L$9,熱源方式,4,0)</f>
        <v>#N/A</v>
      </c>
      <c r="J272" s="905" t="e">
        <f>VLOOKUP($L$9,熱源方式,6,0)</f>
        <v>#N/A</v>
      </c>
      <c r="K272" s="2322"/>
      <c r="L272" s="2322"/>
      <c r="M272" s="2322"/>
      <c r="N272" s="3462"/>
      <c r="O272" s="3451"/>
      <c r="P272" s="2907"/>
      <c r="Q272" s="3459"/>
      <c r="R272" s="3553"/>
      <c r="S272" s="3554"/>
      <c r="T272" s="2395" t="b">
        <f t="shared" si="34"/>
        <v>0</v>
      </c>
    </row>
    <row r="273" spans="2:21" ht="13.5" customHeight="1">
      <c r="B273" s="3590"/>
      <c r="C273" s="2614"/>
      <c r="D273" s="2625"/>
      <c r="E273" s="3481"/>
      <c r="F273" s="3482"/>
      <c r="G273" s="3445" t="s">
        <v>209</v>
      </c>
      <c r="H273" s="818"/>
      <c r="I273" s="819" t="e">
        <f>VLOOKUP($L$9,熱源方式,9,0)</f>
        <v>#N/A</v>
      </c>
      <c r="J273" s="820" t="e">
        <f>VLOOKUP($L$9,熱源方式,12,0)</f>
        <v>#N/A</v>
      </c>
      <c r="K273" s="824" t="e">
        <f>VLOOKUP($L$9,熱源方式,15,0)</f>
        <v>#N/A</v>
      </c>
      <c r="L273" s="906" t="s">
        <v>848</v>
      </c>
      <c r="M273" s="907"/>
      <c r="N273" s="3462"/>
      <c r="O273" s="3451"/>
      <c r="P273" s="2907"/>
      <c r="Q273" s="3459"/>
      <c r="R273" s="3553"/>
      <c r="S273" s="3554"/>
      <c r="T273" s="2395" t="b">
        <f t="shared" si="34"/>
        <v>0</v>
      </c>
    </row>
    <row r="274" spans="2:21" ht="13.5" customHeight="1">
      <c r="B274" s="3590"/>
      <c r="C274" s="2614"/>
      <c r="D274" s="2625"/>
      <c r="E274" s="3481"/>
      <c r="F274" s="3482"/>
      <c r="G274" s="3446"/>
      <c r="H274" s="908" t="e">
        <f>HLOOKUP(H273,I273:M275,2,0)</f>
        <v>#N/A</v>
      </c>
      <c r="I274" s="909" t="e">
        <f>VLOOKUP($L$9,熱源方式,10,0)</f>
        <v>#N/A</v>
      </c>
      <c r="J274" s="910" t="e">
        <f>VLOOKUP($L$9,熱源方式,13,0)</f>
        <v>#N/A</v>
      </c>
      <c r="K274" s="829" t="e">
        <f>VLOOKUP($L$9,熱源方式,16,0)</f>
        <v>#N/A</v>
      </c>
      <c r="L274" s="911" t="str">
        <f>IF(I290,M290,"-")</f>
        <v>-</v>
      </c>
      <c r="M274" s="912"/>
      <c r="N274" s="3462"/>
      <c r="O274" s="3451"/>
      <c r="P274" s="2907"/>
      <c r="Q274" s="3459"/>
      <c r="R274" s="3553"/>
      <c r="S274" s="3554"/>
      <c r="T274" s="2395" t="b">
        <f t="shared" si="34"/>
        <v>0</v>
      </c>
    </row>
    <row r="275" spans="2:21" ht="13.5" customHeight="1">
      <c r="B275" s="3590"/>
      <c r="C275" s="2614"/>
      <c r="D275" s="2625"/>
      <c r="E275" s="3481"/>
      <c r="F275" s="3482"/>
      <c r="G275" s="3447"/>
      <c r="H275" s="813" t="e">
        <f>HLOOKUP(H273,I273:M275,3,0)</f>
        <v>#N/A</v>
      </c>
      <c r="I275" s="814" t="e">
        <f>VLOOKUP($L$9,熱源方式,11,0)</f>
        <v>#N/A</v>
      </c>
      <c r="J275" s="822" t="e">
        <f>VLOOKUP($L$9,熱源方式,14,0)</f>
        <v>#N/A</v>
      </c>
      <c r="K275" s="831" t="e">
        <f>VLOOKUP($L$9,熱源方式,17,0)</f>
        <v>#N/A</v>
      </c>
      <c r="L275" s="913" t="str">
        <f>IF(I290,ROUNDDOWN(1+(L274-J274)*IF(L274&gt;J274,(I275-J275)/(I274-J274),(J275-K275)/(J274-K274)),2),"-")</f>
        <v>-</v>
      </c>
      <c r="M275" s="914"/>
      <c r="N275" s="3462"/>
      <c r="O275" s="3451"/>
      <c r="P275" s="2907"/>
      <c r="Q275" s="3459"/>
      <c r="R275" s="3553"/>
      <c r="S275" s="3554"/>
      <c r="T275" s="2395" t="b">
        <f t="shared" si="34"/>
        <v>0</v>
      </c>
    </row>
    <row r="276" spans="2:21" ht="13.5" customHeight="1">
      <c r="B276" s="3590"/>
      <c r="C276" s="2614"/>
      <c r="D276" s="2625"/>
      <c r="E276" s="3481"/>
      <c r="F276" s="3482"/>
      <c r="G276" s="3445" t="s">
        <v>210</v>
      </c>
      <c r="H276" s="818"/>
      <c r="I276" s="819" t="e">
        <f>VLOOKUP($L$9,熱源方式,18,0)</f>
        <v>#N/A</v>
      </c>
      <c r="J276" s="820" t="e">
        <f>VLOOKUP($L$9,熱源方式,21,0)</f>
        <v>#N/A</v>
      </c>
      <c r="K276" s="821" t="s">
        <v>848</v>
      </c>
      <c r="L276" s="1636"/>
      <c r="M276" s="2322"/>
      <c r="N276" s="3462"/>
      <c r="O276" s="3451"/>
      <c r="P276" s="2907"/>
      <c r="Q276" s="3459"/>
      <c r="R276" s="3553"/>
      <c r="S276" s="3554"/>
      <c r="T276" s="2395" t="b">
        <f t="shared" si="34"/>
        <v>0</v>
      </c>
    </row>
    <row r="277" spans="2:21" ht="13.5" customHeight="1">
      <c r="B277" s="3590"/>
      <c r="C277" s="2614"/>
      <c r="D277" s="2625"/>
      <c r="E277" s="3481"/>
      <c r="F277" s="3482"/>
      <c r="G277" s="3446"/>
      <c r="H277" s="855" t="e">
        <f>HLOOKUP(H276,I276:M278,2,0)</f>
        <v>#N/A</v>
      </c>
      <c r="I277" s="856" t="e">
        <f>VLOOKUP($L$9,熱源方式,19,0)</f>
        <v>#N/A</v>
      </c>
      <c r="J277" s="857" t="e">
        <f>VLOOKUP($L$9,熱源方式,22,0)</f>
        <v>#N/A</v>
      </c>
      <c r="K277" s="948" t="str">
        <f>IF(K292,N292,"-")</f>
        <v>-</v>
      </c>
      <c r="L277" s="1637"/>
      <c r="M277" s="2322"/>
      <c r="N277" s="3462"/>
      <c r="O277" s="3451"/>
      <c r="P277" s="2907"/>
      <c r="Q277" s="3459"/>
      <c r="R277" s="3553"/>
      <c r="S277" s="3554"/>
      <c r="T277" s="2395" t="b">
        <f t="shared" si="34"/>
        <v>0</v>
      </c>
    </row>
    <row r="278" spans="2:21" ht="13.5" customHeight="1">
      <c r="B278" s="3590"/>
      <c r="C278" s="2614"/>
      <c r="D278" s="2625"/>
      <c r="E278" s="3481"/>
      <c r="F278" s="3482"/>
      <c r="G278" s="3447"/>
      <c r="H278" s="813" t="e">
        <f>HLOOKUP(H276,I276:M278,3,0)</f>
        <v>#N/A</v>
      </c>
      <c r="I278" s="814" t="e">
        <f>VLOOKUP($L$9,熱源方式,20,0)</f>
        <v>#N/A</v>
      </c>
      <c r="J278" s="822" t="e">
        <f>VLOOKUP($L$9,熱源方式,23,0)</f>
        <v>#N/A</v>
      </c>
      <c r="K278" s="815" t="str">
        <f>IF(K292,MAX(1,ROUNDDOWN(1+(I278-J278)/(I277-J277)*(K277-J277),2)),"-")</f>
        <v>-</v>
      </c>
      <c r="L278" s="817"/>
      <c r="M278" s="2322"/>
      <c r="N278" s="3462"/>
      <c r="O278" s="3451"/>
      <c r="P278" s="2907"/>
      <c r="Q278" s="3459"/>
      <c r="R278" s="3553"/>
      <c r="S278" s="3554"/>
      <c r="T278" s="2395" t="b">
        <f t="shared" si="34"/>
        <v>0</v>
      </c>
    </row>
    <row r="279" spans="2:21" ht="13.5" customHeight="1">
      <c r="B279" s="3590"/>
      <c r="C279" s="2614"/>
      <c r="D279" s="2625"/>
      <c r="E279" s="3481"/>
      <c r="F279" s="3482"/>
      <c r="G279" s="3467" t="s">
        <v>211</v>
      </c>
      <c r="H279" s="818"/>
      <c r="I279" s="819" t="e">
        <f>VLOOKUP($L$9,熱源方式,24,0)</f>
        <v>#N/A</v>
      </c>
      <c r="J279" s="821" t="e">
        <f>VLOOKUP($L$9,熱源方式,26,0)</f>
        <v>#N/A</v>
      </c>
      <c r="K279" s="2322"/>
      <c r="L279" s="2322"/>
      <c r="M279" s="2322"/>
      <c r="N279" s="3462"/>
      <c r="O279" s="3451"/>
      <c r="P279" s="2907"/>
      <c r="Q279" s="3459"/>
      <c r="R279" s="3553"/>
      <c r="S279" s="3554"/>
      <c r="T279" s="2395" t="b">
        <f t="shared" si="34"/>
        <v>0</v>
      </c>
    </row>
    <row r="280" spans="2:21" ht="13.5" customHeight="1">
      <c r="B280" s="3590"/>
      <c r="C280" s="2614"/>
      <c r="D280" s="2625"/>
      <c r="E280" s="3481"/>
      <c r="F280" s="3482"/>
      <c r="G280" s="3468"/>
      <c r="H280" s="813" t="e">
        <f>HLOOKUP(H279,I279:M280,2,0)</f>
        <v>#N/A</v>
      </c>
      <c r="I280" s="814" t="e">
        <f>VLOOKUP($L$9,熱源方式,25,0)</f>
        <v>#N/A</v>
      </c>
      <c r="J280" s="815" t="e">
        <f>VLOOKUP($L$9,熱源方式,27,0)</f>
        <v>#N/A</v>
      </c>
      <c r="K280" s="2322"/>
      <c r="L280" s="2322"/>
      <c r="M280" s="2322"/>
      <c r="N280" s="3462"/>
      <c r="O280" s="3451"/>
      <c r="P280" s="2907"/>
      <c r="Q280" s="3459"/>
      <c r="R280" s="3553"/>
      <c r="S280" s="3554"/>
      <c r="T280" s="2395" t="b">
        <f t="shared" si="34"/>
        <v>0</v>
      </c>
    </row>
    <row r="281" spans="2:21" ht="13.5" customHeight="1">
      <c r="B281" s="3590"/>
      <c r="C281" s="2614"/>
      <c r="D281" s="2625"/>
      <c r="E281" s="3481"/>
      <c r="F281" s="3482"/>
      <c r="G281" s="3467" t="s">
        <v>212</v>
      </c>
      <c r="H281" s="818"/>
      <c r="I281" s="819" t="e">
        <f>VLOOKUP($L$9,熱源方式,30,0)</f>
        <v>#N/A</v>
      </c>
      <c r="J281" s="821" t="e">
        <f>VLOOKUP($L$9,熱源方式,32,0)</f>
        <v>#N/A</v>
      </c>
      <c r="K281" s="2322"/>
      <c r="L281" s="2322"/>
      <c r="M281" s="2322"/>
      <c r="N281" s="3462"/>
      <c r="O281" s="3451"/>
      <c r="P281" s="2907"/>
      <c r="Q281" s="3459"/>
      <c r="R281" s="3553"/>
      <c r="S281" s="3554"/>
      <c r="T281" s="2395" t="b">
        <f t="shared" si="34"/>
        <v>0</v>
      </c>
      <c r="U281" s="3513" t="s">
        <v>1481</v>
      </c>
    </row>
    <row r="282" spans="2:21" ht="13.5" customHeight="1">
      <c r="B282" s="3590"/>
      <c r="C282" s="2614"/>
      <c r="D282" s="2625"/>
      <c r="E282" s="3481"/>
      <c r="F282" s="3482"/>
      <c r="G282" s="3468"/>
      <c r="H282" s="813" t="e">
        <f>HLOOKUP(H281,I281:M282,2,0)</f>
        <v>#N/A</v>
      </c>
      <c r="I282" s="814" t="e">
        <f>VLOOKUP($L$9,熱源方式,31,0)</f>
        <v>#N/A</v>
      </c>
      <c r="J282" s="815" t="e">
        <f>VLOOKUP($L$9,熱源方式,33,0)</f>
        <v>#N/A</v>
      </c>
      <c r="K282" s="2322"/>
      <c r="L282" s="2358"/>
      <c r="M282" s="2322"/>
      <c r="N282" s="3462"/>
      <c r="O282" s="3451"/>
      <c r="P282" s="2907"/>
      <c r="Q282" s="3459"/>
      <c r="R282" s="3553"/>
      <c r="S282" s="3554"/>
      <c r="T282" s="2395" t="b">
        <f t="shared" si="34"/>
        <v>0</v>
      </c>
      <c r="U282" s="3513"/>
    </row>
    <row r="283" spans="2:21" ht="13.5" customHeight="1">
      <c r="B283" s="3590"/>
      <c r="C283" s="2614"/>
      <c r="D283" s="2625"/>
      <c r="E283" s="3481"/>
      <c r="F283" s="3482"/>
      <c r="G283" s="3445" t="s">
        <v>213</v>
      </c>
      <c r="H283" s="818"/>
      <c r="I283" s="819" t="e">
        <f>VLOOKUP($L$9,熱源方式,34,0)</f>
        <v>#N/A</v>
      </c>
      <c r="J283" s="821" t="e">
        <f>VLOOKUP($L$9,熱源方式,36,0)</f>
        <v>#N/A</v>
      </c>
      <c r="K283" s="2322"/>
      <c r="L283" s="2322"/>
      <c r="M283" s="2322"/>
      <c r="N283" s="3462"/>
      <c r="O283" s="3451"/>
      <c r="P283" s="2907"/>
      <c r="Q283" s="3459"/>
      <c r="R283" s="3553"/>
      <c r="S283" s="3554"/>
      <c r="T283" s="2395" t="b">
        <f t="shared" si="34"/>
        <v>0</v>
      </c>
    </row>
    <row r="284" spans="2:21" ht="13.5" customHeight="1">
      <c r="B284" s="3590"/>
      <c r="C284" s="2614"/>
      <c r="D284" s="2625"/>
      <c r="E284" s="3481"/>
      <c r="F284" s="3482"/>
      <c r="G284" s="3447"/>
      <c r="H284" s="813" t="e">
        <f>HLOOKUP(H283,I283:M284,2,0)</f>
        <v>#N/A</v>
      </c>
      <c r="I284" s="814" t="e">
        <f>VLOOKUP($L$9,熱源方式,35,0)</f>
        <v>#N/A</v>
      </c>
      <c r="J284" s="815" t="e">
        <f>VLOOKUP($L$9,熱源方式,37,0)</f>
        <v>#N/A</v>
      </c>
      <c r="K284" s="2322"/>
      <c r="L284" s="2322"/>
      <c r="M284" s="2322"/>
      <c r="N284" s="3462"/>
      <c r="O284" s="3451"/>
      <c r="P284" s="2907"/>
      <c r="Q284" s="3459"/>
      <c r="R284" s="3553"/>
      <c r="S284" s="3554"/>
      <c r="T284" s="2395" t="b">
        <f t="shared" si="34"/>
        <v>0</v>
      </c>
    </row>
    <row r="285" spans="2:21" ht="13.5" customHeight="1">
      <c r="B285" s="3590"/>
      <c r="C285" s="2614"/>
      <c r="D285" s="2625"/>
      <c r="E285" s="3481"/>
      <c r="F285" s="3482"/>
      <c r="G285" s="3467" t="s">
        <v>763</v>
      </c>
      <c r="H285" s="833">
        <f>$P$9</f>
        <v>0</v>
      </c>
      <c r="I285" s="834" t="e">
        <f>VLOOKUP($L$9,熱源方式,38,0)</f>
        <v>#N/A</v>
      </c>
      <c r="J285" s="835" t="e">
        <f>VLOOKUP($L$9,熱源方式,40,0)</f>
        <v>#N/A</v>
      </c>
      <c r="K285" s="835" t="e">
        <f>VLOOKUP($L$9,熱源方式,42,0)</f>
        <v>#N/A</v>
      </c>
      <c r="L285" s="836" t="e">
        <f>VLOOKUP($L$9,熱源方式,44,0)</f>
        <v>#N/A</v>
      </c>
      <c r="M285" s="2322"/>
      <c r="N285" s="3462"/>
      <c r="O285" s="3451"/>
      <c r="P285" s="2907"/>
      <c r="Q285" s="3459"/>
      <c r="R285" s="3553"/>
      <c r="S285" s="3554"/>
      <c r="T285" s="2395" t="b">
        <f t="shared" si="34"/>
        <v>0</v>
      </c>
    </row>
    <row r="286" spans="2:21" ht="13.5" customHeight="1">
      <c r="B286" s="3590"/>
      <c r="C286" s="2614"/>
      <c r="D286" s="2625"/>
      <c r="E286" s="3485"/>
      <c r="F286" s="3249"/>
      <c r="G286" s="3468"/>
      <c r="H286" s="813" t="e">
        <f>MIN(I286,MAX(L286,ROUNDDOWN(IF(H285&lt;J285,J286+(I286-J286)/(I285-J285)*(H285-J285),IF(H285&lt;K285,J286-(J286-K286)/(J285-K285)*(J285-H285),K286-(K286-L286)/(K285-L285)*(K285-H285))),2)))</f>
        <v>#N/A</v>
      </c>
      <c r="I286" s="814" t="e">
        <f>VLOOKUP($L$9,熱源方式,39,0)</f>
        <v>#N/A</v>
      </c>
      <c r="J286" s="822" t="e">
        <f>VLOOKUP($L$9,熱源方式,41,0)</f>
        <v>#N/A</v>
      </c>
      <c r="K286" s="822" t="e">
        <f>VLOOKUP($L$9,熱源方式,43,0)</f>
        <v>#N/A</v>
      </c>
      <c r="L286" s="815" t="e">
        <f>VLOOKUP($L$9,熱源方式,45,0)</f>
        <v>#N/A</v>
      </c>
      <c r="M286" s="2306"/>
      <c r="N286" s="3463"/>
      <c r="O286" s="3452"/>
      <c r="P286" s="2490"/>
      <c r="Q286" s="3460"/>
      <c r="R286" s="3555"/>
      <c r="S286" s="3556"/>
      <c r="T286" s="2395" t="b">
        <f t="shared" si="34"/>
        <v>0</v>
      </c>
    </row>
    <row r="287" spans="2:21" ht="6" customHeight="1">
      <c r="B287" s="3590"/>
      <c r="C287" s="2614"/>
      <c r="D287" s="2625"/>
      <c r="E287" s="2326"/>
      <c r="F287" s="2327"/>
      <c r="G287" s="2327"/>
      <c r="H287" s="2327"/>
      <c r="I287" s="2327"/>
      <c r="J287" s="2327"/>
      <c r="K287" s="2327"/>
      <c r="L287" s="2327"/>
      <c r="M287" s="2327"/>
      <c r="N287" s="2327"/>
      <c r="O287" s="2327"/>
      <c r="P287" s="2327"/>
      <c r="Q287" s="2327"/>
      <c r="R287" s="2327"/>
      <c r="S287" s="2328"/>
      <c r="T287" s="2395" t="b">
        <f>+$I$290&lt;&gt;0</f>
        <v>0</v>
      </c>
    </row>
    <row r="288" spans="2:21" ht="13.5" customHeight="1">
      <c r="B288" s="3590"/>
      <c r="C288" s="2614"/>
      <c r="D288" s="2625"/>
      <c r="E288" s="2322"/>
      <c r="F288" s="2322"/>
      <c r="G288" s="3445" t="s">
        <v>214</v>
      </c>
      <c r="H288" s="3467" t="s">
        <v>215</v>
      </c>
      <c r="I288" s="3486">
        <f>SUM(J288:Q289)</f>
        <v>0</v>
      </c>
      <c r="J288" s="918"/>
      <c r="K288" s="919"/>
      <c r="L288" s="919"/>
      <c r="M288" s="919"/>
      <c r="N288" s="919"/>
      <c r="O288" s="919"/>
      <c r="P288" s="919"/>
      <c r="Q288" s="920"/>
      <c r="R288" s="2322"/>
      <c r="S288" s="2323"/>
      <c r="T288" s="2395" t="b">
        <f>+$T$287</f>
        <v>0</v>
      </c>
    </row>
    <row r="289" spans="1:23" ht="13.5" customHeight="1">
      <c r="B289" s="3590"/>
      <c r="C289" s="2614"/>
      <c r="D289" s="2625"/>
      <c r="E289" s="2322"/>
      <c r="F289" s="2322"/>
      <c r="G289" s="3446"/>
      <c r="H289" s="3468"/>
      <c r="I289" s="3487"/>
      <c r="J289" s="1557"/>
      <c r="K289" s="921"/>
      <c r="L289" s="921"/>
      <c r="M289" s="921"/>
      <c r="N289" s="921"/>
      <c r="O289" s="921"/>
      <c r="P289" s="921"/>
      <c r="Q289" s="922"/>
      <c r="R289" s="2322"/>
      <c r="S289" s="2323"/>
      <c r="T289" s="2395" t="b">
        <f>AND(+$T$287,SUM(J289:Q289)&lt;&gt;0)</f>
        <v>0</v>
      </c>
    </row>
    <row r="290" spans="1:23" ht="13.5" customHeight="1">
      <c r="B290" s="3590"/>
      <c r="C290" s="2614"/>
      <c r="D290" s="2625"/>
      <c r="E290" s="2322"/>
      <c r="F290" s="2322"/>
      <c r="G290" s="3447"/>
      <c r="H290" s="2437" t="s">
        <v>848</v>
      </c>
      <c r="I290" s="1554">
        <f>I288</f>
        <v>0</v>
      </c>
      <c r="J290" s="1555" t="s">
        <v>216</v>
      </c>
      <c r="K290" s="1556">
        <f>床・天井!K91</f>
        <v>0</v>
      </c>
      <c r="L290" s="516" t="s">
        <v>217</v>
      </c>
      <c r="M290" s="925" t="e">
        <f>ROUNDDOWN(I290/K290,2)</f>
        <v>#DIV/0!</v>
      </c>
      <c r="N290" s="2309" t="s">
        <v>218</v>
      </c>
      <c r="O290" s="2322"/>
      <c r="P290" s="2322"/>
      <c r="Q290" s="2322"/>
      <c r="R290" s="2322"/>
      <c r="S290" s="2323"/>
      <c r="T290" s="2395" t="b">
        <f t="shared" ref="T290" si="35">+$T$287</f>
        <v>0</v>
      </c>
    </row>
    <row r="291" spans="1:23" ht="6" customHeight="1">
      <c r="B291" s="3590"/>
      <c r="C291" s="2614"/>
      <c r="D291" s="2625"/>
      <c r="E291" s="2322"/>
      <c r="F291" s="2322"/>
      <c r="G291" s="2322"/>
      <c r="H291" s="2322"/>
      <c r="I291" s="2322"/>
      <c r="J291" s="2322"/>
      <c r="K291" s="2322"/>
      <c r="L291" s="2322"/>
      <c r="M291" s="2322"/>
      <c r="N291" s="2322"/>
      <c r="O291" s="2322"/>
      <c r="P291" s="2322"/>
      <c r="Q291" s="2322"/>
      <c r="R291" s="2322"/>
      <c r="S291" s="2323"/>
      <c r="T291" s="2395" t="b">
        <f>+$K$292&lt;&gt;0</f>
        <v>0</v>
      </c>
    </row>
    <row r="292" spans="1:23" ht="13.5" customHeight="1">
      <c r="B292" s="3590"/>
      <c r="C292" s="2614"/>
      <c r="D292" s="2625"/>
      <c r="E292" s="2322"/>
      <c r="F292" s="2322"/>
      <c r="G292" s="2438" t="s">
        <v>219</v>
      </c>
      <c r="H292" s="2335" t="s">
        <v>848</v>
      </c>
      <c r="I292" s="926">
        <f>床・天井!K91</f>
        <v>0</v>
      </c>
      <c r="J292" s="539" t="s">
        <v>220</v>
      </c>
      <c r="K292" s="2330"/>
      <c r="L292" s="540" t="s">
        <v>221</v>
      </c>
      <c r="M292" s="540"/>
      <c r="N292" s="927" t="e">
        <f>ROUNDDOWN(I292/K292,2)</f>
        <v>#DIV/0!</v>
      </c>
      <c r="O292" s="928" t="s">
        <v>222</v>
      </c>
      <c r="P292" s="2322"/>
      <c r="Q292" s="2322"/>
      <c r="R292" s="2322"/>
      <c r="S292" s="2323"/>
      <c r="T292" s="2395" t="b">
        <f>+$T$291</f>
        <v>0</v>
      </c>
      <c r="U292" s="2322"/>
      <c r="V292" s="510"/>
      <c r="W292" s="25"/>
    </row>
    <row r="293" spans="1:23" ht="6" customHeight="1">
      <c r="B293" s="3590"/>
      <c r="C293" s="2614"/>
      <c r="D293" s="3607"/>
      <c r="E293" s="2306"/>
      <c r="F293" s="2306"/>
      <c r="G293" s="2306"/>
      <c r="H293" s="2306"/>
      <c r="I293" s="2306"/>
      <c r="J293" s="2306"/>
      <c r="K293" s="2306"/>
      <c r="L293" s="2306"/>
      <c r="M293" s="2306"/>
      <c r="N293" s="2306"/>
      <c r="O293" s="2306"/>
      <c r="P293" s="2306"/>
      <c r="Q293" s="2306"/>
      <c r="R293" s="2306"/>
      <c r="S293" s="2325"/>
      <c r="T293" s="2395" t="b">
        <f>OR($T$291,$T$287)</f>
        <v>0</v>
      </c>
    </row>
    <row r="294" spans="1:23" s="2100" customFormat="1" ht="25.5" customHeight="1">
      <c r="B294" s="3590"/>
      <c r="C294" s="2614"/>
      <c r="D294" s="871"/>
      <c r="E294" s="3483" t="s">
        <v>2309</v>
      </c>
      <c r="F294" s="3484"/>
      <c r="G294" s="1502" t="s">
        <v>150</v>
      </c>
      <c r="H294" s="2356"/>
      <c r="I294" s="2356"/>
      <c r="J294" s="2356"/>
      <c r="K294" s="2356"/>
      <c r="L294" s="2356"/>
      <c r="M294" s="2357"/>
      <c r="N294" s="2335" t="s">
        <v>524</v>
      </c>
      <c r="O294" s="2335" t="s">
        <v>151</v>
      </c>
      <c r="P294" s="2393" t="s">
        <v>152</v>
      </c>
      <c r="Q294" s="2394" t="s">
        <v>206</v>
      </c>
      <c r="R294" s="3448" t="s">
        <v>791</v>
      </c>
      <c r="S294" s="3448"/>
      <c r="T294" s="2395" t="b">
        <f>COUNTA(H295,H298,H300,J303:R304)&lt;&gt;0</f>
        <v>0</v>
      </c>
      <c r="U294" s="2358"/>
    </row>
    <row r="295" spans="1:23" s="2100" customFormat="1" ht="13.5" customHeight="1">
      <c r="A295" s="2100">
        <f>ROW()</f>
        <v>295</v>
      </c>
      <c r="B295" s="3590"/>
      <c r="C295" s="2614"/>
      <c r="D295" s="3612" t="s">
        <v>223</v>
      </c>
      <c r="E295" s="3481" t="e">
        <f>VLOOKUP($L$9,個別,2,0)</f>
        <v>#N/A</v>
      </c>
      <c r="F295" s="3482"/>
      <c r="G295" s="3445" t="s">
        <v>209</v>
      </c>
      <c r="H295" s="818"/>
      <c r="I295" s="819" t="e">
        <f>VLOOKUP($L$9,個別,3,0)</f>
        <v>#N/A</v>
      </c>
      <c r="J295" s="820" t="e">
        <f>VLOOKUP($L$9,個別,6,0)</f>
        <v>#N/A</v>
      </c>
      <c r="K295" s="824" t="e">
        <f>VLOOKUP($L$9,個別,9,0)</f>
        <v>#N/A</v>
      </c>
      <c r="L295" s="929" t="s">
        <v>848</v>
      </c>
      <c r="M295" s="930"/>
      <c r="N295" s="3462" t="e">
        <f>ROUNDDOWN(H297*H299*H301,2)</f>
        <v>#N/A</v>
      </c>
      <c r="O295" s="3451" t="e">
        <f>INT(E295*N295)</f>
        <v>#N/A</v>
      </c>
      <c r="P295" s="2907">
        <f>K305</f>
        <v>0</v>
      </c>
      <c r="Q295" s="3459" t="s">
        <v>68</v>
      </c>
      <c r="R295" s="3551">
        <f>IF(ISERROR(INT(O295*P295)),0,INT(O295*P295))</f>
        <v>0</v>
      </c>
      <c r="S295" s="3552"/>
      <c r="T295" s="2395" t="b">
        <f>T$294</f>
        <v>0</v>
      </c>
      <c r="U295" s="2358" t="s">
        <v>2389</v>
      </c>
    </row>
    <row r="296" spans="1:23" s="2100" customFormat="1" ht="13.5" customHeight="1">
      <c r="B296" s="3590"/>
      <c r="C296" s="2614"/>
      <c r="D296" s="3612"/>
      <c r="E296" s="3481"/>
      <c r="F296" s="3482"/>
      <c r="G296" s="3446"/>
      <c r="H296" s="826" t="e">
        <f>HLOOKUP(H295,I295:M297,2,0)</f>
        <v>#N/A</v>
      </c>
      <c r="I296" s="827" t="e">
        <f>VLOOKUP($L$9,個別,4,0)</f>
        <v>#N/A</v>
      </c>
      <c r="J296" s="828" t="e">
        <f>VLOOKUP($L$9,個別,7,0)</f>
        <v>#N/A</v>
      </c>
      <c r="K296" s="829" t="e">
        <f>VLOOKUP($L$9,個別,10,0)</f>
        <v>#N/A</v>
      </c>
      <c r="L296" s="931" t="str">
        <f>IF(I305,M305,"-")</f>
        <v>-</v>
      </c>
      <c r="M296" s="932"/>
      <c r="N296" s="3462"/>
      <c r="O296" s="3451"/>
      <c r="P296" s="2907"/>
      <c r="Q296" s="3459"/>
      <c r="R296" s="3553"/>
      <c r="S296" s="3554"/>
      <c r="T296" s="2395" t="b">
        <f t="shared" ref="T296:T301" si="36">T$294</f>
        <v>0</v>
      </c>
      <c r="U296" s="2358" t="s">
        <v>2390</v>
      </c>
    </row>
    <row r="297" spans="1:23" s="2100" customFormat="1" ht="13.5" customHeight="1">
      <c r="B297" s="3590"/>
      <c r="C297" s="2614"/>
      <c r="D297" s="3612"/>
      <c r="E297" s="3481"/>
      <c r="F297" s="3482"/>
      <c r="G297" s="3447"/>
      <c r="H297" s="813" t="e">
        <f>HLOOKUP(H295,I295:M297,3,0)</f>
        <v>#N/A</v>
      </c>
      <c r="I297" s="814" t="e">
        <f>VLOOKUP($L$9,個別,5,0)</f>
        <v>#N/A</v>
      </c>
      <c r="J297" s="822" t="e">
        <f>VLOOKUP($L$9,個別,8,0)</f>
        <v>#N/A</v>
      </c>
      <c r="K297" s="831" t="e">
        <f>VLOOKUP($L$9,個別,11,0)</f>
        <v>#N/A</v>
      </c>
      <c r="L297" s="933" t="str">
        <f>IF(I305&lt;&gt;0,ROUNDDOWN(1+(L296-J296)*IF(L296&gt;J296,(I297-J297)/(I296-J296),(J297-K297)/(J296-K296)),2),"-")</f>
        <v>-</v>
      </c>
      <c r="M297" s="934"/>
      <c r="N297" s="3462"/>
      <c r="O297" s="3451"/>
      <c r="P297" s="2907"/>
      <c r="Q297" s="3459"/>
      <c r="R297" s="3553"/>
      <c r="S297" s="3554"/>
      <c r="T297" s="2395" t="b">
        <f t="shared" si="36"/>
        <v>0</v>
      </c>
      <c r="U297" s="2358" t="s">
        <v>2391</v>
      </c>
    </row>
    <row r="298" spans="1:23" s="2100" customFormat="1" ht="13.5" customHeight="1">
      <c r="B298" s="3590"/>
      <c r="C298" s="2614"/>
      <c r="D298" s="3612"/>
      <c r="E298" s="3481"/>
      <c r="F298" s="3482"/>
      <c r="G298" s="3448" t="s">
        <v>212</v>
      </c>
      <c r="H298" s="818"/>
      <c r="I298" s="819" t="e">
        <f>VLOOKUP($L$9,個別,12,0)</f>
        <v>#N/A</v>
      </c>
      <c r="J298" s="821" t="e">
        <f>VLOOKUP($L$9,個別,14,0)</f>
        <v>#N/A</v>
      </c>
      <c r="K298" s="2322"/>
      <c r="L298" s="2322"/>
      <c r="M298" s="2322"/>
      <c r="N298" s="3462"/>
      <c r="O298" s="3451"/>
      <c r="P298" s="2907"/>
      <c r="Q298" s="3459"/>
      <c r="R298" s="3553"/>
      <c r="S298" s="3554"/>
      <c r="T298" s="2395" t="b">
        <f t="shared" si="36"/>
        <v>0</v>
      </c>
      <c r="U298" s="2358"/>
    </row>
    <row r="299" spans="1:23" s="2100" customFormat="1" ht="13.5" customHeight="1">
      <c r="B299" s="3590"/>
      <c r="C299" s="2614"/>
      <c r="D299" s="3612"/>
      <c r="E299" s="3481"/>
      <c r="F299" s="3482"/>
      <c r="G299" s="3448"/>
      <c r="H299" s="813" t="e">
        <f>HLOOKUP(H298,I298:M299,2,0)</f>
        <v>#N/A</v>
      </c>
      <c r="I299" s="814" t="e">
        <f>VLOOKUP($L$9,個別,13,0)</f>
        <v>#N/A</v>
      </c>
      <c r="J299" s="815" t="e">
        <f>VLOOKUP($L$9,個別,15,0)</f>
        <v>#N/A</v>
      </c>
      <c r="K299" s="2322"/>
      <c r="L299" s="2322"/>
      <c r="M299" s="2322"/>
      <c r="N299" s="3462"/>
      <c r="O299" s="3451"/>
      <c r="P299" s="2907"/>
      <c r="Q299" s="3459"/>
      <c r="R299" s="3553"/>
      <c r="S299" s="3554"/>
      <c r="T299" s="2395" t="b">
        <f t="shared" si="36"/>
        <v>0</v>
      </c>
      <c r="U299" s="2358"/>
    </row>
    <row r="300" spans="1:23" s="2100" customFormat="1" ht="13.5" customHeight="1">
      <c r="B300" s="3590"/>
      <c r="C300" s="2614"/>
      <c r="D300" s="3612"/>
      <c r="E300" s="3481"/>
      <c r="F300" s="3482"/>
      <c r="G300" s="3449" t="s">
        <v>224</v>
      </c>
      <c r="H300" s="818"/>
      <c r="I300" s="819" t="e">
        <f>VLOOKUP($L$9,個別,18,0)</f>
        <v>#N/A</v>
      </c>
      <c r="J300" s="820" t="e">
        <f>VLOOKUP($L$9,個別,20,0)</f>
        <v>#N/A</v>
      </c>
      <c r="K300" s="821" t="e">
        <f>VLOOKUP($L$9,個別,22,0)</f>
        <v>#N/A</v>
      </c>
      <c r="L300" s="2322"/>
      <c r="M300" s="2322"/>
      <c r="N300" s="3462"/>
      <c r="O300" s="3451"/>
      <c r="P300" s="2907"/>
      <c r="Q300" s="3459"/>
      <c r="R300" s="3553"/>
      <c r="S300" s="3554"/>
      <c r="T300" s="2395" t="b">
        <f t="shared" si="36"/>
        <v>0</v>
      </c>
      <c r="U300" s="3513" t="s">
        <v>1481</v>
      </c>
    </row>
    <row r="301" spans="1:23" s="2100" customFormat="1" ht="13.5" customHeight="1">
      <c r="B301" s="3590"/>
      <c r="C301" s="2614"/>
      <c r="D301" s="3612"/>
      <c r="E301" s="3481"/>
      <c r="F301" s="3482"/>
      <c r="G301" s="3448"/>
      <c r="H301" s="813" t="e">
        <f>HLOOKUP(H300,I300:M301,2,0)</f>
        <v>#N/A</v>
      </c>
      <c r="I301" s="814" t="e">
        <f>VLOOKUP($L$9,個別,19,0)</f>
        <v>#N/A</v>
      </c>
      <c r="J301" s="822" t="e">
        <f>VLOOKUP($L$9,個別,21,0)</f>
        <v>#N/A</v>
      </c>
      <c r="K301" s="815" t="e">
        <f>VLOOKUP($L$9,個別,23,0)</f>
        <v>#N/A</v>
      </c>
      <c r="L301" s="2322"/>
      <c r="M301" s="2322"/>
      <c r="N301" s="3462"/>
      <c r="O301" s="3451"/>
      <c r="P301" s="2907"/>
      <c r="Q301" s="3459"/>
      <c r="R301" s="3553"/>
      <c r="S301" s="3554"/>
      <c r="T301" s="2395" t="b">
        <f t="shared" si="36"/>
        <v>0</v>
      </c>
      <c r="U301" s="3513"/>
    </row>
    <row r="302" spans="1:23" s="2100" customFormat="1" ht="6" customHeight="1">
      <c r="B302" s="3590"/>
      <c r="C302" s="2614"/>
      <c r="D302" s="3612"/>
      <c r="E302" s="2326"/>
      <c r="F302" s="2327"/>
      <c r="G302" s="2327"/>
      <c r="H302" s="2327"/>
      <c r="I302" s="2327"/>
      <c r="J302" s="2327"/>
      <c r="K302" s="2327"/>
      <c r="L302" s="2327"/>
      <c r="M302" s="2327"/>
      <c r="N302" s="2327"/>
      <c r="O302" s="2327"/>
      <c r="P302" s="2327"/>
      <c r="Q302" s="2327"/>
      <c r="R302" s="2327"/>
      <c r="S302" s="2328"/>
      <c r="T302" s="2395" t="b">
        <f>+I305&lt;&gt;0</f>
        <v>0</v>
      </c>
      <c r="U302" s="2358"/>
    </row>
    <row r="303" spans="1:23" s="2100" customFormat="1" ht="13.5" customHeight="1">
      <c r="B303" s="3590"/>
      <c r="C303" s="2614"/>
      <c r="D303" s="3612"/>
      <c r="E303" s="2322"/>
      <c r="F303" s="2322"/>
      <c r="G303" s="3445" t="s">
        <v>214</v>
      </c>
      <c r="H303" s="3467" t="s">
        <v>215</v>
      </c>
      <c r="I303" s="3486">
        <f>SUM(J303:Q304)</f>
        <v>0</v>
      </c>
      <c r="J303" s="918"/>
      <c r="K303" s="919"/>
      <c r="L303" s="919"/>
      <c r="M303" s="919"/>
      <c r="N303" s="919"/>
      <c r="O303" s="919"/>
      <c r="P303" s="919"/>
      <c r="Q303" s="920"/>
      <c r="R303" s="2322"/>
      <c r="S303" s="2323"/>
      <c r="T303" s="2395" t="b">
        <f>+$T$302</f>
        <v>0</v>
      </c>
      <c r="U303" s="2358"/>
    </row>
    <row r="304" spans="1:23" s="2100" customFormat="1" ht="13.5" customHeight="1">
      <c r="B304" s="3590"/>
      <c r="C304" s="2614"/>
      <c r="D304" s="3612"/>
      <c r="E304" s="2322"/>
      <c r="F304" s="2322"/>
      <c r="G304" s="3446"/>
      <c r="H304" s="3468"/>
      <c r="I304" s="3487"/>
      <c r="J304" s="1557"/>
      <c r="K304" s="921"/>
      <c r="L304" s="921"/>
      <c r="M304" s="921"/>
      <c r="N304" s="921"/>
      <c r="O304" s="921"/>
      <c r="P304" s="921"/>
      <c r="Q304" s="922"/>
      <c r="R304" s="2322"/>
      <c r="S304" s="2323"/>
      <c r="T304" s="2395" t="b">
        <f>AND(+$T$302,SUM(J304:Q304)&gt;0)</f>
        <v>0</v>
      </c>
      <c r="U304" s="2358"/>
    </row>
    <row r="305" spans="1:21" s="2100" customFormat="1" ht="13.5" customHeight="1">
      <c r="B305" s="3590"/>
      <c r="C305" s="2614"/>
      <c r="D305" s="3612"/>
      <c r="E305" s="2322"/>
      <c r="F305" s="2322"/>
      <c r="G305" s="3447"/>
      <c r="H305" s="2437" t="s">
        <v>848</v>
      </c>
      <c r="I305" s="1554">
        <f>I303</f>
        <v>0</v>
      </c>
      <c r="J305" s="1555" t="s">
        <v>216</v>
      </c>
      <c r="K305" s="1556">
        <f>床・天井!K91</f>
        <v>0</v>
      </c>
      <c r="L305" s="501" t="s">
        <v>217</v>
      </c>
      <c r="M305" s="925" t="e">
        <f>ROUNDDOWN(I305/K305,2)</f>
        <v>#DIV/0!</v>
      </c>
      <c r="N305" s="2309" t="s">
        <v>218</v>
      </c>
      <c r="O305" s="2322"/>
      <c r="P305" s="2322"/>
      <c r="Q305" s="2322"/>
      <c r="R305" s="2322"/>
      <c r="S305" s="2323"/>
      <c r="T305" s="2395" t="b">
        <f>+$T$302</f>
        <v>0</v>
      </c>
      <c r="U305" s="2358"/>
    </row>
    <row r="306" spans="1:21" s="2100" customFormat="1" ht="6" customHeight="1">
      <c r="B306" s="3590"/>
      <c r="C306" s="2614"/>
      <c r="D306" s="3613"/>
      <c r="E306" s="2306"/>
      <c r="F306" s="2306"/>
      <c r="G306" s="2306"/>
      <c r="H306" s="2306"/>
      <c r="I306" s="2306"/>
      <c r="J306" s="2306"/>
      <c r="K306" s="2306"/>
      <c r="L306" s="2306"/>
      <c r="M306" s="2306"/>
      <c r="N306" s="2306"/>
      <c r="O306" s="2306"/>
      <c r="P306" s="2306"/>
      <c r="Q306" s="2306"/>
      <c r="R306" s="2306"/>
      <c r="S306" s="2325"/>
      <c r="T306" s="2395" t="b">
        <f>+$T$302</f>
        <v>0</v>
      </c>
      <c r="U306" s="2358"/>
    </row>
    <row r="307" spans="1:21" ht="25.5" customHeight="1">
      <c r="B307" s="3590"/>
      <c r="C307" s="2614"/>
      <c r="D307" s="871"/>
      <c r="E307" s="3483" t="s">
        <v>2310</v>
      </c>
      <c r="F307" s="3484"/>
      <c r="G307" s="1502" t="s">
        <v>150</v>
      </c>
      <c r="H307" s="2356"/>
      <c r="I307" s="2356"/>
      <c r="J307" s="2356"/>
      <c r="K307" s="2356"/>
      <c r="L307" s="2356"/>
      <c r="M307" s="2357"/>
      <c r="N307" s="2335" t="s">
        <v>524</v>
      </c>
      <c r="O307" s="2335" t="s">
        <v>151</v>
      </c>
      <c r="P307" s="2393" t="s">
        <v>152</v>
      </c>
      <c r="Q307" s="2394" t="s">
        <v>206</v>
      </c>
      <c r="R307" s="3448" t="s">
        <v>791</v>
      </c>
      <c r="S307" s="3448"/>
      <c r="T307" s="2395" t="b">
        <f>COUNTA(H308,H311,H313,J316:R317)&lt;&gt;0</f>
        <v>0</v>
      </c>
    </row>
    <row r="308" spans="1:21" ht="13.5" customHeight="1">
      <c r="A308">
        <f>ROW()</f>
        <v>308</v>
      </c>
      <c r="B308" s="3590"/>
      <c r="C308" s="2614"/>
      <c r="D308" s="3612" t="s">
        <v>223</v>
      </c>
      <c r="E308" s="3481" t="e">
        <f>VLOOKUP($L$9,個別,2,0)</f>
        <v>#N/A</v>
      </c>
      <c r="F308" s="3482"/>
      <c r="G308" s="3445" t="s">
        <v>209</v>
      </c>
      <c r="H308" s="818"/>
      <c r="I308" s="819" t="e">
        <f>VLOOKUP($L$9,個別,3,0)</f>
        <v>#N/A</v>
      </c>
      <c r="J308" s="820" t="e">
        <f>VLOOKUP($L$9,個別,6,0)</f>
        <v>#N/A</v>
      </c>
      <c r="K308" s="824" t="e">
        <f>VLOOKUP($L$9,個別,9,0)</f>
        <v>#N/A</v>
      </c>
      <c r="L308" s="929" t="s">
        <v>848</v>
      </c>
      <c r="M308" s="930"/>
      <c r="N308" s="3462" t="e">
        <f>ROUNDDOWN(H310*H312*H314,2)</f>
        <v>#N/A</v>
      </c>
      <c r="O308" s="3451" t="e">
        <f>INT(E308*N308)</f>
        <v>#N/A</v>
      </c>
      <c r="P308" s="2907">
        <f>K318</f>
        <v>0</v>
      </c>
      <c r="Q308" s="3459" t="s">
        <v>68</v>
      </c>
      <c r="R308" s="3551">
        <f>IF(ISERROR(INT(O308*P308)),0,INT(O308*P308))</f>
        <v>0</v>
      </c>
      <c r="S308" s="3552"/>
      <c r="T308" s="2395" t="b">
        <f t="shared" ref="T308:T314" si="37">T$307</f>
        <v>0</v>
      </c>
      <c r="U308" s="2358" t="s">
        <v>2389</v>
      </c>
    </row>
    <row r="309" spans="1:21" ht="13.5" customHeight="1">
      <c r="B309" s="3590"/>
      <c r="C309" s="2614"/>
      <c r="D309" s="3612"/>
      <c r="E309" s="3481"/>
      <c r="F309" s="3482"/>
      <c r="G309" s="3446"/>
      <c r="H309" s="826" t="e">
        <f>HLOOKUP(H308,I308:M310,2,0)</f>
        <v>#N/A</v>
      </c>
      <c r="I309" s="827" t="e">
        <f>VLOOKUP($L$9,個別,4,0)</f>
        <v>#N/A</v>
      </c>
      <c r="J309" s="828" t="e">
        <f>VLOOKUP($L$9,個別,7,0)</f>
        <v>#N/A</v>
      </c>
      <c r="K309" s="829" t="e">
        <f>VLOOKUP($L$9,個別,10,0)</f>
        <v>#N/A</v>
      </c>
      <c r="L309" s="931" t="str">
        <f>IF(I318,M318,"-")</f>
        <v>-</v>
      </c>
      <c r="M309" s="932"/>
      <c r="N309" s="3462"/>
      <c r="O309" s="3451"/>
      <c r="P309" s="2907"/>
      <c r="Q309" s="3459"/>
      <c r="R309" s="3553"/>
      <c r="S309" s="3554"/>
      <c r="T309" s="2395" t="b">
        <f t="shared" si="37"/>
        <v>0</v>
      </c>
      <c r="U309" s="2358" t="s">
        <v>2392</v>
      </c>
    </row>
    <row r="310" spans="1:21" ht="13.5" customHeight="1">
      <c r="B310" s="3590"/>
      <c r="C310" s="2614"/>
      <c r="D310" s="3612"/>
      <c r="E310" s="3481"/>
      <c r="F310" s="3482"/>
      <c r="G310" s="3447"/>
      <c r="H310" s="813" t="e">
        <f>HLOOKUP(H308,I308:M310,3,0)</f>
        <v>#N/A</v>
      </c>
      <c r="I310" s="814" t="e">
        <f>VLOOKUP($L$9,個別,5,0)</f>
        <v>#N/A</v>
      </c>
      <c r="J310" s="822" t="e">
        <f>VLOOKUP($L$9,個別,8,0)</f>
        <v>#N/A</v>
      </c>
      <c r="K310" s="831" t="e">
        <f>VLOOKUP($L$9,個別,11,0)</f>
        <v>#N/A</v>
      </c>
      <c r="L310" s="933" t="str">
        <f>IF(I318&lt;&gt;0,ROUNDDOWN(1+(L309-J309)*IF(L309&gt;J309,(I310-J310)/(I309-J309),(J310-K310)/(J309-K309)),2),"-")</f>
        <v>-</v>
      </c>
      <c r="M310" s="934"/>
      <c r="N310" s="3462"/>
      <c r="O310" s="3451"/>
      <c r="P310" s="2907"/>
      <c r="Q310" s="3459"/>
      <c r="R310" s="3553"/>
      <c r="S310" s="3554"/>
      <c r="T310" s="2395" t="b">
        <f t="shared" si="37"/>
        <v>0</v>
      </c>
      <c r="U310" s="2358" t="s">
        <v>2393</v>
      </c>
    </row>
    <row r="311" spans="1:21" ht="13.5" customHeight="1">
      <c r="B311" s="3590"/>
      <c r="C311" s="2614"/>
      <c r="D311" s="3612"/>
      <c r="E311" s="3481"/>
      <c r="F311" s="3482"/>
      <c r="G311" s="3448" t="s">
        <v>212</v>
      </c>
      <c r="H311" s="818"/>
      <c r="I311" s="819" t="e">
        <f>VLOOKUP($L$9,個別,12,0)</f>
        <v>#N/A</v>
      </c>
      <c r="J311" s="821" t="e">
        <f>VLOOKUP($L$9,個別,14,0)</f>
        <v>#N/A</v>
      </c>
      <c r="K311" s="2322"/>
      <c r="L311" s="2322"/>
      <c r="M311" s="2322"/>
      <c r="N311" s="3462"/>
      <c r="O311" s="3451"/>
      <c r="P311" s="2907"/>
      <c r="Q311" s="3459"/>
      <c r="R311" s="3553"/>
      <c r="S311" s="3554"/>
      <c r="T311" s="2395" t="b">
        <f t="shared" si="37"/>
        <v>0</v>
      </c>
    </row>
    <row r="312" spans="1:21" ht="13.5" customHeight="1">
      <c r="B312" s="3590"/>
      <c r="C312" s="2614"/>
      <c r="D312" s="3612"/>
      <c r="E312" s="3481"/>
      <c r="F312" s="3482"/>
      <c r="G312" s="3448"/>
      <c r="H312" s="813" t="e">
        <f>HLOOKUP(H311,I311:M312,2,0)</f>
        <v>#N/A</v>
      </c>
      <c r="I312" s="814" t="e">
        <f>VLOOKUP($L$9,個別,13,0)</f>
        <v>#N/A</v>
      </c>
      <c r="J312" s="815" t="e">
        <f>VLOOKUP($L$9,個別,15,0)</f>
        <v>#N/A</v>
      </c>
      <c r="K312" s="2322"/>
      <c r="L312" s="2322"/>
      <c r="M312" s="2322"/>
      <c r="N312" s="3462"/>
      <c r="O312" s="3451"/>
      <c r="P312" s="2907"/>
      <c r="Q312" s="3459"/>
      <c r="R312" s="3553"/>
      <c r="S312" s="3554"/>
      <c r="T312" s="2395" t="b">
        <f t="shared" si="37"/>
        <v>0</v>
      </c>
    </row>
    <row r="313" spans="1:21" ht="13.5" customHeight="1">
      <c r="B313" s="3590"/>
      <c r="C313" s="2614"/>
      <c r="D313" s="3612"/>
      <c r="E313" s="3481"/>
      <c r="F313" s="3482"/>
      <c r="G313" s="3449" t="s">
        <v>224</v>
      </c>
      <c r="H313" s="818"/>
      <c r="I313" s="819" t="e">
        <f>VLOOKUP($L$9,個別,18,0)</f>
        <v>#N/A</v>
      </c>
      <c r="J313" s="820" t="e">
        <f>VLOOKUP($L$9,個別,20,0)</f>
        <v>#N/A</v>
      </c>
      <c r="K313" s="821" t="e">
        <f>VLOOKUP($L$9,個別,22,0)</f>
        <v>#N/A</v>
      </c>
      <c r="L313" s="2322"/>
      <c r="M313" s="2322"/>
      <c r="N313" s="3462"/>
      <c r="O313" s="3451"/>
      <c r="P313" s="2907"/>
      <c r="Q313" s="3459"/>
      <c r="R313" s="3553"/>
      <c r="S313" s="3554"/>
      <c r="T313" s="2395" t="b">
        <f t="shared" si="37"/>
        <v>0</v>
      </c>
      <c r="U313" s="3513" t="s">
        <v>1481</v>
      </c>
    </row>
    <row r="314" spans="1:21" ht="13.5" customHeight="1">
      <c r="B314" s="3590"/>
      <c r="C314" s="2614"/>
      <c r="D314" s="3612"/>
      <c r="E314" s="3481"/>
      <c r="F314" s="3482"/>
      <c r="G314" s="3448"/>
      <c r="H314" s="813" t="e">
        <f>HLOOKUP(H313,I313:M314,2,0)</f>
        <v>#N/A</v>
      </c>
      <c r="I314" s="814" t="e">
        <f>VLOOKUP($L$9,個別,19,0)</f>
        <v>#N/A</v>
      </c>
      <c r="J314" s="822" t="e">
        <f>VLOOKUP($L$9,個別,21,0)</f>
        <v>#N/A</v>
      </c>
      <c r="K314" s="815" t="e">
        <f>VLOOKUP($L$9,個別,23,0)</f>
        <v>#N/A</v>
      </c>
      <c r="L314" s="2322"/>
      <c r="M314" s="2322"/>
      <c r="N314" s="3462"/>
      <c r="O314" s="3451"/>
      <c r="P314" s="2907"/>
      <c r="Q314" s="3459"/>
      <c r="R314" s="3553"/>
      <c r="S314" s="3554"/>
      <c r="T314" s="2395" t="b">
        <f t="shared" si="37"/>
        <v>0</v>
      </c>
      <c r="U314" s="3513"/>
    </row>
    <row r="315" spans="1:21" ht="6" customHeight="1">
      <c r="B315" s="3590"/>
      <c r="C315" s="2614"/>
      <c r="D315" s="3612"/>
      <c r="E315" s="2326"/>
      <c r="F315" s="2327"/>
      <c r="G315" s="2327"/>
      <c r="H315" s="2327"/>
      <c r="I315" s="2327"/>
      <c r="J315" s="2327"/>
      <c r="K315" s="2327"/>
      <c r="L315" s="2327"/>
      <c r="M315" s="2327"/>
      <c r="N315" s="2327"/>
      <c r="O315" s="2327"/>
      <c r="P315" s="2327"/>
      <c r="Q315" s="2327"/>
      <c r="R315" s="2327"/>
      <c r="S315" s="2328"/>
      <c r="T315" s="2395" t="b">
        <f>+I318&lt;&gt;0</f>
        <v>0</v>
      </c>
    </row>
    <row r="316" spans="1:21" ht="13.5" customHeight="1">
      <c r="B316" s="3590"/>
      <c r="C316" s="2614"/>
      <c r="D316" s="3612"/>
      <c r="E316" s="2322"/>
      <c r="F316" s="2322"/>
      <c r="G316" s="3445" t="s">
        <v>214</v>
      </c>
      <c r="H316" s="3467" t="s">
        <v>215</v>
      </c>
      <c r="I316" s="3486">
        <f>SUM(J316:Q317)</f>
        <v>0</v>
      </c>
      <c r="J316" s="918"/>
      <c r="K316" s="919"/>
      <c r="L316" s="919"/>
      <c r="M316" s="919"/>
      <c r="N316" s="919"/>
      <c r="O316" s="919"/>
      <c r="P316" s="919"/>
      <c r="Q316" s="920"/>
      <c r="R316" s="2322"/>
      <c r="S316" s="2323"/>
      <c r="T316" s="2395" t="b">
        <f>+$T$315</f>
        <v>0</v>
      </c>
    </row>
    <row r="317" spans="1:21" ht="13.5" customHeight="1">
      <c r="B317" s="3590"/>
      <c r="C317" s="2614"/>
      <c r="D317" s="3612"/>
      <c r="E317" s="2322"/>
      <c r="F317" s="2322"/>
      <c r="G317" s="3446"/>
      <c r="H317" s="3468"/>
      <c r="I317" s="3487"/>
      <c r="J317" s="1557"/>
      <c r="K317" s="921"/>
      <c r="L317" s="921"/>
      <c r="M317" s="921"/>
      <c r="N317" s="921"/>
      <c r="O317" s="921"/>
      <c r="P317" s="921"/>
      <c r="Q317" s="922"/>
      <c r="R317" s="2322"/>
      <c r="S317" s="2323"/>
      <c r="T317" s="2395" t="b">
        <f>AND(+$T$315,SUM(J317:Q317)&gt;0)</f>
        <v>0</v>
      </c>
    </row>
    <row r="318" spans="1:21" ht="13.5" customHeight="1">
      <c r="B318" s="3590"/>
      <c r="C318" s="2614"/>
      <c r="D318" s="3612"/>
      <c r="E318" s="2322"/>
      <c r="F318" s="2322"/>
      <c r="G318" s="3447"/>
      <c r="H318" s="2437" t="s">
        <v>848</v>
      </c>
      <c r="I318" s="1554">
        <f>I316</f>
        <v>0</v>
      </c>
      <c r="J318" s="1555" t="s">
        <v>216</v>
      </c>
      <c r="K318" s="1556">
        <f>床・天井!L91</f>
        <v>0</v>
      </c>
      <c r="L318" s="501" t="s">
        <v>217</v>
      </c>
      <c r="M318" s="925" t="e">
        <f>ROUNDDOWN(I318/K318,2)</f>
        <v>#DIV/0!</v>
      </c>
      <c r="N318" s="2309" t="s">
        <v>218</v>
      </c>
      <c r="O318" s="2322"/>
      <c r="P318" s="2322"/>
      <c r="Q318" s="2322"/>
      <c r="R318" s="2322"/>
      <c r="S318" s="2323"/>
      <c r="T318" s="2395" t="b">
        <f t="shared" ref="T318:T319" si="38">+$T$315</f>
        <v>0</v>
      </c>
    </row>
    <row r="319" spans="1:21" ht="6" customHeight="1">
      <c r="B319" s="3590"/>
      <c r="C319" s="2614"/>
      <c r="D319" s="3613"/>
      <c r="E319" s="2306"/>
      <c r="F319" s="2306"/>
      <c r="G319" s="2306"/>
      <c r="H319" s="2306"/>
      <c r="I319" s="2306"/>
      <c r="J319" s="2306"/>
      <c r="K319" s="2306"/>
      <c r="L319" s="2306"/>
      <c r="M319" s="2306"/>
      <c r="N319" s="2306"/>
      <c r="O319" s="2306"/>
      <c r="P319" s="2306"/>
      <c r="Q319" s="2306"/>
      <c r="R319" s="2306"/>
      <c r="S319" s="2325"/>
      <c r="T319" s="2395" t="b">
        <f t="shared" si="38"/>
        <v>0</v>
      </c>
    </row>
    <row r="320" spans="1:21" ht="13.5" customHeight="1">
      <c r="B320" s="3590"/>
      <c r="C320" s="879"/>
      <c r="D320" s="880"/>
      <c r="E320" s="3477" t="s">
        <v>149</v>
      </c>
      <c r="F320" s="3478"/>
      <c r="G320" s="1502" t="s">
        <v>150</v>
      </c>
      <c r="H320" s="2356"/>
      <c r="I320" s="2356"/>
      <c r="J320" s="2356"/>
      <c r="K320" s="2356"/>
      <c r="L320" s="2356"/>
      <c r="M320" s="2357"/>
      <c r="N320" s="2335" t="s">
        <v>524</v>
      </c>
      <c r="O320" s="2335" t="s">
        <v>151</v>
      </c>
      <c r="P320" s="2393" t="s">
        <v>152</v>
      </c>
      <c r="Q320" s="2394" t="s">
        <v>206</v>
      </c>
      <c r="R320" s="3448" t="s">
        <v>791</v>
      </c>
      <c r="S320" s="3448"/>
      <c r="T320" s="2395" t="b">
        <f>COUNTA(H321,H323,H326,H329,H331,J336:R337,K340:K340)&lt;&gt;0</f>
        <v>0</v>
      </c>
    </row>
    <row r="321" spans="2:21" ht="13.5" customHeight="1">
      <c r="B321" s="3590"/>
      <c r="C321" s="2681" t="s">
        <v>1441</v>
      </c>
      <c r="D321" s="2682"/>
      <c r="E321" s="3481" t="e">
        <f>VLOOKUP($L$9,熱源冷房,2,0)</f>
        <v>#N/A</v>
      </c>
      <c r="F321" s="3482"/>
      <c r="G321" s="3449" t="s">
        <v>208</v>
      </c>
      <c r="H321" s="818"/>
      <c r="I321" s="819" t="e">
        <f>VLOOKUP($L$9,熱源冷房,3,0)</f>
        <v>#N/A</v>
      </c>
      <c r="J321" s="821" t="e">
        <f>VLOOKUP($L$9,熱源冷房,5,0)</f>
        <v>#N/A</v>
      </c>
      <c r="K321" s="2322"/>
      <c r="L321" s="2322"/>
      <c r="M321" s="2322"/>
      <c r="N321" s="3462" t="e">
        <f>ROUNDDOWN(H322*H325*H328*H330*H332*H334,2)</f>
        <v>#N/A</v>
      </c>
      <c r="O321" s="3451" t="e">
        <f>INT(E321*N321)</f>
        <v>#N/A</v>
      </c>
      <c r="P321" s="2907">
        <f>K338</f>
        <v>0</v>
      </c>
      <c r="Q321" s="3459" t="s">
        <v>68</v>
      </c>
      <c r="R321" s="3551">
        <f>IF(ISERROR(INT(O321*P321)),0,INT(O321*P321))</f>
        <v>0</v>
      </c>
      <c r="S321" s="3552"/>
      <c r="T321" s="2395" t="b">
        <f t="shared" ref="T321:T334" si="39">T$320</f>
        <v>0</v>
      </c>
    </row>
    <row r="322" spans="2:21" ht="13.5" customHeight="1">
      <c r="B322" s="3590"/>
      <c r="C322" s="2681"/>
      <c r="D322" s="2682"/>
      <c r="E322" s="3481"/>
      <c r="F322" s="3482"/>
      <c r="G322" s="3448"/>
      <c r="H322" s="813" t="e">
        <f>HLOOKUP(H321,I321:M322,2,0)</f>
        <v>#N/A</v>
      </c>
      <c r="I322" s="814" t="e">
        <f>VLOOKUP($L$9,熱源冷房,4,0)</f>
        <v>#N/A</v>
      </c>
      <c r="J322" s="815" t="e">
        <f>VLOOKUP($L$9,熱源冷房,6,0)</f>
        <v>#N/A</v>
      </c>
      <c r="K322" s="2322"/>
      <c r="L322" s="2322"/>
      <c r="M322" s="2322"/>
      <c r="N322" s="3462"/>
      <c r="O322" s="3451"/>
      <c r="P322" s="2907"/>
      <c r="Q322" s="3459"/>
      <c r="R322" s="3553"/>
      <c r="S322" s="3554"/>
      <c r="T322" s="2395" t="b">
        <f t="shared" si="39"/>
        <v>0</v>
      </c>
    </row>
    <row r="323" spans="2:21" ht="13.5" customHeight="1">
      <c r="B323" s="3590"/>
      <c r="C323" s="2681"/>
      <c r="D323" s="2682"/>
      <c r="E323" s="3481"/>
      <c r="F323" s="3482"/>
      <c r="G323" s="3445" t="s">
        <v>209</v>
      </c>
      <c r="H323" s="818"/>
      <c r="I323" s="819" t="e">
        <f>VLOOKUP($L$9,熱源冷房,9,0)</f>
        <v>#N/A</v>
      </c>
      <c r="J323" s="820" t="e">
        <f>VLOOKUP($L$9,熱源冷房,12,0)</f>
        <v>#N/A</v>
      </c>
      <c r="K323" s="824" t="e">
        <f>VLOOKUP($L$9,熱源冷房,15,0)</f>
        <v>#N/A</v>
      </c>
      <c r="L323" s="825" t="s">
        <v>848</v>
      </c>
      <c r="M323" s="1614"/>
      <c r="N323" s="3462"/>
      <c r="O323" s="3451"/>
      <c r="P323" s="2907"/>
      <c r="Q323" s="3459"/>
      <c r="R323" s="3553"/>
      <c r="S323" s="3554"/>
      <c r="T323" s="2395" t="b">
        <f t="shared" si="39"/>
        <v>0</v>
      </c>
    </row>
    <row r="324" spans="2:21" ht="13.5" customHeight="1">
      <c r="B324" s="3590"/>
      <c r="C324" s="2681"/>
      <c r="D324" s="2682"/>
      <c r="E324" s="3481"/>
      <c r="F324" s="3482"/>
      <c r="G324" s="3446"/>
      <c r="H324" s="826" t="e">
        <f>HLOOKUP(H323,I323:M325,2,0)</f>
        <v>#N/A</v>
      </c>
      <c r="I324" s="827" t="e">
        <f>VLOOKUP($L$9,熱源冷房,10,0)</f>
        <v>#N/A</v>
      </c>
      <c r="J324" s="828" t="e">
        <f>VLOOKUP($L$9,熱源冷房,13,0)</f>
        <v>#N/A</v>
      </c>
      <c r="K324" s="829" t="e">
        <f>VLOOKUP($L$9,熱源冷房,16,0)</f>
        <v>#N/A</v>
      </c>
      <c r="L324" s="830" t="str">
        <f>IF(I338,M338,"-")</f>
        <v>-</v>
      </c>
      <c r="M324" s="1615"/>
      <c r="N324" s="3462"/>
      <c r="O324" s="3451"/>
      <c r="P324" s="2907"/>
      <c r="Q324" s="3459"/>
      <c r="R324" s="3553"/>
      <c r="S324" s="3554"/>
      <c r="T324" s="2395" t="b">
        <f t="shared" si="39"/>
        <v>0</v>
      </c>
    </row>
    <row r="325" spans="2:21" ht="13.5" customHeight="1">
      <c r="B325" s="3590"/>
      <c r="C325" s="2681"/>
      <c r="D325" s="2682"/>
      <c r="E325" s="3481"/>
      <c r="F325" s="3482"/>
      <c r="G325" s="3447"/>
      <c r="H325" s="813" t="e">
        <f>HLOOKUP(H323,I323:M325,3,0)</f>
        <v>#N/A</v>
      </c>
      <c r="I325" s="814" t="e">
        <f>VLOOKUP($L$9,熱源冷房,11,0)</f>
        <v>#N/A</v>
      </c>
      <c r="J325" s="822" t="e">
        <f>VLOOKUP($L$9,熱源冷房,14,0)</f>
        <v>#N/A</v>
      </c>
      <c r="K325" s="831" t="e">
        <f>VLOOKUP($L$9,熱源冷房,17,0)</f>
        <v>#N/A</v>
      </c>
      <c r="L325" s="832" t="str">
        <f>IF(I338,ROUNDDOWN(1+(L324-J324)*IF(L324&gt;J324,(I325-J325)/(I324-J324),(J325-K325)/(J324-K324)),2),"-")</f>
        <v>-</v>
      </c>
      <c r="M325" s="1616"/>
      <c r="N325" s="3462"/>
      <c r="O325" s="3451"/>
      <c r="P325" s="2907"/>
      <c r="Q325" s="3459"/>
      <c r="R325" s="3553"/>
      <c r="S325" s="3554"/>
      <c r="T325" s="2395" t="b">
        <f t="shared" si="39"/>
        <v>0</v>
      </c>
    </row>
    <row r="326" spans="2:21" ht="13.5" customHeight="1">
      <c r="B326" s="3590"/>
      <c r="C326" s="2681"/>
      <c r="D326" s="2682"/>
      <c r="E326" s="3481"/>
      <c r="F326" s="3482"/>
      <c r="G326" s="3445" t="s">
        <v>210</v>
      </c>
      <c r="H326" s="818"/>
      <c r="I326" s="819" t="e">
        <f>VLOOKUP($L$9,熱源冷房,18,0)</f>
        <v>#N/A</v>
      </c>
      <c r="J326" s="820" t="e">
        <f>VLOOKUP($L$9,熱源冷房,21,0)</f>
        <v>#N/A</v>
      </c>
      <c r="K326" s="824" t="s">
        <v>848</v>
      </c>
      <c r="L326" s="915"/>
      <c r="M326" s="2322"/>
      <c r="N326" s="3462"/>
      <c r="O326" s="3451"/>
      <c r="P326" s="2907"/>
      <c r="Q326" s="3459"/>
      <c r="R326" s="3553"/>
      <c r="S326" s="3554"/>
      <c r="T326" s="2395" t="b">
        <f t="shared" si="39"/>
        <v>0</v>
      </c>
    </row>
    <row r="327" spans="2:21" ht="13.5" customHeight="1">
      <c r="B327" s="3590"/>
      <c r="C327" s="2681"/>
      <c r="D327" s="2682"/>
      <c r="E327" s="3481"/>
      <c r="F327" s="3482"/>
      <c r="G327" s="3446"/>
      <c r="H327" s="855" t="e">
        <f>HLOOKUP(H326,I326:M328,2,0)</f>
        <v>#N/A</v>
      </c>
      <c r="I327" s="856" t="e">
        <f>VLOOKUP($L$9,熱源冷房,19,0)</f>
        <v>#N/A</v>
      </c>
      <c r="J327" s="857" t="e">
        <f>VLOOKUP($L$9,熱源冷房,22,0)</f>
        <v>#N/A</v>
      </c>
      <c r="K327" s="858" t="str">
        <f>IF(K340,N340,"-")</f>
        <v>-</v>
      </c>
      <c r="L327" s="916"/>
      <c r="M327" s="2322"/>
      <c r="N327" s="3462"/>
      <c r="O327" s="3451"/>
      <c r="P327" s="2907"/>
      <c r="Q327" s="3459"/>
      <c r="R327" s="3553"/>
      <c r="S327" s="3554"/>
      <c r="T327" s="2395" t="b">
        <f t="shared" si="39"/>
        <v>0</v>
      </c>
    </row>
    <row r="328" spans="2:21" ht="13.5" customHeight="1">
      <c r="B328" s="3590"/>
      <c r="C328" s="2681"/>
      <c r="D328" s="2682"/>
      <c r="E328" s="3481"/>
      <c r="F328" s="3482"/>
      <c r="G328" s="3447"/>
      <c r="H328" s="813" t="e">
        <f>HLOOKUP(H326,I326:M328,3,0)</f>
        <v>#N/A</v>
      </c>
      <c r="I328" s="814" t="e">
        <f>VLOOKUP($L$9,熱源冷房,20,0)</f>
        <v>#N/A</v>
      </c>
      <c r="J328" s="822" t="e">
        <f>VLOOKUP($L$9,熱源冷房,23,0)</f>
        <v>#N/A</v>
      </c>
      <c r="K328" s="831" t="str">
        <f>IF(K340,MAX(1,ROUNDDOWN(1+(I328-J328)/(I327-J327)*(K327-J327),2)),"-")</f>
        <v>-</v>
      </c>
      <c r="L328" s="917"/>
      <c r="M328" s="2322"/>
      <c r="N328" s="3462"/>
      <c r="O328" s="3451"/>
      <c r="P328" s="2907"/>
      <c r="Q328" s="3459"/>
      <c r="R328" s="3553"/>
      <c r="S328" s="3554"/>
      <c r="T328" s="2395" t="b">
        <f t="shared" si="39"/>
        <v>0</v>
      </c>
    </row>
    <row r="329" spans="2:21" ht="13.5" customHeight="1">
      <c r="B329" s="3590"/>
      <c r="C329" s="2681"/>
      <c r="D329" s="2682"/>
      <c r="E329" s="3481"/>
      <c r="F329" s="3482"/>
      <c r="G329" s="3448" t="s">
        <v>212</v>
      </c>
      <c r="H329" s="818"/>
      <c r="I329" s="819" t="e">
        <f>VLOOKUP($L$9,熱源冷房,24,0)</f>
        <v>#N/A</v>
      </c>
      <c r="J329" s="821" t="e">
        <f>VLOOKUP($L$9,熱源冷房,26,0)</f>
        <v>#N/A</v>
      </c>
      <c r="K329" s="2322"/>
      <c r="L329" s="2322"/>
      <c r="M329" s="2322"/>
      <c r="N329" s="3462"/>
      <c r="O329" s="3451"/>
      <c r="P329" s="2907"/>
      <c r="Q329" s="3459"/>
      <c r="R329" s="3553"/>
      <c r="S329" s="3554"/>
      <c r="T329" s="2395" t="b">
        <f t="shared" si="39"/>
        <v>0</v>
      </c>
    </row>
    <row r="330" spans="2:21" ht="13.5" customHeight="1">
      <c r="B330" s="3590"/>
      <c r="C330" s="2681"/>
      <c r="D330" s="2682"/>
      <c r="E330" s="3481"/>
      <c r="F330" s="3482"/>
      <c r="G330" s="3448"/>
      <c r="H330" s="813" t="e">
        <f>HLOOKUP(H329,I329:M330,2,0)</f>
        <v>#N/A</v>
      </c>
      <c r="I330" s="814" t="e">
        <f>VLOOKUP($L$9,熱源冷房,25,0)</f>
        <v>#N/A</v>
      </c>
      <c r="J330" s="815" t="e">
        <f>VLOOKUP($L$9,熱源冷房,27,0)</f>
        <v>#N/A</v>
      </c>
      <c r="K330" s="2322"/>
      <c r="L330" s="2322"/>
      <c r="M330" s="2322"/>
      <c r="N330" s="3462"/>
      <c r="O330" s="3451"/>
      <c r="P330" s="2907"/>
      <c r="Q330" s="3459"/>
      <c r="R330" s="3553"/>
      <c r="S330" s="3554"/>
      <c r="T330" s="2395" t="b">
        <f t="shared" si="39"/>
        <v>0</v>
      </c>
      <c r="U330" s="3513" t="s">
        <v>1481</v>
      </c>
    </row>
    <row r="331" spans="2:21" ht="13.5" customHeight="1">
      <c r="B331" s="3590"/>
      <c r="C331" s="2681"/>
      <c r="D331" s="2682"/>
      <c r="E331" s="3481"/>
      <c r="F331" s="3482"/>
      <c r="G331" s="3449" t="s">
        <v>213</v>
      </c>
      <c r="H331" s="818"/>
      <c r="I331" s="819" t="e">
        <f>VLOOKUP($L$9,熱源冷房,30,0)</f>
        <v>#N/A</v>
      </c>
      <c r="J331" s="821" t="e">
        <f>VLOOKUP($L$9,熱源冷房,32,0)</f>
        <v>#N/A</v>
      </c>
      <c r="K331" s="2322"/>
      <c r="L331" s="2322"/>
      <c r="M331" s="2322"/>
      <c r="N331" s="3462"/>
      <c r="O331" s="3451"/>
      <c r="P331" s="2907"/>
      <c r="Q331" s="3459"/>
      <c r="R331" s="3553"/>
      <c r="S331" s="3554"/>
      <c r="T331" s="2395" t="b">
        <f t="shared" si="39"/>
        <v>0</v>
      </c>
      <c r="U331" s="3513"/>
    </row>
    <row r="332" spans="2:21" ht="13.5" customHeight="1">
      <c r="B332" s="3590"/>
      <c r="C332" s="2681"/>
      <c r="D332" s="2682"/>
      <c r="E332" s="3481"/>
      <c r="F332" s="3482"/>
      <c r="G332" s="3448"/>
      <c r="H332" s="813" t="e">
        <f>HLOOKUP(H331,I331:M332,2,0)</f>
        <v>#N/A</v>
      </c>
      <c r="I332" s="814" t="e">
        <f>VLOOKUP($L$9,熱源冷房,31,0)</f>
        <v>#N/A</v>
      </c>
      <c r="J332" s="815" t="e">
        <f>VLOOKUP($L$9,熱源冷房,33,0)</f>
        <v>#N/A</v>
      </c>
      <c r="K332" s="2322"/>
      <c r="L332" s="2322"/>
      <c r="M332" s="2322"/>
      <c r="N332" s="3462"/>
      <c r="O332" s="3451"/>
      <c r="P332" s="2907"/>
      <c r="Q332" s="3459"/>
      <c r="R332" s="3553"/>
      <c r="S332" s="3554"/>
      <c r="T332" s="2395" t="b">
        <f t="shared" si="39"/>
        <v>0</v>
      </c>
    </row>
    <row r="333" spans="2:21" ht="13.5" customHeight="1">
      <c r="B333" s="3590"/>
      <c r="C333" s="2681"/>
      <c r="D333" s="2682"/>
      <c r="E333" s="3481"/>
      <c r="F333" s="3482"/>
      <c r="G333" s="3448" t="s">
        <v>763</v>
      </c>
      <c r="H333" s="833">
        <f>$P$9</f>
        <v>0</v>
      </c>
      <c r="I333" s="834" t="e">
        <f>VLOOKUP($L$9,熱源冷房,36,0)</f>
        <v>#N/A</v>
      </c>
      <c r="J333" s="835" t="e">
        <f>VLOOKUP($L$9,熱源冷房,38,0)</f>
        <v>#N/A</v>
      </c>
      <c r="K333" s="835" t="e">
        <f>VLOOKUP($L$9,熱源冷房,40,0)</f>
        <v>#N/A</v>
      </c>
      <c r="L333" s="836" t="e">
        <f>VLOOKUP($L$9,熱源冷房,42,0)</f>
        <v>#N/A</v>
      </c>
      <c r="M333" s="2322"/>
      <c r="N333" s="3462"/>
      <c r="O333" s="3451"/>
      <c r="P333" s="2907"/>
      <c r="Q333" s="3459"/>
      <c r="R333" s="3553"/>
      <c r="S333" s="3554"/>
      <c r="T333" s="2395" t="b">
        <f t="shared" si="39"/>
        <v>0</v>
      </c>
    </row>
    <row r="334" spans="2:21" ht="13.5" customHeight="1">
      <c r="B334" s="3590"/>
      <c r="C334" s="2681"/>
      <c r="D334" s="2682"/>
      <c r="E334" s="3485"/>
      <c r="F334" s="3489"/>
      <c r="G334" s="3448"/>
      <c r="H334" s="813" t="e">
        <f>MIN(I334,MAX(L334,ROUNDDOWN(IF(H333&lt;J333,J334+(I334-J334)/(I333-J333)*(H333-J333),IF(H333&lt;K333,J334-(J334-K334)/(J333-K333)*(J333-H333),K334-(K334-L334)/(K333-L333)*(K333-H333))),2)))</f>
        <v>#N/A</v>
      </c>
      <c r="I334" s="814" t="e">
        <f>VLOOKUP($L$9,熱源冷房,37,0)</f>
        <v>#N/A</v>
      </c>
      <c r="J334" s="822" t="e">
        <f>VLOOKUP($L$9,熱源冷房,39,0)</f>
        <v>#N/A</v>
      </c>
      <c r="K334" s="822" t="e">
        <f>VLOOKUP($L$9,熱源冷房,41,0)</f>
        <v>#N/A</v>
      </c>
      <c r="L334" s="815" t="e">
        <f>VLOOKUP($L$9,熱源冷房,43,0)</f>
        <v>#N/A</v>
      </c>
      <c r="M334" s="2306"/>
      <c r="N334" s="3463"/>
      <c r="O334" s="3452"/>
      <c r="P334" s="2490"/>
      <c r="Q334" s="3460"/>
      <c r="R334" s="3555"/>
      <c r="S334" s="3556"/>
      <c r="T334" s="2395" t="b">
        <f t="shared" si="39"/>
        <v>0</v>
      </c>
    </row>
    <row r="335" spans="2:21" ht="6" customHeight="1">
      <c r="B335" s="3590"/>
      <c r="C335" s="2681"/>
      <c r="D335" s="2682"/>
      <c r="E335" s="2326"/>
      <c r="F335" s="2327"/>
      <c r="G335" s="2327"/>
      <c r="H335" s="2327"/>
      <c r="I335" s="2327"/>
      <c r="J335" s="2327"/>
      <c r="K335" s="2322"/>
      <c r="L335" s="2322"/>
      <c r="M335" s="2327"/>
      <c r="N335" s="2327"/>
      <c r="O335" s="2327"/>
      <c r="P335" s="2327"/>
      <c r="Q335" s="2327"/>
      <c r="R335" s="2327"/>
      <c r="S335" s="2328"/>
      <c r="T335" s="2395" t="b">
        <f>+I338&lt;&gt;0</f>
        <v>0</v>
      </c>
    </row>
    <row r="336" spans="2:21" ht="13.5" customHeight="1">
      <c r="B336" s="3590"/>
      <c r="C336" s="2681"/>
      <c r="D336" s="2682"/>
      <c r="E336" s="2322"/>
      <c r="F336" s="2322"/>
      <c r="G336" s="3445" t="s">
        <v>214</v>
      </c>
      <c r="H336" s="3467" t="s">
        <v>215</v>
      </c>
      <c r="I336" s="3486">
        <f>SUM(J336:Q337)</f>
        <v>0</v>
      </c>
      <c r="J336" s="918"/>
      <c r="K336" s="919"/>
      <c r="L336" s="919"/>
      <c r="M336" s="919"/>
      <c r="N336" s="919"/>
      <c r="O336" s="919"/>
      <c r="P336" s="919"/>
      <c r="Q336" s="920"/>
      <c r="R336" s="2322"/>
      <c r="S336" s="2323"/>
      <c r="T336" s="2395" t="b">
        <f>+T335</f>
        <v>0</v>
      </c>
    </row>
    <row r="337" spans="2:21" ht="13.5" customHeight="1">
      <c r="B337" s="3590"/>
      <c r="C337" s="2681"/>
      <c r="D337" s="2682"/>
      <c r="E337" s="2322"/>
      <c r="F337" s="2322"/>
      <c r="G337" s="3446"/>
      <c r="H337" s="3468"/>
      <c r="I337" s="3487"/>
      <c r="J337" s="1557"/>
      <c r="K337" s="921"/>
      <c r="L337" s="921"/>
      <c r="M337" s="921"/>
      <c r="N337" s="921"/>
      <c r="O337" s="921"/>
      <c r="P337" s="921"/>
      <c r="Q337" s="922"/>
      <c r="R337" s="2322"/>
      <c r="S337" s="2323"/>
      <c r="T337" s="2395" t="b">
        <f>AND(+T335,SUM(J337:Q337)&gt;0)</f>
        <v>0</v>
      </c>
    </row>
    <row r="338" spans="2:21" ht="13.5" customHeight="1">
      <c r="B338" s="3590"/>
      <c r="C338" s="2681"/>
      <c r="D338" s="2682"/>
      <c r="E338" s="2322"/>
      <c r="F338" s="2322"/>
      <c r="G338" s="3447"/>
      <c r="H338" s="2437" t="s">
        <v>848</v>
      </c>
      <c r="I338" s="1554">
        <f>I336</f>
        <v>0</v>
      </c>
      <c r="J338" s="1555" t="s">
        <v>216</v>
      </c>
      <c r="K338" s="1556">
        <f>床・天井!K91</f>
        <v>0</v>
      </c>
      <c r="L338" s="516" t="s">
        <v>217</v>
      </c>
      <c r="M338" s="925" t="e">
        <f>ROUNDDOWN(I338/K338,2)</f>
        <v>#DIV/0!</v>
      </c>
      <c r="N338" s="2309" t="s">
        <v>218</v>
      </c>
      <c r="O338" s="2322"/>
      <c r="P338" s="2322"/>
      <c r="Q338" s="2322"/>
      <c r="R338" s="2322"/>
      <c r="S338" s="2323"/>
      <c r="T338" s="2395" t="b">
        <f>+T335</f>
        <v>0</v>
      </c>
    </row>
    <row r="339" spans="2:21" ht="6" customHeight="1">
      <c r="B339" s="3590"/>
      <c r="C339" s="2681"/>
      <c r="D339" s="2682"/>
      <c r="E339" s="2322"/>
      <c r="F339" s="2322"/>
      <c r="G339" s="2322"/>
      <c r="H339" s="2322"/>
      <c r="I339" s="2322"/>
      <c r="J339" s="2322"/>
      <c r="K339" s="2322"/>
      <c r="L339" s="2322"/>
      <c r="M339" s="2322"/>
      <c r="N339" s="2322"/>
      <c r="O339" s="2322"/>
      <c r="P339" s="2322"/>
      <c r="Q339" s="2322"/>
      <c r="R339" s="2322"/>
      <c r="S339" s="2323"/>
      <c r="T339" s="2395" t="b">
        <f>+K340&lt;&gt;0</f>
        <v>0</v>
      </c>
    </row>
    <row r="340" spans="2:21" ht="13.5" customHeight="1">
      <c r="B340" s="3590"/>
      <c r="C340" s="2681"/>
      <c r="D340" s="2682"/>
      <c r="E340" s="2322"/>
      <c r="F340" s="2322"/>
      <c r="G340" s="2438" t="s">
        <v>219</v>
      </c>
      <c r="H340" s="2335" t="s">
        <v>848</v>
      </c>
      <c r="I340" s="926">
        <f>床・天井!K91</f>
        <v>0</v>
      </c>
      <c r="J340" s="539" t="s">
        <v>220</v>
      </c>
      <c r="K340" s="2330"/>
      <c r="L340" s="540" t="s">
        <v>221</v>
      </c>
      <c r="M340" s="540"/>
      <c r="N340" s="927" t="e">
        <f>ROUNDDOWN(I340/K340,2)</f>
        <v>#DIV/0!</v>
      </c>
      <c r="O340" s="928" t="s">
        <v>222</v>
      </c>
      <c r="P340" s="2322"/>
      <c r="Q340" s="2322"/>
      <c r="R340" s="2322"/>
      <c r="S340" s="2323"/>
      <c r="T340" s="2395" t="b">
        <f>+T339</f>
        <v>0</v>
      </c>
    </row>
    <row r="341" spans="2:21" ht="6" customHeight="1">
      <c r="B341" s="3590"/>
      <c r="C341" s="2684"/>
      <c r="D341" s="2686"/>
      <c r="E341" s="2306"/>
      <c r="F341" s="2306"/>
      <c r="G341" s="2306"/>
      <c r="H341" s="2306"/>
      <c r="I341" s="2306"/>
      <c r="J341" s="2306"/>
      <c r="K341" s="2306"/>
      <c r="L341" s="2306"/>
      <c r="M341" s="2306"/>
      <c r="N341" s="2306"/>
      <c r="O341" s="2306"/>
      <c r="P341" s="2306"/>
      <c r="Q341" s="2306"/>
      <c r="R341" s="2306"/>
      <c r="S341" s="2325"/>
      <c r="T341" s="2395" t="b">
        <f>+OR(T335,T339)</f>
        <v>0</v>
      </c>
    </row>
    <row r="342" spans="2:21" ht="13.5" customHeight="1">
      <c r="B342" s="3590"/>
      <c r="C342" s="1617"/>
      <c r="D342" s="1618"/>
      <c r="E342" s="3477" t="s">
        <v>149</v>
      </c>
      <c r="F342" s="3478"/>
      <c r="G342" s="1502" t="s">
        <v>150</v>
      </c>
      <c r="H342" s="2356"/>
      <c r="I342" s="2356"/>
      <c r="J342" s="2356"/>
      <c r="K342" s="2356"/>
      <c r="L342" s="2356"/>
      <c r="M342" s="2357"/>
      <c r="N342" s="2335" t="s">
        <v>524</v>
      </c>
      <c r="O342" s="2335" t="s">
        <v>151</v>
      </c>
      <c r="P342" s="2393" t="s">
        <v>152</v>
      </c>
      <c r="Q342" s="2394" t="s">
        <v>206</v>
      </c>
      <c r="R342" s="3448" t="s">
        <v>791</v>
      </c>
      <c r="S342" s="3448"/>
      <c r="T342" s="2395" t="b">
        <f>COUNTA(H343)&lt;&gt;0</f>
        <v>0</v>
      </c>
    </row>
    <row r="343" spans="2:21" ht="13.5" customHeight="1">
      <c r="B343" s="3590"/>
      <c r="C343" s="2681" t="s">
        <v>1442</v>
      </c>
      <c r="D343" s="2682"/>
      <c r="E343" s="3481" t="e">
        <f>VLOOKUP($L$9,直接暖房,2,0)</f>
        <v>#N/A</v>
      </c>
      <c r="F343" s="3482"/>
      <c r="G343" s="3449" t="s">
        <v>226</v>
      </c>
      <c r="H343" s="818"/>
      <c r="I343" s="819" t="e">
        <f>VLOOKUP($L$9,直接暖房,3,0)</f>
        <v>#N/A</v>
      </c>
      <c r="J343" s="820" t="e">
        <f>VLOOKUP($L$9,直接暖房,5,0)</f>
        <v>#N/A</v>
      </c>
      <c r="K343" s="821" t="e">
        <f>VLOOKUP($L$9,直接暖房,7,0)</f>
        <v>#N/A</v>
      </c>
      <c r="L343" s="2322"/>
      <c r="M343" s="2322"/>
      <c r="N343" s="3462" t="e">
        <f>ROUNDDOWN(H344*H346,2)</f>
        <v>#N/A</v>
      </c>
      <c r="O343" s="3451" t="e">
        <f>INT(E343*N343)</f>
        <v>#N/A</v>
      </c>
      <c r="P343" s="2907">
        <f>床・天井!K91</f>
        <v>0</v>
      </c>
      <c r="Q343" s="3459" t="s">
        <v>68</v>
      </c>
      <c r="R343" s="3551">
        <f>IF(ISERROR(INT(O343*P343)),0,INT(O343*P343))</f>
        <v>0</v>
      </c>
      <c r="S343" s="3552"/>
      <c r="T343" s="2395" t="b">
        <f>T$342</f>
        <v>0</v>
      </c>
    </row>
    <row r="344" spans="2:21" ht="13.5" customHeight="1">
      <c r="B344" s="3590"/>
      <c r="C344" s="2681"/>
      <c r="D344" s="2682"/>
      <c r="E344" s="3481"/>
      <c r="F344" s="3482"/>
      <c r="G344" s="3448"/>
      <c r="H344" s="813" t="e">
        <f>HLOOKUP(H343,I343:M344,2,0)</f>
        <v>#N/A</v>
      </c>
      <c r="I344" s="814" t="e">
        <f>VLOOKUP($L$9,直接暖房,4,0)</f>
        <v>#N/A</v>
      </c>
      <c r="J344" s="822" t="e">
        <f>VLOOKUP($L$9,直接暖房,6,0)</f>
        <v>#N/A</v>
      </c>
      <c r="K344" s="815" t="e">
        <f>VLOOKUP($L$9,直接暖房,8,0)</f>
        <v>#N/A</v>
      </c>
      <c r="L344" s="2322"/>
      <c r="M344" s="2322"/>
      <c r="N344" s="3462"/>
      <c r="O344" s="3451"/>
      <c r="P344" s="2907"/>
      <c r="Q344" s="3459"/>
      <c r="R344" s="3553"/>
      <c r="S344" s="3554"/>
      <c r="T344" s="2395" t="b">
        <f>T$342</f>
        <v>0</v>
      </c>
    </row>
    <row r="345" spans="2:21" ht="13.5" customHeight="1">
      <c r="B345" s="3590"/>
      <c r="C345" s="2681"/>
      <c r="D345" s="2682"/>
      <c r="E345" s="3481"/>
      <c r="F345" s="3482"/>
      <c r="G345" s="3448" t="s">
        <v>763</v>
      </c>
      <c r="H345" s="833">
        <f>$P$9</f>
        <v>0</v>
      </c>
      <c r="I345" s="834" t="e">
        <f>VLOOKUP($L$9,直接暖房,9,0)</f>
        <v>#N/A</v>
      </c>
      <c r="J345" s="835" t="e">
        <f>VLOOKUP($L$9,直接暖房,11,0)</f>
        <v>#N/A</v>
      </c>
      <c r="K345" s="835" t="e">
        <f>VLOOKUP($L$9,直接暖房,13,0)</f>
        <v>#N/A</v>
      </c>
      <c r="L345" s="836" t="e">
        <f>VLOOKUP($L$9,直接暖房,15,0)</f>
        <v>#N/A</v>
      </c>
      <c r="M345" s="2322"/>
      <c r="N345" s="3462"/>
      <c r="O345" s="3451"/>
      <c r="P345" s="2907"/>
      <c r="Q345" s="3459"/>
      <c r="R345" s="3553"/>
      <c r="S345" s="3554"/>
      <c r="T345" s="2395" t="b">
        <f>T$342</f>
        <v>0</v>
      </c>
    </row>
    <row r="346" spans="2:21" ht="13.5" customHeight="1">
      <c r="B346" s="3590"/>
      <c r="C346" s="2681"/>
      <c r="D346" s="2682"/>
      <c r="E346" s="3485"/>
      <c r="F346" s="3489"/>
      <c r="G346" s="3448"/>
      <c r="H346" s="813" t="e">
        <f>MIN(I346,MAX(L346,ROUNDDOWN(IF(H345&lt;J345,J346+(I346-J346)/(I345-J345)*(H345-J345),IF(H345&lt;K345,J346-(J346-K346)/(J345-K345)*(J345-H345),K346-(K346-L346)/(K345-L345)*(K345-H345))),2)))</f>
        <v>#N/A</v>
      </c>
      <c r="I346" s="814" t="e">
        <f>VLOOKUP($L$9,直接暖房,10,0)</f>
        <v>#N/A</v>
      </c>
      <c r="J346" s="822" t="e">
        <f>VLOOKUP($L$9,直接暖房,12,0)</f>
        <v>#N/A</v>
      </c>
      <c r="K346" s="822" t="e">
        <f>VLOOKUP($L$9,直接暖房,14,0)</f>
        <v>#N/A</v>
      </c>
      <c r="L346" s="815" t="e">
        <f>VLOOKUP($L$9,直接暖房,16,0)</f>
        <v>#N/A</v>
      </c>
      <c r="M346" s="2322"/>
      <c r="N346" s="3463"/>
      <c r="O346" s="3452"/>
      <c r="P346" s="2490"/>
      <c r="Q346" s="3460"/>
      <c r="R346" s="3555"/>
      <c r="S346" s="3556"/>
      <c r="T346" s="2395" t="b">
        <f>T$342</f>
        <v>0</v>
      </c>
    </row>
    <row r="347" spans="2:21" ht="13.5" customHeight="1">
      <c r="B347" s="3590"/>
      <c r="C347" s="1617"/>
      <c r="D347" s="1618"/>
      <c r="E347" s="3477" t="s">
        <v>149</v>
      </c>
      <c r="F347" s="3478"/>
      <c r="G347" s="1502" t="s">
        <v>150</v>
      </c>
      <c r="H347" s="2356"/>
      <c r="I347" s="2356"/>
      <c r="J347" s="2356"/>
      <c r="K347" s="2356"/>
      <c r="L347" s="2356"/>
      <c r="M347" s="2357"/>
      <c r="N347" s="2335" t="s">
        <v>524</v>
      </c>
      <c r="O347" s="2335" t="s">
        <v>151</v>
      </c>
      <c r="P347" s="2393" t="s">
        <v>152</v>
      </c>
      <c r="Q347" s="2394" t="s">
        <v>206</v>
      </c>
      <c r="R347" s="3448" t="s">
        <v>791</v>
      </c>
      <c r="S347" s="3448"/>
      <c r="T347" s="2395" t="b">
        <f>COUNTA(H348,H351,K356:K356)&lt;&gt;0</f>
        <v>0</v>
      </c>
    </row>
    <row r="348" spans="2:21" ht="13.5" customHeight="1">
      <c r="B348" s="3590"/>
      <c r="C348" s="2681" t="s">
        <v>227</v>
      </c>
      <c r="D348" s="2682"/>
      <c r="E348" s="3551" t="e">
        <f>VLOOKUP($L$9,温風暖房,2,0)</f>
        <v>#N/A</v>
      </c>
      <c r="F348" s="3552"/>
      <c r="G348" s="3445" t="s">
        <v>210</v>
      </c>
      <c r="H348" s="818"/>
      <c r="I348" s="819" t="e">
        <f>VLOOKUP($L$9,温風暖房,3,0)</f>
        <v>#N/A</v>
      </c>
      <c r="J348" s="820" t="e">
        <f>VLOOKUP($L$9,温風暖房,6,0)</f>
        <v>#N/A</v>
      </c>
      <c r="K348" s="821" t="s">
        <v>848</v>
      </c>
      <c r="L348" s="1636"/>
      <c r="M348" s="2322"/>
      <c r="N348" s="3462" t="e">
        <f>ROUNDDOWN(H350*H352*H354,2)</f>
        <v>#N/A</v>
      </c>
      <c r="O348" s="3451" t="e">
        <f>INT(E348*N348)</f>
        <v>#N/A</v>
      </c>
      <c r="P348" s="2907">
        <f>I356</f>
        <v>0</v>
      </c>
      <c r="Q348" s="3459" t="s">
        <v>68</v>
      </c>
      <c r="R348" s="3551">
        <f>IF(ISERROR(INT(O348*P348)),0,INT(O348*P348))</f>
        <v>0</v>
      </c>
      <c r="S348" s="3552"/>
      <c r="T348" s="2395" t="b">
        <f t="shared" ref="T348:T354" si="40">T$347</f>
        <v>0</v>
      </c>
    </row>
    <row r="349" spans="2:21" ht="13.5" customHeight="1">
      <c r="B349" s="3590"/>
      <c r="C349" s="2681"/>
      <c r="D349" s="2682"/>
      <c r="E349" s="3553"/>
      <c r="F349" s="3554"/>
      <c r="G349" s="3446"/>
      <c r="H349" s="855" t="e">
        <f>HLOOKUP(H348,I348:M350,2,0)</f>
        <v>#N/A</v>
      </c>
      <c r="I349" s="856" t="e">
        <f>VLOOKUP($L$9,温風暖房,4,0)</f>
        <v>#N/A</v>
      </c>
      <c r="J349" s="857" t="e">
        <f>VLOOKUP($L$9,温風暖房,7,0)</f>
        <v>#N/A</v>
      </c>
      <c r="K349" s="948" t="str">
        <f>IF(K356,N356,"-")</f>
        <v>-</v>
      </c>
      <c r="L349" s="1637"/>
      <c r="M349" s="2322"/>
      <c r="N349" s="3462"/>
      <c r="O349" s="3451"/>
      <c r="P349" s="2907"/>
      <c r="Q349" s="3459"/>
      <c r="R349" s="3553"/>
      <c r="S349" s="3554"/>
      <c r="T349" s="2395" t="b">
        <f t="shared" si="40"/>
        <v>0</v>
      </c>
    </row>
    <row r="350" spans="2:21" ht="13.5" customHeight="1">
      <c r="B350" s="3590"/>
      <c r="C350" s="2681"/>
      <c r="D350" s="2682"/>
      <c r="E350" s="3553"/>
      <c r="F350" s="3554"/>
      <c r="G350" s="3447"/>
      <c r="H350" s="813" t="e">
        <f>HLOOKUP(H348,I348:M350,3,0)</f>
        <v>#N/A</v>
      </c>
      <c r="I350" s="814" t="e">
        <f>VLOOKUP($L$9,温風暖房,5,0)</f>
        <v>#N/A</v>
      </c>
      <c r="J350" s="822" t="e">
        <f>VLOOKUP($L$9,温風暖房,8,0)</f>
        <v>#N/A</v>
      </c>
      <c r="K350" s="815" t="str">
        <f>IF(K356,MAX(1,ROUNDDOWN(1+(I350-J350)/(I349-J349)*(K349-J349),2)),"-")</f>
        <v>-</v>
      </c>
      <c r="L350" s="817"/>
      <c r="M350" s="2322"/>
      <c r="N350" s="3462"/>
      <c r="O350" s="3451"/>
      <c r="P350" s="2907"/>
      <c r="Q350" s="3459"/>
      <c r="R350" s="3553"/>
      <c r="S350" s="3554"/>
      <c r="T350" s="2395" t="b">
        <f t="shared" si="40"/>
        <v>0</v>
      </c>
    </row>
    <row r="351" spans="2:21" ht="13.5" customHeight="1">
      <c r="B351" s="3590"/>
      <c r="C351" s="2681"/>
      <c r="D351" s="2682"/>
      <c r="E351" s="3553"/>
      <c r="F351" s="3554"/>
      <c r="G351" s="3448" t="s">
        <v>228</v>
      </c>
      <c r="H351" s="818"/>
      <c r="I351" s="819" t="e">
        <f>VLOOKUP($L$9,温風暖房,12,0)</f>
        <v>#N/A</v>
      </c>
      <c r="J351" s="821" t="e">
        <f>VLOOKUP($L$9,温風暖房,14,0)</f>
        <v>#N/A</v>
      </c>
      <c r="K351" s="2322"/>
      <c r="L351" s="2322"/>
      <c r="M351" s="2322"/>
      <c r="N351" s="3462"/>
      <c r="O351" s="3451"/>
      <c r="P351" s="2907"/>
      <c r="Q351" s="3459"/>
      <c r="R351" s="3553"/>
      <c r="S351" s="3554"/>
      <c r="T351" s="2395" t="b">
        <f t="shared" si="40"/>
        <v>0</v>
      </c>
      <c r="U351" s="3513" t="s">
        <v>1481</v>
      </c>
    </row>
    <row r="352" spans="2:21" ht="13.5" customHeight="1">
      <c r="B352" s="3590"/>
      <c r="C352" s="2681"/>
      <c r="D352" s="2682"/>
      <c r="E352" s="3553"/>
      <c r="F352" s="3554"/>
      <c r="G352" s="3448"/>
      <c r="H352" s="813" t="e">
        <f>HLOOKUP(H351,I351:M352,2,0)</f>
        <v>#N/A</v>
      </c>
      <c r="I352" s="814" t="e">
        <f>VLOOKUP($L$9,温風暖房,13,0)</f>
        <v>#N/A</v>
      </c>
      <c r="J352" s="815" t="e">
        <f>VLOOKUP($L$9,温風暖房,15,0)</f>
        <v>#N/A</v>
      </c>
      <c r="K352" s="2322"/>
      <c r="L352" s="2322"/>
      <c r="M352" s="2322"/>
      <c r="N352" s="3462"/>
      <c r="O352" s="3451"/>
      <c r="P352" s="2907"/>
      <c r="Q352" s="3459"/>
      <c r="R352" s="3553"/>
      <c r="S352" s="3554"/>
      <c r="T352" s="2395" t="b">
        <f t="shared" si="40"/>
        <v>0</v>
      </c>
      <c r="U352" s="3513"/>
    </row>
    <row r="353" spans="1:21" ht="13.5" customHeight="1">
      <c r="B353" s="3590"/>
      <c r="C353" s="2681"/>
      <c r="D353" s="2682"/>
      <c r="E353" s="3553"/>
      <c r="F353" s="3554"/>
      <c r="G353" s="3448" t="s">
        <v>763</v>
      </c>
      <c r="H353" s="833">
        <f>$P$9</f>
        <v>0</v>
      </c>
      <c r="I353" s="834" t="e">
        <f>VLOOKUP($L$9,温風暖房,18,0)</f>
        <v>#N/A</v>
      </c>
      <c r="J353" s="835" t="e">
        <f>VLOOKUP($L$9,温風暖房,20,0)</f>
        <v>#N/A</v>
      </c>
      <c r="K353" s="835" t="e">
        <f>VLOOKUP($L$9,温風暖房,22,0)</f>
        <v>#N/A</v>
      </c>
      <c r="L353" s="836" t="e">
        <f>VLOOKUP($L$9,温風暖房,24,0)</f>
        <v>#N/A</v>
      </c>
      <c r="M353" s="2322"/>
      <c r="N353" s="3462"/>
      <c r="O353" s="3451"/>
      <c r="P353" s="2907"/>
      <c r="Q353" s="3459"/>
      <c r="R353" s="3553"/>
      <c r="S353" s="3554"/>
      <c r="T353" s="2395" t="b">
        <f t="shared" si="40"/>
        <v>0</v>
      </c>
    </row>
    <row r="354" spans="1:21" ht="13.5" customHeight="1">
      <c r="B354" s="3590"/>
      <c r="C354" s="2681"/>
      <c r="D354" s="2682"/>
      <c r="E354" s="3555"/>
      <c r="F354" s="3556"/>
      <c r="G354" s="3448"/>
      <c r="H354" s="813" t="e">
        <f>MIN(I354,MAX(L354,ROUNDDOWN(IF(H353&lt;J353,J354+(I354-J354)/(I353-J353)*(H353-J353),IF(H353&lt;K353,J354-(J354-K354)/(J353-K353)*(J353-H353),K354-(K354-L354)/(K353-L353)*(K353-H353))),2)))</f>
        <v>#N/A</v>
      </c>
      <c r="I354" s="814" t="e">
        <f>VLOOKUP($L$9,温風暖房,19,0)</f>
        <v>#N/A</v>
      </c>
      <c r="J354" s="822" t="e">
        <f>VLOOKUP($L$9,温風暖房,21,0)</f>
        <v>#N/A</v>
      </c>
      <c r="K354" s="822" t="e">
        <f>VLOOKUP($L$9,温風暖房,23,0)</f>
        <v>#N/A</v>
      </c>
      <c r="L354" s="815" t="e">
        <f>VLOOKUP($L$9,温風暖房,25,0)</f>
        <v>#N/A</v>
      </c>
      <c r="M354" s="2306"/>
      <c r="N354" s="3463"/>
      <c r="O354" s="3452"/>
      <c r="P354" s="2490"/>
      <c r="Q354" s="3460"/>
      <c r="R354" s="3555"/>
      <c r="S354" s="3556"/>
      <c r="T354" s="2395" t="b">
        <f t="shared" si="40"/>
        <v>0</v>
      </c>
    </row>
    <row r="355" spans="1:21" ht="6" customHeight="1">
      <c r="B355" s="3590"/>
      <c r="C355" s="2681"/>
      <c r="D355" s="2682"/>
      <c r="E355" s="2322"/>
      <c r="F355" s="2322"/>
      <c r="G355" s="2322"/>
      <c r="H355" s="2322"/>
      <c r="I355" s="2322"/>
      <c r="J355" s="2322"/>
      <c r="K355" s="2322"/>
      <c r="L355" s="2322"/>
      <c r="M355" s="2322"/>
      <c r="N355" s="2322"/>
      <c r="O355" s="2322"/>
      <c r="P355" s="2322"/>
      <c r="Q355" s="2322"/>
      <c r="R355" s="2322"/>
      <c r="S355" s="2323"/>
      <c r="T355" s="2395" t="b">
        <f>+K356&lt;&gt;0</f>
        <v>0</v>
      </c>
    </row>
    <row r="356" spans="1:21" ht="13.5" customHeight="1">
      <c r="B356" s="3590"/>
      <c r="C356" s="2681"/>
      <c r="D356" s="2682"/>
      <c r="E356" s="2322"/>
      <c r="F356" s="2322"/>
      <c r="G356" s="2438" t="s">
        <v>219</v>
      </c>
      <c r="H356" s="2335" t="s">
        <v>848</v>
      </c>
      <c r="I356" s="926">
        <f>床・天井!K91</f>
        <v>0</v>
      </c>
      <c r="J356" s="539" t="s">
        <v>220</v>
      </c>
      <c r="K356" s="2330"/>
      <c r="L356" s="540" t="s">
        <v>221</v>
      </c>
      <c r="M356" s="540"/>
      <c r="N356" s="927" t="e">
        <f>ROUNDDOWN(I356/K356,2)</f>
        <v>#DIV/0!</v>
      </c>
      <c r="O356" s="928" t="s">
        <v>222</v>
      </c>
      <c r="P356" s="2322"/>
      <c r="Q356" s="2322"/>
      <c r="R356" s="2322"/>
      <c r="S356" s="2323"/>
      <c r="T356" s="2395" t="b">
        <f>+T355</f>
        <v>0</v>
      </c>
    </row>
    <row r="357" spans="1:21" ht="6" customHeight="1">
      <c r="B357" s="3590"/>
      <c r="C357" s="2684"/>
      <c r="D357" s="2686"/>
      <c r="E357" s="2306"/>
      <c r="F357" s="2306"/>
      <c r="G357" s="2306"/>
      <c r="H357" s="2306"/>
      <c r="I357" s="2306"/>
      <c r="J357" s="2306"/>
      <c r="K357" s="2306"/>
      <c r="L357" s="2306"/>
      <c r="M357" s="2306"/>
      <c r="N357" s="2306"/>
      <c r="O357" s="2306"/>
      <c r="P357" s="2306"/>
      <c r="Q357" s="2306"/>
      <c r="R357" s="2306"/>
      <c r="S357" s="2325"/>
      <c r="T357" s="2395" t="b">
        <f>+T355</f>
        <v>0</v>
      </c>
    </row>
    <row r="358" spans="1:21" ht="13.5" customHeight="1">
      <c r="B358" s="3590"/>
      <c r="C358" s="1617"/>
      <c r="D358" s="1618"/>
      <c r="E358" s="3477" t="s">
        <v>149</v>
      </c>
      <c r="F358" s="3478"/>
      <c r="G358" s="1502" t="s">
        <v>150</v>
      </c>
      <c r="H358" s="2356"/>
      <c r="I358" s="2356"/>
      <c r="J358" s="2356"/>
      <c r="K358" s="2356"/>
      <c r="L358" s="2356"/>
      <c r="M358" s="2357"/>
      <c r="N358" s="2335" t="s">
        <v>524</v>
      </c>
      <c r="O358" s="2335" t="s">
        <v>151</v>
      </c>
      <c r="P358" s="2393" t="s">
        <v>152</v>
      </c>
      <c r="Q358" s="2394" t="s">
        <v>206</v>
      </c>
      <c r="R358" s="3448" t="s">
        <v>791</v>
      </c>
      <c r="S358" s="3448"/>
      <c r="T358" s="2395" t="b">
        <f>COUNTA(H359,P359)&lt;&gt;0</f>
        <v>0</v>
      </c>
      <c r="U358" s="977" t="s">
        <v>1485</v>
      </c>
    </row>
    <row r="359" spans="1:21" ht="13.5" customHeight="1">
      <c r="A359">
        <f>ROW()</f>
        <v>359</v>
      </c>
      <c r="B359" s="3590"/>
      <c r="C359" s="2681" t="s">
        <v>229</v>
      </c>
      <c r="D359" s="2682"/>
      <c r="E359" s="2484" t="e">
        <f>VLOOKUP($L$9,床暖房,2,0)</f>
        <v>#N/A</v>
      </c>
      <c r="F359" s="2486"/>
      <c r="G359" s="3467" t="s">
        <v>794</v>
      </c>
      <c r="H359" s="818"/>
      <c r="I359" s="819" t="e">
        <f>VLOOKUP($L$9,床暖房,3,0)</f>
        <v>#N/A</v>
      </c>
      <c r="J359" s="824" t="e">
        <f>VLOOKUP($L$9,床暖房,5,0)</f>
        <v>#N/A</v>
      </c>
      <c r="K359" s="821" t="e">
        <f>VLOOKUP($L$9,床暖房,7,0)</f>
        <v>#N/A</v>
      </c>
      <c r="L359" s="1785"/>
      <c r="M359" s="2334"/>
      <c r="N359" s="3503" t="e">
        <f>ROUNDDOWN(H360,2)</f>
        <v>#N/A</v>
      </c>
      <c r="O359" s="3634" t="e">
        <f>INT(E359*N359)</f>
        <v>#N/A</v>
      </c>
      <c r="P359" s="3636"/>
      <c r="Q359" s="3506" t="s">
        <v>230</v>
      </c>
      <c r="R359" s="2484">
        <f>IF(ISERROR(INT(O359*P359)),0,INT(O359*P359))</f>
        <v>0</v>
      </c>
      <c r="S359" s="2486"/>
      <c r="T359" s="2395" t="b">
        <f>T$358</f>
        <v>0</v>
      </c>
      <c r="U359" s="977" t="s">
        <v>1484</v>
      </c>
    </row>
    <row r="360" spans="1:21" ht="13.5" customHeight="1">
      <c r="B360" s="3590"/>
      <c r="C360" s="2681"/>
      <c r="D360" s="2682"/>
      <c r="E360" s="3557"/>
      <c r="F360" s="3558"/>
      <c r="G360" s="3468"/>
      <c r="H360" s="903" t="e">
        <f>HLOOKUP(H359,I359:M360,2,0)</f>
        <v>#N/A</v>
      </c>
      <c r="I360" s="904" t="e">
        <f>VLOOKUP($L$9,床暖房,4,0)</f>
        <v>#N/A</v>
      </c>
      <c r="J360" s="935" t="e">
        <f>VLOOKUP($L$9,床暖房,6,0)</f>
        <v>#N/A</v>
      </c>
      <c r="K360" s="905" t="e">
        <f>VLOOKUP($L$9,床暖房,8,0)</f>
        <v>#N/A</v>
      </c>
      <c r="L360" s="2304"/>
      <c r="M360" s="2305"/>
      <c r="N360" s="3504"/>
      <c r="O360" s="3635"/>
      <c r="P360" s="3637"/>
      <c r="Q360" s="3633"/>
      <c r="R360" s="3557"/>
      <c r="S360" s="3558"/>
      <c r="T360" s="2395" t="b">
        <f>T$358</f>
        <v>0</v>
      </c>
    </row>
    <row r="361" spans="1:21" ht="13.5" customHeight="1">
      <c r="B361" s="3590"/>
      <c r="C361" s="2337"/>
      <c r="D361" s="2337"/>
      <c r="E361" s="3477" t="s">
        <v>149</v>
      </c>
      <c r="F361" s="3478"/>
      <c r="G361" s="1502" t="s">
        <v>150</v>
      </c>
      <c r="H361" s="2356"/>
      <c r="I361" s="2356"/>
      <c r="J361" s="2356"/>
      <c r="K361" s="2356"/>
      <c r="L361" s="2356"/>
      <c r="M361" s="2357"/>
      <c r="N361" s="2335" t="s">
        <v>524</v>
      </c>
      <c r="O361" s="2335" t="s">
        <v>151</v>
      </c>
      <c r="P361" s="2393" t="s">
        <v>152</v>
      </c>
      <c r="Q361" s="2394" t="s">
        <v>206</v>
      </c>
      <c r="R361" s="3448" t="s">
        <v>791</v>
      </c>
      <c r="S361" s="3448"/>
      <c r="T361" s="2395" t="b">
        <f>COUNTA(H362,H364,H366)&lt;&gt;0</f>
        <v>0</v>
      </c>
    </row>
    <row r="362" spans="1:21" ht="13.5" customHeight="1">
      <c r="A362">
        <f>ROW()</f>
        <v>362</v>
      </c>
      <c r="B362" s="3590"/>
      <c r="C362" s="2625" t="s">
        <v>231</v>
      </c>
      <c r="D362" s="2625" t="s">
        <v>231</v>
      </c>
      <c r="E362" s="3545" t="e">
        <f>VLOOKUP($L$9,換気設備,2,0)</f>
        <v>#N/A</v>
      </c>
      <c r="F362" s="3546"/>
      <c r="G362" s="3448" t="s">
        <v>232</v>
      </c>
      <c r="H362" s="818"/>
      <c r="I362" s="819" t="e">
        <f>VLOOKUP($L$9,換気設備,3,0)</f>
        <v>#N/A</v>
      </c>
      <c r="J362" s="821" t="e">
        <f>VLOOKUP($L$9,換気設備,5,0)</f>
        <v>#N/A</v>
      </c>
      <c r="K362" s="2327"/>
      <c r="L362" s="2327"/>
      <c r="M362" s="2327"/>
      <c r="N362" s="3461" t="e">
        <f>ROUNDDOWN(H363*H365*H367,2)</f>
        <v>#N/A</v>
      </c>
      <c r="O362" s="3450" t="e">
        <f>INT(E362*N362)</f>
        <v>#N/A</v>
      </c>
      <c r="P362" s="3509">
        <f>床・天井!M91</f>
        <v>0</v>
      </c>
      <c r="Q362" s="3506" t="s">
        <v>194</v>
      </c>
      <c r="R362" s="3250">
        <f>IF(ISERROR(INT(O362*P362)),0,INT(O362*P362))</f>
        <v>0</v>
      </c>
      <c r="S362" s="3252"/>
      <c r="T362" s="2395" t="b">
        <f t="shared" ref="T362:T367" si="41">T$361</f>
        <v>0</v>
      </c>
      <c r="U362" s="3500" t="s">
        <v>1443</v>
      </c>
    </row>
    <row r="363" spans="1:21" ht="13.5" customHeight="1">
      <c r="B363" s="3590"/>
      <c r="C363" s="2625"/>
      <c r="D363" s="2625"/>
      <c r="E363" s="3547"/>
      <c r="F363" s="3548"/>
      <c r="G363" s="3448"/>
      <c r="H363" s="813" t="e">
        <f>HLOOKUP(H362,I362:M363,2,0)</f>
        <v>#N/A</v>
      </c>
      <c r="I363" s="814" t="e">
        <f>VLOOKUP($L$9,換気設備,4,0)</f>
        <v>#N/A</v>
      </c>
      <c r="J363" s="815" t="e">
        <f>VLOOKUP($L$9,換気設備,6,0)</f>
        <v>#N/A</v>
      </c>
      <c r="K363" s="2322"/>
      <c r="L363" s="2322"/>
      <c r="M363" s="2322"/>
      <c r="N363" s="3462"/>
      <c r="O363" s="3451"/>
      <c r="P363" s="2907"/>
      <c r="Q363" s="3459"/>
      <c r="R363" s="3245"/>
      <c r="S363" s="3247"/>
      <c r="T363" s="2395" t="b">
        <f t="shared" si="41"/>
        <v>0</v>
      </c>
      <c r="U363" s="3500"/>
    </row>
    <row r="364" spans="1:21" ht="13.5" customHeight="1">
      <c r="B364" s="3590"/>
      <c r="C364" s="2625"/>
      <c r="D364" s="2625"/>
      <c r="E364" s="3547"/>
      <c r="F364" s="3548"/>
      <c r="G364" s="3449" t="s">
        <v>233</v>
      </c>
      <c r="H364" s="818"/>
      <c r="I364" s="819" t="e">
        <f>VLOOKUP($L$9,換気設備,11,0)</f>
        <v>#N/A</v>
      </c>
      <c r="J364" s="821" t="e">
        <f>VLOOKUP($L$9,換気設備,13,0)</f>
        <v>#N/A</v>
      </c>
      <c r="K364" s="2322"/>
      <c r="L364" s="2322"/>
      <c r="M364" s="2322"/>
      <c r="N364" s="3462"/>
      <c r="O364" s="3451"/>
      <c r="P364" s="2907"/>
      <c r="Q364" s="3459"/>
      <c r="R364" s="3245"/>
      <c r="S364" s="3247"/>
      <c r="T364" s="2395" t="b">
        <f t="shared" si="41"/>
        <v>0</v>
      </c>
      <c r="U364" s="3501" t="s">
        <v>1487</v>
      </c>
    </row>
    <row r="365" spans="1:21" ht="13.5" customHeight="1">
      <c r="B365" s="3590"/>
      <c r="C365" s="2625"/>
      <c r="D365" s="2625"/>
      <c r="E365" s="3547"/>
      <c r="F365" s="3548"/>
      <c r="G365" s="3448"/>
      <c r="H365" s="813" t="e">
        <f>HLOOKUP(H364,I364:M365,2,0)</f>
        <v>#N/A</v>
      </c>
      <c r="I365" s="814" t="e">
        <f>VLOOKUP($L$9,換気設備,12,0)</f>
        <v>#N/A</v>
      </c>
      <c r="J365" s="815" t="e">
        <f>VLOOKUP($L$9,換気設備,14,0)</f>
        <v>#N/A</v>
      </c>
      <c r="K365" s="2322"/>
      <c r="L365" s="2322"/>
      <c r="M365" s="2322"/>
      <c r="N365" s="3462"/>
      <c r="O365" s="3451"/>
      <c r="P365" s="2907"/>
      <c r="Q365" s="3459"/>
      <c r="R365" s="3245"/>
      <c r="S365" s="3247"/>
      <c r="T365" s="2395" t="b">
        <f t="shared" si="41"/>
        <v>0</v>
      </c>
      <c r="U365" s="3501"/>
    </row>
    <row r="366" spans="1:21" ht="13.5" customHeight="1">
      <c r="B366" s="3590"/>
      <c r="C366" s="2625"/>
      <c r="D366" s="2625"/>
      <c r="E366" s="3547"/>
      <c r="F366" s="3548"/>
      <c r="G366" s="3448" t="s">
        <v>234</v>
      </c>
      <c r="H366" s="818"/>
      <c r="I366" s="819" t="e">
        <f>VLOOKUP($L$9,換気設備,15,0)</f>
        <v>#N/A</v>
      </c>
      <c r="J366" s="820" t="e">
        <f>VLOOKUP($L$9,換気設備,17,0)</f>
        <v>#N/A</v>
      </c>
      <c r="K366" s="821" t="e">
        <f>VLOOKUP($L$9,換気設備,19,0)</f>
        <v>#N/A</v>
      </c>
      <c r="L366" s="2322"/>
      <c r="M366" s="2322"/>
      <c r="N366" s="3462"/>
      <c r="O366" s="3451"/>
      <c r="P366" s="2907"/>
      <c r="Q366" s="3459"/>
      <c r="R366" s="3245"/>
      <c r="S366" s="3247"/>
      <c r="T366" s="2395" t="b">
        <f t="shared" si="41"/>
        <v>0</v>
      </c>
    </row>
    <row r="367" spans="1:21" ht="13.5" customHeight="1">
      <c r="B367" s="3590"/>
      <c r="C367" s="2625"/>
      <c r="D367" s="3607"/>
      <c r="E367" s="3549"/>
      <c r="F367" s="3550"/>
      <c r="G367" s="3448"/>
      <c r="H367" s="813" t="e">
        <f>HLOOKUP(H366,I366:M367,2,0)</f>
        <v>#N/A</v>
      </c>
      <c r="I367" s="814" t="e">
        <f>VLOOKUP($L$9,換気設備,16,0)</f>
        <v>#N/A</v>
      </c>
      <c r="J367" s="822" t="e">
        <f>VLOOKUP($L$9,換気設備,18,0)</f>
        <v>#N/A</v>
      </c>
      <c r="K367" s="815" t="e">
        <f>VLOOKUP($L$9,換気設備,20,0)</f>
        <v>#N/A</v>
      </c>
      <c r="L367" s="2306"/>
      <c r="M367" s="2306"/>
      <c r="N367" s="3463"/>
      <c r="O367" s="3452"/>
      <c r="P367" s="2490"/>
      <c r="Q367" s="3460"/>
      <c r="R367" s="3248"/>
      <c r="S367" s="3249"/>
      <c r="T367" s="2395" t="b">
        <f t="shared" si="41"/>
        <v>0</v>
      </c>
    </row>
    <row r="368" spans="1:21" ht="13.5" customHeight="1">
      <c r="B368" s="3590"/>
      <c r="C368" s="2625"/>
      <c r="D368" s="3602" t="s">
        <v>2160</v>
      </c>
      <c r="E368" s="3477" t="s">
        <v>149</v>
      </c>
      <c r="F368" s="3478"/>
      <c r="G368" s="1502" t="s">
        <v>150</v>
      </c>
      <c r="H368" s="2356"/>
      <c r="I368" s="2356"/>
      <c r="J368" s="2356"/>
      <c r="K368" s="2356"/>
      <c r="L368" s="2439"/>
      <c r="M368" s="2440"/>
      <c r="N368" s="2335" t="s">
        <v>524</v>
      </c>
      <c r="O368" s="2335" t="s">
        <v>151</v>
      </c>
      <c r="P368" s="2393" t="s">
        <v>152</v>
      </c>
      <c r="Q368" s="2394" t="s">
        <v>235</v>
      </c>
      <c r="R368" s="3448" t="s">
        <v>791</v>
      </c>
      <c r="S368" s="3448"/>
      <c r="T368" s="2395" t="b">
        <f>COUNTA(H369,H371)&lt;&gt;0</f>
        <v>0</v>
      </c>
      <c r="U368" s="3502" t="s">
        <v>2207</v>
      </c>
    </row>
    <row r="369" spans="1:21" ht="13.5" customHeight="1">
      <c r="A369">
        <f>ROW()</f>
        <v>369</v>
      </c>
      <c r="B369" s="3590"/>
      <c r="C369" s="2625"/>
      <c r="D369" s="2625"/>
      <c r="E369" s="3603" t="e">
        <f>VLOOKUP($L$9,換気一戸建,2,0)</f>
        <v>#N/A</v>
      </c>
      <c r="F369" s="3604"/>
      <c r="G369" s="3448" t="s">
        <v>232</v>
      </c>
      <c r="H369" s="818"/>
      <c r="I369" s="819" t="e">
        <f>VLOOKUP($L$9,換気一戸建,3,0)</f>
        <v>#N/A</v>
      </c>
      <c r="J369" s="820" t="e">
        <f>VLOOKUP($L$9,換気一戸建,5,0)</f>
        <v>#N/A</v>
      </c>
      <c r="K369" s="2441" t="e">
        <f>VLOOKUP($L$9,換気一戸建,7,0)</f>
        <v>#N/A</v>
      </c>
      <c r="L369" s="2327"/>
      <c r="M369" s="2327"/>
      <c r="N369" s="3559" t="e">
        <f>ROUNDDOWN(H370*H372,2)</f>
        <v>#N/A</v>
      </c>
      <c r="O369" s="3638" t="e">
        <f>INT(E369*N369)</f>
        <v>#N/A</v>
      </c>
      <c r="P369" s="3643">
        <f>$P$9</f>
        <v>0</v>
      </c>
      <c r="Q369" s="3640" t="s">
        <v>194</v>
      </c>
      <c r="R369" s="3647">
        <f>IF(ISERROR(INT(O369*P369)),0,INT(O369*P369))</f>
        <v>0</v>
      </c>
      <c r="S369" s="3648"/>
      <c r="T369" s="2395" t="b">
        <f>T$368</f>
        <v>0</v>
      </c>
      <c r="U369" s="3502"/>
    </row>
    <row r="370" spans="1:21" ht="13.5" customHeight="1">
      <c r="B370" s="3590"/>
      <c r="C370" s="2625"/>
      <c r="D370" s="2625"/>
      <c r="E370" s="2476"/>
      <c r="F370" s="3605"/>
      <c r="G370" s="3448"/>
      <c r="H370" s="903" t="e">
        <f>HLOOKUP(H369,I369:M370,2,0)</f>
        <v>#N/A</v>
      </c>
      <c r="I370" s="904" t="e">
        <f>VLOOKUP($L$9,換気一戸建,4,0)</f>
        <v>#N/A</v>
      </c>
      <c r="J370" s="2442" t="e">
        <f>VLOOKUP($L$9,換気一戸建,6,0)</f>
        <v>#N/A</v>
      </c>
      <c r="K370" s="2443" t="e">
        <f>VLOOKUP($L$9,換気一戸建,8,0)</f>
        <v>#N/A</v>
      </c>
      <c r="L370" s="2322"/>
      <c r="M370" s="2322"/>
      <c r="N370" s="3560"/>
      <c r="O370" s="3639"/>
      <c r="P370" s="3644"/>
      <c r="Q370" s="3641"/>
      <c r="R370" s="3481"/>
      <c r="S370" s="3482"/>
      <c r="T370" s="2395" t="b">
        <f>T$368</f>
        <v>0</v>
      </c>
      <c r="U370" s="3502"/>
    </row>
    <row r="371" spans="1:21" ht="13.5" customHeight="1">
      <c r="B371" s="3590"/>
      <c r="C371" s="2625"/>
      <c r="D371" s="2625"/>
      <c r="E371" s="2476"/>
      <c r="F371" s="3605"/>
      <c r="G371" s="3449" t="s">
        <v>794</v>
      </c>
      <c r="H371" s="818"/>
      <c r="I371" s="819" t="e">
        <f>VLOOKUP($L$9,換気一戸建,9,0)</f>
        <v>#N/A</v>
      </c>
      <c r="J371" s="820" t="e">
        <f>VLOOKUP($L$9,換気一戸建,11,0)</f>
        <v>#N/A</v>
      </c>
      <c r="K371" s="2441" t="e">
        <f>VLOOKUP($L$9,換気一戸建,13,0)</f>
        <v>#N/A</v>
      </c>
      <c r="L371" s="2322"/>
      <c r="M371" s="2322"/>
      <c r="N371" s="3560"/>
      <c r="O371" s="3639"/>
      <c r="P371" s="3644"/>
      <c r="Q371" s="3641"/>
      <c r="R371" s="3481"/>
      <c r="S371" s="3482"/>
      <c r="T371" s="2395" t="b">
        <f>T$368</f>
        <v>0</v>
      </c>
      <c r="U371" s="3502"/>
    </row>
    <row r="372" spans="1:21" ht="13.5" customHeight="1">
      <c r="B372" s="3590"/>
      <c r="C372" s="2625"/>
      <c r="D372" s="2626"/>
      <c r="E372" s="2476"/>
      <c r="F372" s="3605"/>
      <c r="G372" s="3448"/>
      <c r="H372" s="903" t="e">
        <f>HLOOKUP(H371,I371:M372,2,0)</f>
        <v>#N/A</v>
      </c>
      <c r="I372" s="904" t="e">
        <f>VLOOKUP($L$9,換気一戸建,10,0)</f>
        <v>#N/A</v>
      </c>
      <c r="J372" s="2442" t="e">
        <f>VLOOKUP($L$9,換気一戸建,12,0)</f>
        <v>#N/A</v>
      </c>
      <c r="K372" s="2443" t="e">
        <f>VLOOKUP($L$9,換気一戸建,14,0)</f>
        <v>#N/A</v>
      </c>
      <c r="L372" s="2322"/>
      <c r="M372" s="2322"/>
      <c r="N372" s="3560"/>
      <c r="O372" s="3639"/>
      <c r="P372" s="3644"/>
      <c r="Q372" s="3641"/>
      <c r="R372" s="3481"/>
      <c r="S372" s="3482"/>
      <c r="T372" s="2395" t="b">
        <f>T$368</f>
        <v>0</v>
      </c>
      <c r="U372" s="3502"/>
    </row>
    <row r="373" spans="1:21" ht="13.5" customHeight="1">
      <c r="B373" s="3590"/>
      <c r="C373" s="2625"/>
      <c r="D373" s="3599" t="s">
        <v>2161</v>
      </c>
      <c r="E373" s="3477" t="s">
        <v>149</v>
      </c>
      <c r="F373" s="3478"/>
      <c r="G373" s="1502" t="s">
        <v>150</v>
      </c>
      <c r="H373" s="2356"/>
      <c r="I373" s="2356"/>
      <c r="J373" s="2356"/>
      <c r="K373" s="2356"/>
      <c r="L373" s="2439"/>
      <c r="M373" s="2440"/>
      <c r="N373" s="2335" t="s">
        <v>524</v>
      </c>
      <c r="O373" s="2335" t="s">
        <v>151</v>
      </c>
      <c r="P373" s="2393" t="s">
        <v>152</v>
      </c>
      <c r="Q373" s="2394" t="s">
        <v>235</v>
      </c>
      <c r="R373" s="3448" t="s">
        <v>791</v>
      </c>
      <c r="S373" s="3448"/>
      <c r="T373" s="2395" t="b">
        <f>COUNTA(H374,H376)&lt;&gt;0</f>
        <v>0</v>
      </c>
      <c r="U373" s="2338" t="s">
        <v>2201</v>
      </c>
    </row>
    <row r="374" spans="1:21" ht="13.5" customHeight="1">
      <c r="A374">
        <f>ROW()</f>
        <v>374</v>
      </c>
      <c r="B374" s="3590"/>
      <c r="C374" s="2625"/>
      <c r="D374" s="3600"/>
      <c r="E374" s="3593" t="e">
        <f>VLOOKUP($L$9,換気集合形式,2,0)</f>
        <v>#N/A</v>
      </c>
      <c r="F374" s="3594"/>
      <c r="G374" s="3448" t="s">
        <v>232</v>
      </c>
      <c r="H374" s="881"/>
      <c r="I374" s="882" t="e">
        <f>VLOOKUP($L$9,換気集合形式,3,0)</f>
        <v>#N/A</v>
      </c>
      <c r="J374" s="883" t="e">
        <f>VLOOKUP($L$9,換気集合形式,5,0)</f>
        <v>#N/A</v>
      </c>
      <c r="K374" s="884" t="e">
        <f>VLOOKUP($L$9,換気集合形式,7,0)</f>
        <v>#N/A</v>
      </c>
      <c r="L374" s="936"/>
      <c r="M374" s="937"/>
      <c r="N374" s="3559" t="e">
        <f>ROUNDDOWN(H375*H377,2)</f>
        <v>#N/A</v>
      </c>
      <c r="O374" s="3638" t="e">
        <f>INT(E374*N374)</f>
        <v>#N/A</v>
      </c>
      <c r="P374" s="3643">
        <f>$P$9</f>
        <v>0</v>
      </c>
      <c r="Q374" s="3640" t="s">
        <v>68</v>
      </c>
      <c r="R374" s="3647">
        <f>IF(ISERROR(INT(O374*P374)),0,INT(O374*P374))</f>
        <v>0</v>
      </c>
      <c r="S374" s="3648"/>
      <c r="T374" s="2444" t="b">
        <f>T$373</f>
        <v>0</v>
      </c>
    </row>
    <row r="375" spans="1:21" ht="13.5" customHeight="1">
      <c r="B375" s="3590"/>
      <c r="C375" s="2625"/>
      <c r="D375" s="3600"/>
      <c r="E375" s="3595"/>
      <c r="F375" s="3596"/>
      <c r="G375" s="3448"/>
      <c r="H375" s="903" t="e">
        <f>HLOOKUP(H374,I374:M375,2,0)</f>
        <v>#N/A</v>
      </c>
      <c r="I375" s="904" t="e">
        <f>VLOOKUP($L$9,換気集合形式,4,0)</f>
        <v>#N/A</v>
      </c>
      <c r="J375" s="2442" t="e">
        <f>VLOOKUP($L$9,換気集合形式,6,0)</f>
        <v>#N/A</v>
      </c>
      <c r="K375" s="935" t="e">
        <f>VLOOKUP($L$9,換気集合形式,8,0)</f>
        <v>#N/A</v>
      </c>
      <c r="L375" s="938"/>
      <c r="M375" s="939"/>
      <c r="N375" s="3560"/>
      <c r="O375" s="3639"/>
      <c r="P375" s="3644"/>
      <c r="Q375" s="3641"/>
      <c r="R375" s="3481"/>
      <c r="S375" s="3482"/>
      <c r="T375" s="2444" t="b">
        <f t="shared" ref="T375:T377" si="42">T$373</f>
        <v>0</v>
      </c>
    </row>
    <row r="376" spans="1:21" ht="13.5" customHeight="1">
      <c r="B376" s="3590"/>
      <c r="C376" s="2625"/>
      <c r="D376" s="3600"/>
      <c r="E376" s="3595"/>
      <c r="F376" s="3596"/>
      <c r="G376" s="3448" t="s">
        <v>794</v>
      </c>
      <c r="H376" s="881"/>
      <c r="I376" s="882" t="e">
        <f>VLOOKUP($L$9,換気集合形式,9,0)</f>
        <v>#N/A</v>
      </c>
      <c r="J376" s="883" t="e">
        <f>VLOOKUP($L$9,換気集合形式,11,0)</f>
        <v>#N/A</v>
      </c>
      <c r="K376" s="884" t="e">
        <f>VLOOKUP($L$9,換気集合形式,13,0)</f>
        <v>#N/A</v>
      </c>
      <c r="L376" s="936"/>
      <c r="M376" s="937"/>
      <c r="N376" s="3560"/>
      <c r="O376" s="3639"/>
      <c r="P376" s="3644"/>
      <c r="Q376" s="3641"/>
      <c r="R376" s="3481"/>
      <c r="S376" s="3482"/>
      <c r="T376" s="2444" t="b">
        <f t="shared" si="42"/>
        <v>0</v>
      </c>
    </row>
    <row r="377" spans="1:21" ht="13.5" customHeight="1">
      <c r="B377" s="3590"/>
      <c r="C377" s="2625"/>
      <c r="D377" s="3601"/>
      <c r="E377" s="3597"/>
      <c r="F377" s="3598"/>
      <c r="G377" s="3448"/>
      <c r="H377" s="903" t="e">
        <f>HLOOKUP(H376,I376:M377,2,0)</f>
        <v>#N/A</v>
      </c>
      <c r="I377" s="904" t="e">
        <f>VLOOKUP($L$9,換気集合形式,10,0)</f>
        <v>#N/A</v>
      </c>
      <c r="J377" s="2442" t="e">
        <f>VLOOKUP($L$9,換気集合形式,12,0)</f>
        <v>#N/A</v>
      </c>
      <c r="K377" s="935" t="e">
        <f>VLOOKUP($L$9,換気集合形式,14,0)</f>
        <v>#N/A</v>
      </c>
      <c r="L377" s="938"/>
      <c r="M377" s="939"/>
      <c r="N377" s="3560"/>
      <c r="O377" s="3639"/>
      <c r="P377" s="3644"/>
      <c r="Q377" s="3641"/>
      <c r="R377" s="3481"/>
      <c r="S377" s="3482"/>
      <c r="T377" s="2444" t="b">
        <f t="shared" si="42"/>
        <v>0</v>
      </c>
    </row>
    <row r="378" spans="1:21" ht="13.5" customHeight="1">
      <c r="B378" s="3590"/>
      <c r="C378" s="2625"/>
      <c r="D378" s="871"/>
      <c r="E378" s="3477" t="s">
        <v>149</v>
      </c>
      <c r="F378" s="3478"/>
      <c r="G378" s="1502" t="s">
        <v>150</v>
      </c>
      <c r="H378" s="2356"/>
      <c r="I378" s="2356"/>
      <c r="J378" s="2356"/>
      <c r="K378" s="2356"/>
      <c r="L378" s="2356"/>
      <c r="M378" s="2357"/>
      <c r="N378" s="2335" t="s">
        <v>524</v>
      </c>
      <c r="O378" s="2335" t="s">
        <v>151</v>
      </c>
      <c r="P378" s="2393" t="s">
        <v>152</v>
      </c>
      <c r="Q378" s="2394" t="s">
        <v>177</v>
      </c>
      <c r="R378" s="3448" t="s">
        <v>791</v>
      </c>
      <c r="S378" s="3448"/>
      <c r="T378" s="2395" t="b">
        <f>+OR(T379,T381,T383)</f>
        <v>0</v>
      </c>
      <c r="U378" s="2358" t="s">
        <v>1444</v>
      </c>
    </row>
    <row r="379" spans="1:21" ht="13.5" customHeight="1">
      <c r="A379">
        <f>ROW()</f>
        <v>379</v>
      </c>
      <c r="B379" s="3590"/>
      <c r="C379" s="2625"/>
      <c r="D379" s="2625" t="s">
        <v>236</v>
      </c>
      <c r="E379" s="3545" t="e">
        <f>VLOOKUP($L$9,換気扇,2,0)</f>
        <v>#N/A</v>
      </c>
      <c r="F379" s="3546"/>
      <c r="G379" s="3448" t="s">
        <v>196</v>
      </c>
      <c r="H379" s="940"/>
      <c r="I379" s="882" t="e">
        <f>VLOOKUP($L$9,換気扇,3,0)</f>
        <v>#N/A</v>
      </c>
      <c r="J379" s="883" t="e">
        <f>VLOOKUP($L$9,換気扇,5,0)</f>
        <v>#N/A</v>
      </c>
      <c r="K379" s="941" t="e">
        <f>VLOOKUP($L$9,換気扇,7,0)</f>
        <v>#N/A</v>
      </c>
      <c r="L379" s="1525"/>
      <c r="M379" s="937"/>
      <c r="N379" s="3461" t="e">
        <f>H380</f>
        <v>#N/A</v>
      </c>
      <c r="O379" s="3450" t="e">
        <f>INT(E$379*N379)</f>
        <v>#N/A</v>
      </c>
      <c r="P379" s="3455"/>
      <c r="Q379" s="3506" t="s">
        <v>178</v>
      </c>
      <c r="R379" s="3250">
        <f>IF(ISERROR(INT(O379*P379)),0,INT(O379*P379))</f>
        <v>0</v>
      </c>
      <c r="S379" s="3252"/>
      <c r="T379" s="2444" t="b">
        <f>COUNTA(H379,P379)&lt;&gt;0</f>
        <v>0</v>
      </c>
      <c r="U379" s="2358" t="s">
        <v>1445</v>
      </c>
    </row>
    <row r="380" spans="1:21" ht="13.5" customHeight="1">
      <c r="B380" s="3590"/>
      <c r="C380" s="2625"/>
      <c r="D380" s="2625"/>
      <c r="E380" s="3547"/>
      <c r="F380" s="3548"/>
      <c r="G380" s="3448"/>
      <c r="H380" s="815" t="e">
        <f>ROUNDDOWN($J380+(H379-$J379)*IF(H379&gt;$J379,($I380-$J380)/($I379-$J379),($J380-$K380)/($J379-$K379)),2)</f>
        <v>#N/A</v>
      </c>
      <c r="I380" s="814" t="e">
        <f>VLOOKUP($L$9,換気扇,4,0)</f>
        <v>#N/A</v>
      </c>
      <c r="J380" s="822" t="e">
        <f>VLOOKUP($L$9,換気扇,6,0)</f>
        <v>#N/A</v>
      </c>
      <c r="K380" s="815" t="e">
        <f>VLOOKUP($L$9,換気扇,8,0)</f>
        <v>#N/A</v>
      </c>
      <c r="L380" s="1526"/>
      <c r="M380" s="1524"/>
      <c r="N380" s="3462"/>
      <c r="O380" s="3451"/>
      <c r="P380" s="3456"/>
      <c r="Q380" s="3642"/>
      <c r="R380" s="3245"/>
      <c r="S380" s="3247"/>
      <c r="T380" s="2444" t="b">
        <f>T379</f>
        <v>0</v>
      </c>
    </row>
    <row r="381" spans="1:21" ht="13.5" customHeight="1">
      <c r="B381" s="3590"/>
      <c r="C381" s="2625"/>
      <c r="D381" s="2625"/>
      <c r="E381" s="3547"/>
      <c r="F381" s="3548"/>
      <c r="G381" s="3448" t="s">
        <v>196</v>
      </c>
      <c r="H381" s="940"/>
      <c r="I381" s="882" t="e">
        <f>VLOOKUP($L$9,換気扇,3,0)</f>
        <v>#N/A</v>
      </c>
      <c r="J381" s="883" t="e">
        <f>VLOOKUP($L$9,換気扇,5,0)</f>
        <v>#N/A</v>
      </c>
      <c r="K381" s="941" t="e">
        <f>VLOOKUP($L$9,換気扇,7,0)</f>
        <v>#N/A</v>
      </c>
      <c r="L381" s="1527"/>
      <c r="M381" s="937"/>
      <c r="N381" s="3461" t="e">
        <f>H382</f>
        <v>#N/A</v>
      </c>
      <c r="O381" s="3450" t="e">
        <f>INT(E$379*N381)</f>
        <v>#N/A</v>
      </c>
      <c r="P381" s="3455"/>
      <c r="Q381" s="3506" t="s">
        <v>178</v>
      </c>
      <c r="R381" s="3250">
        <f>IF(ISERROR(INT(O381*P381)),0,INT(O381*P381))</f>
        <v>0</v>
      </c>
      <c r="S381" s="3252"/>
      <c r="T381" s="2444" t="b">
        <f>COUNTA(H381,P381)&lt;&gt;0</f>
        <v>0</v>
      </c>
    </row>
    <row r="382" spans="1:21" ht="13.5" customHeight="1">
      <c r="B382" s="3590"/>
      <c r="C382" s="2625"/>
      <c r="D382" s="2625"/>
      <c r="E382" s="3547"/>
      <c r="F382" s="3548"/>
      <c r="G382" s="3448"/>
      <c r="H382" s="815" t="e">
        <f>ROUNDDOWN($J382+(H381-$J381)*IF(H381&gt;$J381,($I382-$J382)/($I381-$J381),($J382-$K382)/($J381-$K381)),2)</f>
        <v>#N/A</v>
      </c>
      <c r="I382" s="814" t="e">
        <f>VLOOKUP($L$9,換気扇,4,0)</f>
        <v>#N/A</v>
      </c>
      <c r="J382" s="822" t="e">
        <f>VLOOKUP($L$9,換気扇,6,0)</f>
        <v>#N/A</v>
      </c>
      <c r="K382" s="815" t="e">
        <f>VLOOKUP($L$9,換気扇,8,0)</f>
        <v>#N/A</v>
      </c>
      <c r="L382" s="1526"/>
      <c r="M382" s="1524"/>
      <c r="N382" s="3462"/>
      <c r="O382" s="3451"/>
      <c r="P382" s="3456"/>
      <c r="Q382" s="3642"/>
      <c r="R382" s="3245"/>
      <c r="S382" s="3247"/>
      <c r="T382" s="2444" t="b">
        <f>T381</f>
        <v>0</v>
      </c>
    </row>
    <row r="383" spans="1:21" ht="13.5" customHeight="1">
      <c r="B383" s="3590"/>
      <c r="C383" s="2625"/>
      <c r="D383" s="2625"/>
      <c r="E383" s="3547"/>
      <c r="F383" s="3548"/>
      <c r="G383" s="3448" t="s">
        <v>196</v>
      </c>
      <c r="H383" s="940"/>
      <c r="I383" s="882" t="e">
        <f>VLOOKUP($L$9,換気扇,3,0)</f>
        <v>#N/A</v>
      </c>
      <c r="J383" s="883" t="e">
        <f>VLOOKUP($L$9,換気扇,5,0)</f>
        <v>#N/A</v>
      </c>
      <c r="K383" s="941" t="e">
        <f>VLOOKUP($L$9,換気扇,7,0)</f>
        <v>#N/A</v>
      </c>
      <c r="L383" s="1527"/>
      <c r="M383" s="937"/>
      <c r="N383" s="3461" t="e">
        <f>H384</f>
        <v>#N/A</v>
      </c>
      <c r="O383" s="3450" t="e">
        <f>INT(E$379*N383)</f>
        <v>#N/A</v>
      </c>
      <c r="P383" s="3455"/>
      <c r="Q383" s="3506" t="s">
        <v>178</v>
      </c>
      <c r="R383" s="3250">
        <f>IF(ISERROR(INT(O383*P383)),0,INT(O383*P383))</f>
        <v>0</v>
      </c>
      <c r="S383" s="3252"/>
      <c r="T383" s="2444" t="b">
        <f>COUNTA(H383,P383)&lt;&gt;0</f>
        <v>0</v>
      </c>
    </row>
    <row r="384" spans="1:21" ht="13.5" customHeight="1">
      <c r="B384" s="3590"/>
      <c r="C384" s="2625"/>
      <c r="D384" s="3607"/>
      <c r="E384" s="3549"/>
      <c r="F384" s="3550"/>
      <c r="G384" s="3448"/>
      <c r="H384" s="815" t="e">
        <f>ROUNDDOWN($J384+(H383-$J383)*IF(H383&gt;$J383,($I384-$J384)/($I383-$J383),($J384-$K384)/($J383-$K383)),2)</f>
        <v>#N/A</v>
      </c>
      <c r="I384" s="814" t="e">
        <f>VLOOKUP($L$9,換気扇,4,0)</f>
        <v>#N/A</v>
      </c>
      <c r="J384" s="822" t="e">
        <f>VLOOKUP($L$9,換気扇,6,0)</f>
        <v>#N/A</v>
      </c>
      <c r="K384" s="815" t="e">
        <f>VLOOKUP($L$9,換気扇,8,0)</f>
        <v>#N/A</v>
      </c>
      <c r="L384" s="1466"/>
      <c r="M384" s="1524"/>
      <c r="N384" s="3463"/>
      <c r="O384" s="3451"/>
      <c r="P384" s="3457"/>
      <c r="Q384" s="3508"/>
      <c r="R384" s="3248"/>
      <c r="S384" s="3249"/>
      <c r="T384" s="2444" t="b">
        <f>T383</f>
        <v>0</v>
      </c>
    </row>
    <row r="385" spans="1:21" ht="13.5" customHeight="1">
      <c r="B385" s="3590"/>
      <c r="C385" s="2625"/>
      <c r="D385" s="871"/>
      <c r="E385" s="3477" t="s">
        <v>149</v>
      </c>
      <c r="F385" s="3478"/>
      <c r="G385" s="1502" t="s">
        <v>150</v>
      </c>
      <c r="H385" s="2356"/>
      <c r="I385" s="2356"/>
      <c r="J385" s="2356"/>
      <c r="K385" s="2356"/>
      <c r="L385" s="2356"/>
      <c r="M385" s="2357"/>
      <c r="N385" s="2335" t="s">
        <v>524</v>
      </c>
      <c r="O385" s="2335" t="s">
        <v>151</v>
      </c>
      <c r="P385" s="2393" t="s">
        <v>152</v>
      </c>
      <c r="Q385" s="2394" t="s">
        <v>177</v>
      </c>
      <c r="R385" s="3448" t="s">
        <v>791</v>
      </c>
      <c r="S385" s="3448"/>
      <c r="T385" s="2395" t="b">
        <f>COUNTA(H386,P386)&lt;&gt;0</f>
        <v>0</v>
      </c>
    </row>
    <row r="386" spans="1:21" ht="13.5" customHeight="1">
      <c r="B386" s="3590"/>
      <c r="C386" s="2625"/>
      <c r="D386" s="3610" t="s">
        <v>237</v>
      </c>
      <c r="E386" s="3250" t="e">
        <f>VLOOKUP($L$9,レンジフード,2,0)</f>
        <v>#N/A</v>
      </c>
      <c r="F386" s="3252"/>
      <c r="G386" s="3448" t="s">
        <v>196</v>
      </c>
      <c r="H386" s="881"/>
      <c r="I386" s="882" t="e">
        <f>VLOOKUP($L$9,レンジフード,3,0)</f>
        <v>#N/A</v>
      </c>
      <c r="J386" s="883" t="e">
        <f>VLOOKUP($L$9,レンジフード,5,0)</f>
        <v>#N/A</v>
      </c>
      <c r="K386" s="941" t="e">
        <f>VLOOKUP($L$9,レンジフード,7,0)</f>
        <v>#N/A</v>
      </c>
      <c r="L386" s="2327"/>
      <c r="M386" s="2327"/>
      <c r="N386" s="3461" t="e">
        <f>H387</f>
        <v>#N/A</v>
      </c>
      <c r="O386" s="3450" t="e">
        <f>INT(E386*N386)</f>
        <v>#N/A</v>
      </c>
      <c r="P386" s="3455"/>
      <c r="Q386" s="3506" t="s">
        <v>178</v>
      </c>
      <c r="R386" s="3250">
        <f>IF(ISERROR(INT(O386*P386)),0,INT(O386*P386))</f>
        <v>0</v>
      </c>
      <c r="S386" s="3252"/>
      <c r="T386" s="2444" t="b">
        <f>T$385</f>
        <v>0</v>
      </c>
    </row>
    <row r="387" spans="1:21" ht="13.5" customHeight="1">
      <c r="B387" s="3590"/>
      <c r="C387" s="2625"/>
      <c r="D387" s="3614"/>
      <c r="E387" s="3248"/>
      <c r="F387" s="3249"/>
      <c r="G387" s="3448"/>
      <c r="H387" s="813" t="e">
        <f>HLOOKUP(H386,I386:M387,2,0)</f>
        <v>#N/A</v>
      </c>
      <c r="I387" s="814" t="e">
        <f>VLOOKUP($L$9,レンジフード,4,0)</f>
        <v>#N/A</v>
      </c>
      <c r="J387" s="822" t="e">
        <f>VLOOKUP($L$9,レンジフード,6,0)</f>
        <v>#N/A</v>
      </c>
      <c r="K387" s="815" t="e">
        <f>VLOOKUP($L$9,レンジフード,8,0)</f>
        <v>#N/A</v>
      </c>
      <c r="L387" s="2306"/>
      <c r="M387" s="2325"/>
      <c r="N387" s="3463"/>
      <c r="O387" s="3452"/>
      <c r="P387" s="3457"/>
      <c r="Q387" s="3508"/>
      <c r="R387" s="3248"/>
      <c r="S387" s="3249"/>
      <c r="T387" s="2444" t="b">
        <f>T$385</f>
        <v>0</v>
      </c>
    </row>
    <row r="388" spans="1:21" ht="13.5" customHeight="1">
      <c r="B388" s="3590"/>
      <c r="C388" s="2625"/>
      <c r="D388" s="3609" t="s">
        <v>1344</v>
      </c>
      <c r="E388" s="3477" t="s">
        <v>149</v>
      </c>
      <c r="F388" s="3478"/>
      <c r="G388" s="1502" t="s">
        <v>150</v>
      </c>
      <c r="H388" s="2356"/>
      <c r="I388" s="2356"/>
      <c r="J388" s="2356"/>
      <c r="K388" s="2356"/>
      <c r="L388" s="2356"/>
      <c r="M388" s="2357"/>
      <c r="N388" s="2335" t="s">
        <v>524</v>
      </c>
      <c r="O388" s="2335" t="s">
        <v>151</v>
      </c>
      <c r="P388" s="2393" t="s">
        <v>152</v>
      </c>
      <c r="Q388" s="2394" t="s">
        <v>1345</v>
      </c>
      <c r="R388" s="3448" t="s">
        <v>791</v>
      </c>
      <c r="S388" s="3448"/>
      <c r="T388" s="2395" t="b">
        <f>P389&lt;&gt;0</f>
        <v>0</v>
      </c>
    </row>
    <row r="389" spans="1:21" ht="13.5" customHeight="1">
      <c r="B389" s="3590"/>
      <c r="C389" s="2625"/>
      <c r="D389" s="3221"/>
      <c r="E389" s="3250" t="e">
        <f>VLOOKUP($L$9,一般機械排煙,2,0)</f>
        <v>#N/A</v>
      </c>
      <c r="F389" s="3252"/>
      <c r="G389" s="3448" t="s">
        <v>794</v>
      </c>
      <c r="H389" s="1805" t="s">
        <v>1618</v>
      </c>
      <c r="I389" s="1527"/>
      <c r="J389" s="1525"/>
      <c r="K389" s="1525"/>
      <c r="L389" s="1563"/>
      <c r="M389" s="1465"/>
      <c r="N389" s="3461">
        <f>H390</f>
        <v>1</v>
      </c>
      <c r="O389" s="3450" t="e">
        <f>INT(E389*N389)</f>
        <v>#N/A</v>
      </c>
      <c r="P389" s="3455"/>
      <c r="Q389" s="3506" t="s">
        <v>238</v>
      </c>
      <c r="R389" s="3250">
        <f>IF(ISERROR(INT(O389*P389)),0,INT(O389*P389))</f>
        <v>0</v>
      </c>
      <c r="S389" s="3252"/>
      <c r="T389" s="2395" t="b">
        <f>T$388</f>
        <v>0</v>
      </c>
      <c r="U389" s="2358" t="s">
        <v>1616</v>
      </c>
    </row>
    <row r="390" spans="1:21" ht="13.5" customHeight="1">
      <c r="B390" s="3590"/>
      <c r="C390" s="2625"/>
      <c r="D390" s="3222"/>
      <c r="E390" s="3248"/>
      <c r="F390" s="3249"/>
      <c r="G390" s="3448"/>
      <c r="H390" s="1707">
        <v>1</v>
      </c>
      <c r="I390" s="1526"/>
      <c r="J390" s="1466"/>
      <c r="K390" s="1466"/>
      <c r="L390" s="1665"/>
      <c r="M390" s="503"/>
      <c r="N390" s="3463"/>
      <c r="O390" s="3452"/>
      <c r="P390" s="3457"/>
      <c r="Q390" s="3508"/>
      <c r="R390" s="3248"/>
      <c r="S390" s="3249"/>
      <c r="T390" s="2395" t="b">
        <f>T$388</f>
        <v>0</v>
      </c>
      <c r="U390" s="2358" t="s">
        <v>1617</v>
      </c>
    </row>
    <row r="391" spans="1:21" ht="13.5" customHeight="1">
      <c r="B391" s="3590"/>
      <c r="C391" s="2625"/>
      <c r="D391" s="871"/>
      <c r="E391" s="3477" t="s">
        <v>149</v>
      </c>
      <c r="F391" s="3478"/>
      <c r="G391" s="1502" t="s">
        <v>150</v>
      </c>
      <c r="H391" s="2356"/>
      <c r="I391" s="2356"/>
      <c r="J391" s="2356"/>
      <c r="K391" s="2356"/>
      <c r="L391" s="2356"/>
      <c r="M391" s="2357"/>
      <c r="N391" s="2335" t="s">
        <v>524</v>
      </c>
      <c r="O391" s="2335" t="s">
        <v>151</v>
      </c>
      <c r="P391" s="2393" t="s">
        <v>152</v>
      </c>
      <c r="Q391" s="2394" t="s">
        <v>1345</v>
      </c>
      <c r="R391" s="3448" t="s">
        <v>791</v>
      </c>
      <c r="S391" s="3448"/>
      <c r="T391" s="2395" t="b">
        <f>P392&lt;&gt;0</f>
        <v>0</v>
      </c>
    </row>
    <row r="392" spans="1:21" ht="13.5" customHeight="1">
      <c r="B392" s="3590"/>
      <c r="C392" s="2625"/>
      <c r="D392" s="3221" t="s">
        <v>239</v>
      </c>
      <c r="E392" s="3250" t="e">
        <f>VLOOKUP($L$9,附室排煙,2,0)</f>
        <v>#N/A</v>
      </c>
      <c r="F392" s="3252"/>
      <c r="G392" s="3448" t="s">
        <v>794</v>
      </c>
      <c r="H392" s="1805" t="s">
        <v>1618</v>
      </c>
      <c r="I392" s="1527"/>
      <c r="J392" s="1525"/>
      <c r="K392" s="1525"/>
      <c r="L392" s="1563"/>
      <c r="M392" s="1465"/>
      <c r="N392" s="3461">
        <f>H393</f>
        <v>1</v>
      </c>
      <c r="O392" s="3450" t="e">
        <f>INT(E392*N392)</f>
        <v>#N/A</v>
      </c>
      <c r="P392" s="3455"/>
      <c r="Q392" s="3506" t="s">
        <v>238</v>
      </c>
      <c r="R392" s="3250">
        <f>IF(ISERROR(INT(O392*P392)),0,INT(O392*P392))</f>
        <v>0</v>
      </c>
      <c r="S392" s="3252"/>
      <c r="T392" s="2395" t="b">
        <f>T$391</f>
        <v>0</v>
      </c>
      <c r="U392" s="2358" t="s">
        <v>1616</v>
      </c>
    </row>
    <row r="393" spans="1:21" ht="13.5" customHeight="1">
      <c r="B393" s="3590"/>
      <c r="C393" s="2625"/>
      <c r="D393" s="3222"/>
      <c r="E393" s="3248"/>
      <c r="F393" s="3249"/>
      <c r="G393" s="3448"/>
      <c r="H393" s="1707">
        <v>1</v>
      </c>
      <c r="I393" s="1526"/>
      <c r="J393" s="1466"/>
      <c r="K393" s="1466"/>
      <c r="L393" s="1665"/>
      <c r="M393" s="503"/>
      <c r="N393" s="3463"/>
      <c r="O393" s="3452"/>
      <c r="P393" s="3457"/>
      <c r="Q393" s="3508"/>
      <c r="R393" s="3248"/>
      <c r="S393" s="3249"/>
      <c r="T393" s="2395" t="b">
        <f>T$391</f>
        <v>0</v>
      </c>
      <c r="U393" s="2358" t="s">
        <v>1617</v>
      </c>
    </row>
    <row r="394" spans="1:21" ht="13.5" customHeight="1">
      <c r="B394" s="3590"/>
      <c r="C394" s="2625"/>
      <c r="D394" s="2445"/>
      <c r="E394" s="3477" t="s">
        <v>149</v>
      </c>
      <c r="F394" s="3478"/>
      <c r="G394" s="1502" t="s">
        <v>150</v>
      </c>
      <c r="H394" s="2356"/>
      <c r="I394" s="2356"/>
      <c r="J394" s="2356"/>
      <c r="K394" s="2356"/>
      <c r="L394" s="2356"/>
      <c r="M394" s="2357"/>
      <c r="N394" s="2335" t="s">
        <v>524</v>
      </c>
      <c r="O394" s="2335" t="s">
        <v>151</v>
      </c>
      <c r="P394" s="2393" t="s">
        <v>152</v>
      </c>
      <c r="Q394" s="2394" t="s">
        <v>177</v>
      </c>
      <c r="R394" s="3448" t="s">
        <v>791</v>
      </c>
      <c r="S394" s="3448"/>
      <c r="T394" s="2395" t="b">
        <f>COUNTA(H395,H397,L395,P395)&lt;&gt;0</f>
        <v>0</v>
      </c>
    </row>
    <row r="395" spans="1:21" ht="13.5" customHeight="1">
      <c r="B395" s="3590"/>
      <c r="C395" s="2625"/>
      <c r="D395" s="3610" t="s">
        <v>240</v>
      </c>
      <c r="E395" s="3250" t="e">
        <f>VLOOKUP($L$9,ベンチレーター,2,0)</f>
        <v>#N/A</v>
      </c>
      <c r="F395" s="3252"/>
      <c r="G395" s="3448" t="s">
        <v>241</v>
      </c>
      <c r="H395" s="940"/>
      <c r="I395" s="882" t="e">
        <f>VLOOKUP($L$9,ベンチレーター,3,0)</f>
        <v>#N/A</v>
      </c>
      <c r="J395" s="883" t="e">
        <f>VLOOKUP($L$9,ベンチレーター,5,0)</f>
        <v>#N/A</v>
      </c>
      <c r="K395" s="941" t="e">
        <f>VLOOKUP($L$9,ベンチレーター,7,0)</f>
        <v>#N/A</v>
      </c>
      <c r="L395" s="1525"/>
      <c r="M395" s="1465"/>
      <c r="N395" s="3461" t="e">
        <f>ROUNDDOWN(H396*H398,2)</f>
        <v>#N/A</v>
      </c>
      <c r="O395" s="3450" t="e">
        <f>INT(E395*N395)</f>
        <v>#N/A</v>
      </c>
      <c r="P395" s="3455"/>
      <c r="Q395" s="3506" t="s">
        <v>178</v>
      </c>
      <c r="R395" s="3250">
        <f>IF(ISERROR(INT(O395*P395)),0,INT(O395*P395))</f>
        <v>0</v>
      </c>
      <c r="S395" s="3252"/>
      <c r="T395" s="2395" t="b">
        <f>T$394</f>
        <v>0</v>
      </c>
    </row>
    <row r="396" spans="1:21" ht="13.5" customHeight="1">
      <c r="B396" s="3590"/>
      <c r="C396" s="2625"/>
      <c r="D396" s="3610"/>
      <c r="E396" s="3245"/>
      <c r="F396" s="3247"/>
      <c r="G396" s="3448"/>
      <c r="H396" s="815" t="e">
        <f>ROUNDDOWN($J396+(H395^2-$J395^2)*IF(H395&gt;$J395,($J396-$I396)/($J395^2-$I395^2),($J396-$K396)/($J395^2-$K395^2)),2)</f>
        <v>#N/A</v>
      </c>
      <c r="I396" s="814" t="e">
        <f>VLOOKUP($L$9,ベンチレーター,4,0)</f>
        <v>#N/A</v>
      </c>
      <c r="J396" s="822" t="e">
        <f>VLOOKUP($L$9,ベンチレーター,6,0)</f>
        <v>#N/A</v>
      </c>
      <c r="K396" s="815" t="e">
        <f>VLOOKUP($L$9,ベンチレーター,8,0)</f>
        <v>#N/A</v>
      </c>
      <c r="L396" s="1603"/>
      <c r="M396" s="1529"/>
      <c r="N396" s="3462"/>
      <c r="O396" s="3451"/>
      <c r="P396" s="3456"/>
      <c r="Q396" s="3459"/>
      <c r="R396" s="3245"/>
      <c r="S396" s="3247"/>
      <c r="T396" s="2395" t="b">
        <f>T$394</f>
        <v>0</v>
      </c>
    </row>
    <row r="397" spans="1:21" ht="13.5" customHeight="1">
      <c r="B397" s="3590"/>
      <c r="C397" s="2625"/>
      <c r="D397" s="3610"/>
      <c r="E397" s="3245"/>
      <c r="F397" s="3247"/>
      <c r="G397" s="3449" t="s">
        <v>242</v>
      </c>
      <c r="H397" s="818"/>
      <c r="I397" s="819" t="e">
        <f>VLOOKUP($L$9,ベンチレーター,9,0)</f>
        <v>#N/A</v>
      </c>
      <c r="J397" s="821" t="e">
        <f>VLOOKUP($L$9,ベンチレーター,11,0)</f>
        <v>#N/A</v>
      </c>
      <c r="K397" s="2322"/>
      <c r="L397" s="1530"/>
      <c r="M397" s="1529"/>
      <c r="N397" s="3462"/>
      <c r="O397" s="3451"/>
      <c r="P397" s="3456"/>
      <c r="Q397" s="3459"/>
      <c r="R397" s="3245"/>
      <c r="S397" s="3247"/>
      <c r="T397" s="2395" t="b">
        <f>T$394</f>
        <v>0</v>
      </c>
    </row>
    <row r="398" spans="1:21" ht="13.5" customHeight="1">
      <c r="B398" s="3608"/>
      <c r="C398" s="3607"/>
      <c r="D398" s="3611"/>
      <c r="E398" s="3248"/>
      <c r="F398" s="3249"/>
      <c r="G398" s="3448"/>
      <c r="H398" s="813" t="e">
        <f>HLOOKUP(H397,I397:M398,2,0)</f>
        <v>#N/A</v>
      </c>
      <c r="I398" s="814" t="e">
        <f>VLOOKUP($L$9,ベンチレーター,10,0)</f>
        <v>#N/A</v>
      </c>
      <c r="J398" s="815" t="e">
        <f>VLOOKUP($L$9,ベンチレーター,12,0)</f>
        <v>#N/A</v>
      </c>
      <c r="K398" s="2306"/>
      <c r="L398" s="2306"/>
      <c r="M398" s="2306"/>
      <c r="N398" s="3463"/>
      <c r="O398" s="3452"/>
      <c r="P398" s="3457"/>
      <c r="Q398" s="3460"/>
      <c r="R398" s="3248"/>
      <c r="S398" s="3249"/>
      <c r="T398" s="2395" t="b">
        <f>T$394</f>
        <v>0</v>
      </c>
    </row>
    <row r="399" spans="1:21" ht="13.5" customHeight="1">
      <c r="B399" s="804"/>
      <c r="C399" s="879"/>
      <c r="D399" s="880"/>
      <c r="E399" s="3497" t="s">
        <v>149</v>
      </c>
      <c r="F399" s="3498"/>
      <c r="G399" s="34" t="s">
        <v>150</v>
      </c>
      <c r="H399" s="32"/>
      <c r="I399" s="32"/>
      <c r="J399" s="32"/>
      <c r="K399" s="32"/>
      <c r="L399" s="32"/>
      <c r="M399" s="33"/>
      <c r="N399" s="536" t="s">
        <v>524</v>
      </c>
      <c r="O399" s="536" t="s">
        <v>151</v>
      </c>
      <c r="P399" s="844" t="s">
        <v>152</v>
      </c>
      <c r="Q399" s="845" t="s">
        <v>160</v>
      </c>
      <c r="R399" s="3313" t="s">
        <v>791</v>
      </c>
      <c r="S399" s="3313"/>
      <c r="T399" s="25" t="b">
        <f>COUNTA(H400,H402,H404)&lt;&gt;0</f>
        <v>0</v>
      </c>
      <c r="U399" s="2358" t="s">
        <v>1348</v>
      </c>
    </row>
    <row r="400" spans="1:21" ht="13.5" customHeight="1">
      <c r="A400">
        <f>ROW()</f>
        <v>400</v>
      </c>
      <c r="B400" s="2649" t="s">
        <v>1662</v>
      </c>
      <c r="C400" s="2681" t="s">
        <v>243</v>
      </c>
      <c r="D400" s="2682"/>
      <c r="E400" s="3245" t="e">
        <f>VLOOKUP($L$9,火災報知,2,0)</f>
        <v>#N/A</v>
      </c>
      <c r="F400" s="3247"/>
      <c r="G400" s="3494" t="s">
        <v>245</v>
      </c>
      <c r="H400" s="818"/>
      <c r="I400" s="819" t="e">
        <f>VLOOKUP($L$9,火災報知,3,0)</f>
        <v>#N/A</v>
      </c>
      <c r="J400" s="820" t="e">
        <f>VLOOKUP($L$9,火災報知,5,0)</f>
        <v>#N/A</v>
      </c>
      <c r="K400" s="821" t="e">
        <f>VLOOKUP($L$9,火災報知,7,0)</f>
        <v>#N/A</v>
      </c>
      <c r="L400" s="510"/>
      <c r="M400" s="510"/>
      <c r="N400" s="3461" t="e">
        <f>ROUNDDOWN(H401*H403*H405*H407,2)</f>
        <v>#N/A</v>
      </c>
      <c r="O400" s="3450" t="e">
        <f>INT(E400*N400)</f>
        <v>#N/A</v>
      </c>
      <c r="P400" s="3509">
        <f>+床・天井!N91</f>
        <v>0</v>
      </c>
      <c r="Q400" s="3506" t="s">
        <v>244</v>
      </c>
      <c r="R400" s="3250">
        <f>IF(ISERROR(INT(O400*P400)),0,INT(O400*P400))</f>
        <v>0</v>
      </c>
      <c r="S400" s="3252"/>
      <c r="T400" s="25" t="b">
        <f t="shared" ref="T400:T407" si="43">T$399</f>
        <v>0</v>
      </c>
    </row>
    <row r="401" spans="2:21" ht="13.5" customHeight="1">
      <c r="B401" s="2649"/>
      <c r="C401" s="2681"/>
      <c r="D401" s="2682"/>
      <c r="E401" s="3245"/>
      <c r="F401" s="3247"/>
      <c r="G401" s="3494"/>
      <c r="H401" s="813" t="e">
        <f>HLOOKUP(H400,I400:M401,2,0)</f>
        <v>#N/A</v>
      </c>
      <c r="I401" s="814" t="e">
        <f>VLOOKUP($L$9,火災報知,4,0)</f>
        <v>#N/A</v>
      </c>
      <c r="J401" s="822" t="e">
        <f>VLOOKUP($L$9,火災報知,6,0)</f>
        <v>#N/A</v>
      </c>
      <c r="K401" s="815" t="e">
        <f>VLOOKUP($L$9,火災報知,8,0)</f>
        <v>#N/A</v>
      </c>
      <c r="L401" s="510"/>
      <c r="M401" s="510"/>
      <c r="N401" s="3462"/>
      <c r="O401" s="3451"/>
      <c r="P401" s="2907"/>
      <c r="Q401" s="3642"/>
      <c r="R401" s="3245"/>
      <c r="S401" s="3247"/>
      <c r="T401" s="25" t="b">
        <f t="shared" si="43"/>
        <v>0</v>
      </c>
    </row>
    <row r="402" spans="2:21" ht="13.5" customHeight="1">
      <c r="B402" s="2649"/>
      <c r="C402" s="2681"/>
      <c r="D402" s="2682"/>
      <c r="E402" s="3245"/>
      <c r="F402" s="3247"/>
      <c r="G402" s="3494" t="s">
        <v>246</v>
      </c>
      <c r="H402" s="818"/>
      <c r="I402" s="819" t="e">
        <f>VLOOKUP($L$9,火災報知,15,0)</f>
        <v>#N/A</v>
      </c>
      <c r="J402" s="820" t="e">
        <f>VLOOKUP($L$9,火災報知,17,0)</f>
        <v>#N/A</v>
      </c>
      <c r="K402" s="821" t="e">
        <f>VLOOKUP($L$9,火災報知,19,0)</f>
        <v>#N/A</v>
      </c>
      <c r="L402" s="510"/>
      <c r="M402" s="510"/>
      <c r="N402" s="3462"/>
      <c r="O402" s="3451"/>
      <c r="P402" s="2907"/>
      <c r="Q402" s="3642"/>
      <c r="R402" s="3245"/>
      <c r="S402" s="3247"/>
      <c r="T402" s="25" t="b">
        <f t="shared" si="43"/>
        <v>0</v>
      </c>
    </row>
    <row r="403" spans="2:21" ht="13.5" customHeight="1">
      <c r="B403" s="2649"/>
      <c r="C403" s="2681"/>
      <c r="D403" s="2682"/>
      <c r="E403" s="3245"/>
      <c r="F403" s="3247"/>
      <c r="G403" s="3494"/>
      <c r="H403" s="813" t="e">
        <f>HLOOKUP(H402,I402:M403,2,0)</f>
        <v>#N/A</v>
      </c>
      <c r="I403" s="814" t="e">
        <f>VLOOKUP($L$9,火災報知,16,0)</f>
        <v>#N/A</v>
      </c>
      <c r="J403" s="822" t="e">
        <f>VLOOKUP($L$9,火災報知,18,0)</f>
        <v>#N/A</v>
      </c>
      <c r="K403" s="815" t="e">
        <f>VLOOKUP($L$9,火災報知,20,0)</f>
        <v>#N/A</v>
      </c>
      <c r="L403" s="510"/>
      <c r="M403" s="510"/>
      <c r="N403" s="3462"/>
      <c r="O403" s="3451"/>
      <c r="P403" s="2907"/>
      <c r="Q403" s="3642"/>
      <c r="R403" s="3245"/>
      <c r="S403" s="3247"/>
      <c r="T403" s="25" t="b">
        <f t="shared" si="43"/>
        <v>0</v>
      </c>
    </row>
    <row r="404" spans="2:21" ht="13.5" customHeight="1">
      <c r="B404" s="2649"/>
      <c r="C404" s="2681"/>
      <c r="D404" s="2682"/>
      <c r="E404" s="3245"/>
      <c r="F404" s="3247"/>
      <c r="G404" s="3494" t="s">
        <v>794</v>
      </c>
      <c r="H404" s="818"/>
      <c r="I404" s="819" t="e">
        <f>VLOOKUP($L$9,火災報知,21,0)</f>
        <v>#N/A</v>
      </c>
      <c r="J404" s="820" t="e">
        <f>VLOOKUP($L$9,火災報知,23,0)</f>
        <v>#N/A</v>
      </c>
      <c r="K404" s="821" t="e">
        <f>VLOOKUP($L$9,火災報知,25,0)</f>
        <v>#N/A</v>
      </c>
      <c r="L404" s="510"/>
      <c r="M404" s="510"/>
      <c r="N404" s="3462"/>
      <c r="O404" s="3451"/>
      <c r="P404" s="2907"/>
      <c r="Q404" s="3642"/>
      <c r="R404" s="3245"/>
      <c r="S404" s="3247"/>
      <c r="T404" s="25" t="b">
        <f t="shared" si="43"/>
        <v>0</v>
      </c>
      <c r="U404" s="2358" t="s">
        <v>1620</v>
      </c>
    </row>
    <row r="405" spans="2:21" ht="13.5" customHeight="1">
      <c r="B405" s="2649"/>
      <c r="C405" s="2681"/>
      <c r="D405" s="2682"/>
      <c r="E405" s="3245"/>
      <c r="F405" s="3247"/>
      <c r="G405" s="3494"/>
      <c r="H405" s="813" t="e">
        <f>HLOOKUP(H404,I404:M405,2,0)</f>
        <v>#N/A</v>
      </c>
      <c r="I405" s="814" t="e">
        <f>VLOOKUP($L$9,火災報知,22,0)</f>
        <v>#N/A</v>
      </c>
      <c r="J405" s="822" t="e">
        <f>VLOOKUP($L$9,火災報知,24,0)</f>
        <v>#N/A</v>
      </c>
      <c r="K405" s="815" t="e">
        <f>VLOOKUP($L$9,火災報知,26,0)</f>
        <v>#N/A</v>
      </c>
      <c r="L405" s="510"/>
      <c r="M405" s="510"/>
      <c r="N405" s="3462"/>
      <c r="O405" s="3451"/>
      <c r="P405" s="2907"/>
      <c r="Q405" s="3642"/>
      <c r="R405" s="3245"/>
      <c r="S405" s="3247"/>
      <c r="T405" s="25" t="b">
        <f t="shared" si="43"/>
        <v>0</v>
      </c>
    </row>
    <row r="406" spans="2:21" ht="13.5" customHeight="1">
      <c r="B406" s="2649"/>
      <c r="C406" s="2681"/>
      <c r="D406" s="2682"/>
      <c r="E406" s="3245"/>
      <c r="F406" s="3247"/>
      <c r="G406" s="3494" t="s">
        <v>763</v>
      </c>
      <c r="H406" s="833">
        <f>$P$9</f>
        <v>0</v>
      </c>
      <c r="I406" s="834" t="e">
        <f>VLOOKUP($L$9,火災報知,27,0)</f>
        <v>#N/A</v>
      </c>
      <c r="J406" s="835" t="e">
        <f>VLOOKUP($L$9,火災報知,29,0)</f>
        <v>#N/A</v>
      </c>
      <c r="K406" s="836" t="e">
        <f>VLOOKUP($L$9,火災報知,31,0)</f>
        <v>#N/A</v>
      </c>
      <c r="L406" s="510"/>
      <c r="M406" s="510"/>
      <c r="N406" s="3462"/>
      <c r="O406" s="3451"/>
      <c r="P406" s="2907"/>
      <c r="Q406" s="3642"/>
      <c r="R406" s="3245"/>
      <c r="S406" s="3247"/>
      <c r="T406" s="25" t="b">
        <f t="shared" si="43"/>
        <v>0</v>
      </c>
    </row>
    <row r="407" spans="2:21" ht="13.5" customHeight="1">
      <c r="B407" s="2649"/>
      <c r="C407" s="2684"/>
      <c r="D407" s="2686"/>
      <c r="E407" s="3248"/>
      <c r="F407" s="3249"/>
      <c r="G407" s="3494"/>
      <c r="H407" s="813" t="e">
        <f>MIN(I407,MAX(K407,ROUNDDOWN(J407+(H406-J406)*IF(H406&lt;J406,(I407-J407)/(I406-J406),(K407-J407)/(K406-J406)),2)))</f>
        <v>#N/A</v>
      </c>
      <c r="I407" s="814" t="e">
        <f>VLOOKUP($L$9,火災報知,28,0)</f>
        <v>#N/A</v>
      </c>
      <c r="J407" s="822" t="e">
        <f>VLOOKUP($L$9,火災報知,30,0)</f>
        <v>#N/A</v>
      </c>
      <c r="K407" s="815" t="e">
        <f>VLOOKUP($L$9,火災報知,32,0)</f>
        <v>#N/A</v>
      </c>
      <c r="L407" s="221"/>
      <c r="M407" s="221"/>
      <c r="N407" s="3463"/>
      <c r="O407" s="3452"/>
      <c r="P407" s="2490"/>
      <c r="Q407" s="3508"/>
      <c r="R407" s="3248"/>
      <c r="S407" s="3249"/>
      <c r="T407" s="25" t="b">
        <f t="shared" si="43"/>
        <v>0</v>
      </c>
    </row>
    <row r="408" spans="2:21" ht="13.5" customHeight="1">
      <c r="B408" s="2649"/>
      <c r="C408" s="862"/>
      <c r="D408" s="862"/>
      <c r="E408" s="3497" t="s">
        <v>149</v>
      </c>
      <c r="F408" s="3498"/>
      <c r="G408" s="34" t="s">
        <v>150</v>
      </c>
      <c r="H408" s="32"/>
      <c r="I408" s="32"/>
      <c r="J408" s="32"/>
      <c r="K408" s="32"/>
      <c r="L408" s="32"/>
      <c r="M408" s="33"/>
      <c r="N408" s="536" t="s">
        <v>524</v>
      </c>
      <c r="O408" s="536" t="s">
        <v>151</v>
      </c>
      <c r="P408" s="844" t="s">
        <v>152</v>
      </c>
      <c r="Q408" s="845" t="s">
        <v>247</v>
      </c>
      <c r="R408" s="3313" t="s">
        <v>791</v>
      </c>
      <c r="S408" s="3313"/>
      <c r="T408" s="25" t="b">
        <f>COUNTA(H409,H411,L411,P409)&lt;&gt;0</f>
        <v>0</v>
      </c>
    </row>
    <row r="409" spans="2:21" ht="13.5" customHeight="1">
      <c r="B409" s="2649"/>
      <c r="C409" s="2625" t="s">
        <v>248</v>
      </c>
      <c r="D409" s="3221" t="s">
        <v>249</v>
      </c>
      <c r="E409" s="3250" t="e">
        <f>VLOOKUP($L$9,避雷突針,2,0)</f>
        <v>#N/A</v>
      </c>
      <c r="F409" s="3252"/>
      <c r="G409" s="3537" t="s">
        <v>250</v>
      </c>
      <c r="H409" s="818"/>
      <c r="I409" s="819" t="e">
        <f>VLOOKUP($L$9,避雷突針,5,0)</f>
        <v>#N/A</v>
      </c>
      <c r="J409" s="821" t="e">
        <f>VLOOKUP($L$9,避雷突針,7,0)</f>
        <v>#N/A</v>
      </c>
      <c r="K409" s="510"/>
      <c r="L409" s="510"/>
      <c r="M409" s="505"/>
      <c r="N409" s="3461" t="e">
        <f>ROUNDDOWN(H410*H412,2)</f>
        <v>#N/A</v>
      </c>
      <c r="O409" s="3450" t="e">
        <f>INT(E409*N409)</f>
        <v>#N/A</v>
      </c>
      <c r="P409" s="3455"/>
      <c r="Q409" s="3506" t="s">
        <v>251</v>
      </c>
      <c r="R409" s="3250">
        <f>IF(ISERROR(INT(O409*P409)),0,INT(O409*P409))</f>
        <v>0</v>
      </c>
      <c r="S409" s="3252"/>
      <c r="T409" s="25" t="b">
        <f>T$408</f>
        <v>0</v>
      </c>
    </row>
    <row r="410" spans="2:21" ht="13.5" customHeight="1">
      <c r="B410" s="2649"/>
      <c r="C410" s="2625"/>
      <c r="D410" s="3221"/>
      <c r="E410" s="3245"/>
      <c r="F410" s="3247"/>
      <c r="G410" s="3494"/>
      <c r="H410" s="813" t="e">
        <f>HLOOKUP(H409,I409:M410,2,0)</f>
        <v>#N/A</v>
      </c>
      <c r="I410" s="814" t="e">
        <f>VLOOKUP($L$9,避雷突針,6,0)</f>
        <v>#N/A</v>
      </c>
      <c r="J410" s="815" t="e">
        <f>VLOOKUP($L$9,避雷突針,8,0)</f>
        <v>#N/A</v>
      </c>
      <c r="K410" s="510"/>
      <c r="L410" s="1490"/>
      <c r="M410" s="510"/>
      <c r="N410" s="3462"/>
      <c r="O410" s="3451"/>
      <c r="P410" s="3456"/>
      <c r="Q410" s="3642"/>
      <c r="R410" s="3245"/>
      <c r="S410" s="3247"/>
      <c r="T410" s="25" t="b">
        <f>T$408</f>
        <v>0</v>
      </c>
    </row>
    <row r="411" spans="2:21" ht="13.5" customHeight="1">
      <c r="B411" s="2649"/>
      <c r="C411" s="2625"/>
      <c r="D411" s="3221"/>
      <c r="E411" s="3245"/>
      <c r="F411" s="3247"/>
      <c r="G411" s="3494" t="s">
        <v>252</v>
      </c>
      <c r="H411" s="944"/>
      <c r="I411" s="942" t="e">
        <f>VLOOKUP($L$9,避雷突針,9,0)</f>
        <v>#N/A</v>
      </c>
      <c r="J411" s="943" t="e">
        <f>VLOOKUP($L$9,避雷突針,11,0)</f>
        <v>#N/A</v>
      </c>
      <c r="K411" s="1533" t="e">
        <f>VLOOKUP($L$9,避雷突針,13,0)</f>
        <v>#N/A</v>
      </c>
      <c r="L411" s="1534"/>
      <c r="M411" s="510"/>
      <c r="N411" s="3462"/>
      <c r="O411" s="3451"/>
      <c r="P411" s="3456"/>
      <c r="Q411" s="3642"/>
      <c r="R411" s="3245"/>
      <c r="S411" s="3247"/>
      <c r="T411" s="25" t="b">
        <f>T$408</f>
        <v>0</v>
      </c>
    </row>
    <row r="412" spans="2:21" ht="13.5" customHeight="1">
      <c r="B412" s="2649"/>
      <c r="C412" s="2625"/>
      <c r="D412" s="3222"/>
      <c r="E412" s="3248"/>
      <c r="F412" s="3249"/>
      <c r="G412" s="3494"/>
      <c r="H412" s="815" t="e">
        <f>ROUNDDOWN($J412+(H411-$J411)*IF(H411&gt;$J411,($I412-$J412)/($I411-$J411),($K412-$J412)/($K411-$J411)),2)</f>
        <v>#N/A</v>
      </c>
      <c r="I412" s="814" t="e">
        <f>VLOOKUP($L$9,避雷突針,10,0)</f>
        <v>#N/A</v>
      </c>
      <c r="J412" s="822" t="e">
        <f>VLOOKUP($L$9,避雷突針,12,0)</f>
        <v>#N/A</v>
      </c>
      <c r="K412" s="831" t="e">
        <f>VLOOKUP($L$9,避雷突針,14,0)</f>
        <v>#N/A</v>
      </c>
      <c r="L412" s="1526"/>
      <c r="M412" s="221"/>
      <c r="N412" s="3463"/>
      <c r="O412" s="3452"/>
      <c r="P412" s="3457"/>
      <c r="Q412" s="3508"/>
      <c r="R412" s="3248"/>
      <c r="S412" s="3249"/>
      <c r="T412" s="25" t="b">
        <f>T$408</f>
        <v>0</v>
      </c>
    </row>
    <row r="413" spans="2:21" ht="13.5" customHeight="1">
      <c r="B413" s="2649"/>
      <c r="C413" s="2625"/>
      <c r="D413" s="871"/>
      <c r="E413" s="3497" t="s">
        <v>149</v>
      </c>
      <c r="F413" s="3498"/>
      <c r="G413" s="34" t="s">
        <v>150</v>
      </c>
      <c r="H413" s="32"/>
      <c r="I413" s="32"/>
      <c r="J413" s="32"/>
      <c r="K413" s="32"/>
      <c r="L413" s="32"/>
      <c r="M413" s="33"/>
      <c r="N413" s="536" t="s">
        <v>524</v>
      </c>
      <c r="O413" s="536" t="s">
        <v>151</v>
      </c>
      <c r="P413" s="844" t="s">
        <v>152</v>
      </c>
      <c r="Q413" s="845" t="s">
        <v>253</v>
      </c>
      <c r="R413" s="3313" t="s">
        <v>791</v>
      </c>
      <c r="S413" s="3313"/>
      <c r="T413" s="25" t="b">
        <f>P414&lt;&gt;0</f>
        <v>0</v>
      </c>
    </row>
    <row r="414" spans="2:21" ht="13.5" customHeight="1">
      <c r="B414" s="2649"/>
      <c r="C414" s="2625"/>
      <c r="D414" s="3221" t="s">
        <v>254</v>
      </c>
      <c r="E414" s="3250" t="e">
        <f>VLOOKUP($L$9,避雷導体,2,0)</f>
        <v>#N/A</v>
      </c>
      <c r="F414" s="3252"/>
      <c r="G414" s="510"/>
      <c r="H414" s="510"/>
      <c r="I414" s="510"/>
      <c r="J414" s="510"/>
      <c r="K414" s="510"/>
      <c r="L414" s="510"/>
      <c r="M414" s="505"/>
      <c r="N414" s="3461">
        <v>1</v>
      </c>
      <c r="O414" s="3450" t="e">
        <f>INT(E414*N414)</f>
        <v>#N/A</v>
      </c>
      <c r="P414" s="3539"/>
      <c r="Q414" s="3506" t="s">
        <v>167</v>
      </c>
      <c r="R414" s="3250">
        <f>IF(ISERROR(INT(O414*P414)),0,INT(O414*P414))</f>
        <v>0</v>
      </c>
      <c r="S414" s="3252"/>
      <c r="T414" s="25" t="b">
        <f>T$413</f>
        <v>0</v>
      </c>
    </row>
    <row r="415" spans="2:21" ht="13.5" customHeight="1">
      <c r="B415" s="2649"/>
      <c r="C415" s="2625"/>
      <c r="D415" s="3222"/>
      <c r="E415" s="3248"/>
      <c r="F415" s="3249"/>
      <c r="G415" s="221"/>
      <c r="H415" s="221"/>
      <c r="I415" s="221"/>
      <c r="J415" s="221"/>
      <c r="K415" s="221"/>
      <c r="L415" s="221"/>
      <c r="M415" s="221"/>
      <c r="N415" s="3463"/>
      <c r="O415" s="3452"/>
      <c r="P415" s="3540"/>
      <c r="Q415" s="3508"/>
      <c r="R415" s="3248"/>
      <c r="S415" s="3249"/>
      <c r="T415" s="25" t="b">
        <f>T$413</f>
        <v>0</v>
      </c>
    </row>
    <row r="416" spans="2:21" ht="13.5" customHeight="1">
      <c r="B416" s="2649"/>
      <c r="C416" s="879"/>
      <c r="D416" s="880"/>
      <c r="E416" s="3497" t="s">
        <v>149</v>
      </c>
      <c r="F416" s="3498"/>
      <c r="G416" s="34" t="s">
        <v>150</v>
      </c>
      <c r="H416" s="32"/>
      <c r="I416" s="32"/>
      <c r="J416" s="32"/>
      <c r="K416" s="32"/>
      <c r="L416" s="32"/>
      <c r="M416" s="33"/>
      <c r="N416" s="536" t="s">
        <v>524</v>
      </c>
      <c r="O416" s="536" t="s">
        <v>151</v>
      </c>
      <c r="P416" s="844" t="s">
        <v>152</v>
      </c>
      <c r="Q416" s="845" t="s">
        <v>177</v>
      </c>
      <c r="R416" s="3313" t="s">
        <v>791</v>
      </c>
      <c r="S416" s="3313"/>
      <c r="T416" s="25" t="b">
        <f>COUNTA(H417,P417)&lt;&gt;0</f>
        <v>0</v>
      </c>
    </row>
    <row r="417" spans="1:20" ht="13.5" customHeight="1">
      <c r="A417">
        <f>ROW()</f>
        <v>417</v>
      </c>
      <c r="B417" s="2649"/>
      <c r="C417" s="2681" t="s">
        <v>255</v>
      </c>
      <c r="D417" s="2682"/>
      <c r="E417" s="3250" t="e">
        <f>VLOOKUP($L$9,消火栓,2,0)</f>
        <v>#N/A</v>
      </c>
      <c r="F417" s="3252"/>
      <c r="G417" s="3537" t="s">
        <v>911</v>
      </c>
      <c r="H417" s="818"/>
      <c r="I417" s="819" t="e">
        <f>VLOOKUP($L$9,消火栓,3,0)</f>
        <v>#N/A</v>
      </c>
      <c r="J417" s="820" t="e">
        <f>VLOOKUP($L$9,消火栓,5,0)</f>
        <v>#N/A</v>
      </c>
      <c r="K417" s="821" t="e">
        <f>VLOOKUP($L$9,消火栓,7,0)</f>
        <v>#N/A</v>
      </c>
      <c r="L417" s="510"/>
      <c r="M417" s="505"/>
      <c r="N417" s="3461" t="e">
        <f>H418</f>
        <v>#N/A</v>
      </c>
      <c r="O417" s="3450" t="e">
        <f>INT(E417*N417)</f>
        <v>#N/A</v>
      </c>
      <c r="P417" s="3455"/>
      <c r="Q417" s="3506" t="s">
        <v>178</v>
      </c>
      <c r="R417" s="3250">
        <f>IF(ISERROR(INT(O417*P417)),0,INT(O417*P417))</f>
        <v>0</v>
      </c>
      <c r="S417" s="3252"/>
      <c r="T417" s="25" t="b">
        <f>T416</f>
        <v>0</v>
      </c>
    </row>
    <row r="418" spans="1:20" ht="13.5" customHeight="1">
      <c r="B418" s="2649"/>
      <c r="C418" s="2684"/>
      <c r="D418" s="2686"/>
      <c r="E418" s="3248"/>
      <c r="F418" s="3249"/>
      <c r="G418" s="3494"/>
      <c r="H418" s="813" t="e">
        <f>HLOOKUP(H417,I417:M418,2,0)</f>
        <v>#N/A</v>
      </c>
      <c r="I418" s="814" t="e">
        <f>VLOOKUP($L$9,消火栓,4,0)</f>
        <v>#N/A</v>
      </c>
      <c r="J418" s="822" t="e">
        <f>VLOOKUP($L$9,消火栓,6,0)</f>
        <v>#N/A</v>
      </c>
      <c r="K418" s="815" t="e">
        <f>VLOOKUP($L$9,消火栓,8,0)</f>
        <v>#N/A</v>
      </c>
      <c r="L418" s="221"/>
      <c r="M418" s="221"/>
      <c r="N418" s="3463"/>
      <c r="O418" s="3452"/>
      <c r="P418" s="3457"/>
      <c r="Q418" s="3508"/>
      <c r="R418" s="3248"/>
      <c r="S418" s="3249"/>
      <c r="T418" s="25" t="b">
        <f>T416</f>
        <v>0</v>
      </c>
    </row>
    <row r="419" spans="1:20" ht="13.5" customHeight="1">
      <c r="B419" s="2649"/>
      <c r="C419" s="137"/>
      <c r="D419" s="139"/>
      <c r="E419" s="3497" t="s">
        <v>149</v>
      </c>
      <c r="F419" s="3498"/>
      <c r="G419" s="34" t="s">
        <v>150</v>
      </c>
      <c r="H419" s="32"/>
      <c r="I419" s="32"/>
      <c r="J419" s="32"/>
      <c r="K419" s="32"/>
      <c r="L419" s="32"/>
      <c r="M419" s="33"/>
      <c r="N419" s="536" t="s">
        <v>524</v>
      </c>
      <c r="O419" s="536" t="s">
        <v>151</v>
      </c>
      <c r="P419" s="844" t="s">
        <v>152</v>
      </c>
      <c r="Q419" s="845" t="s">
        <v>1396</v>
      </c>
      <c r="R419" s="3313" t="s">
        <v>791</v>
      </c>
      <c r="S419" s="3313"/>
      <c r="T419" s="25" t="b">
        <f>COUNTA(H420,P420)&lt;&gt;0</f>
        <v>0</v>
      </c>
    </row>
    <row r="420" spans="1:20" ht="13.5" customHeight="1">
      <c r="B420" s="2649"/>
      <c r="C420" s="2681" t="s">
        <v>256</v>
      </c>
      <c r="D420" s="2682"/>
      <c r="E420" s="3250" t="e">
        <f>VLOOKUP($L$9,ドレンチャー,2,0)</f>
        <v>#N/A</v>
      </c>
      <c r="F420" s="3252"/>
      <c r="G420" s="3494" t="s">
        <v>257</v>
      </c>
      <c r="H420" s="1561"/>
      <c r="I420" s="1560" t="e">
        <f>VLOOKUP($L$9,ドレンチャー,3,0)</f>
        <v>#N/A</v>
      </c>
      <c r="J420" s="1559" t="e">
        <f>VLOOKUP($L$9,ドレンチャー,5,0)</f>
        <v>#N/A</v>
      </c>
      <c r="K420" s="1562"/>
      <c r="L420" s="1563"/>
      <c r="M420" s="505"/>
      <c r="N420" s="3461" t="e">
        <f>ROUNDDOWN(H421*H423,2)</f>
        <v>#N/A</v>
      </c>
      <c r="O420" s="3450" t="e">
        <f>INT(E420*N420)</f>
        <v>#N/A</v>
      </c>
      <c r="P420" s="3542"/>
      <c r="Q420" s="3506" t="s">
        <v>69</v>
      </c>
      <c r="R420" s="3250">
        <f>IF(ISERROR(INT(O420*P420)),0,INT(O420*P420))</f>
        <v>0</v>
      </c>
      <c r="S420" s="3252"/>
      <c r="T420" s="25" t="b">
        <f>T$419</f>
        <v>0</v>
      </c>
    </row>
    <row r="421" spans="1:20" ht="13.5" customHeight="1">
      <c r="B421" s="2649"/>
      <c r="C421" s="2681"/>
      <c r="D421" s="2682"/>
      <c r="E421" s="3245"/>
      <c r="F421" s="3247"/>
      <c r="G421" s="3494"/>
      <c r="H421" s="813" t="e">
        <f>ROUNDDOWN(J421+(I421-J421)/(I420-J420)*(H420-J420),2)</f>
        <v>#N/A</v>
      </c>
      <c r="I421" s="814" t="e">
        <f>VLOOKUP($L$9,ドレンチャー,4,0)</f>
        <v>#N/A</v>
      </c>
      <c r="J421" s="815" t="e">
        <f>VLOOKUP($L$9,ドレンチャー,6,0)</f>
        <v>#N/A</v>
      </c>
      <c r="K421" s="1537"/>
      <c r="L421" s="1530"/>
      <c r="M421" s="510"/>
      <c r="N421" s="3462"/>
      <c r="O421" s="3451"/>
      <c r="P421" s="3543"/>
      <c r="Q421" s="3459"/>
      <c r="R421" s="3245"/>
      <c r="S421" s="3247"/>
      <c r="T421" s="25" t="b">
        <f>T$419</f>
        <v>0</v>
      </c>
    </row>
    <row r="422" spans="1:20" ht="13.5" customHeight="1">
      <c r="B422" s="2649"/>
      <c r="C422" s="2681"/>
      <c r="D422" s="2682"/>
      <c r="E422" s="3245"/>
      <c r="F422" s="3247"/>
      <c r="G422" s="3537" t="s">
        <v>794</v>
      </c>
      <c r="H422" s="1586">
        <f>+P420</f>
        <v>0</v>
      </c>
      <c r="I422" s="942" t="e">
        <f>VLOOKUP($L$9,ドレンチャー,9,0)</f>
        <v>#N/A</v>
      </c>
      <c r="J422" s="943" t="e">
        <f>VLOOKUP($L$9,ドレンチャー,11,0)</f>
        <v>#N/A</v>
      </c>
      <c r="K422" s="1533" t="e">
        <f>VLOOKUP($L$9,ドレンチャー,13,0)</f>
        <v>#N/A</v>
      </c>
      <c r="L422" s="1534"/>
      <c r="M422" s="1529"/>
      <c r="N422" s="3459"/>
      <c r="O422" s="3451"/>
      <c r="P422" s="3543"/>
      <c r="Q422" s="3459"/>
      <c r="R422" s="3245"/>
      <c r="S422" s="3247"/>
      <c r="T422" s="25" t="b">
        <f>T$419</f>
        <v>0</v>
      </c>
    </row>
    <row r="423" spans="1:20" ht="13.5" customHeight="1">
      <c r="B423" s="2649"/>
      <c r="C423" s="2684"/>
      <c r="D423" s="2686"/>
      <c r="E423" s="3248"/>
      <c r="F423" s="3249"/>
      <c r="G423" s="3494"/>
      <c r="H423" s="815" t="e">
        <f>MIN(I423,MAX(K423,ROUNDDOWN(+$J423+(H422-$J422)*IF(H422&lt;$J422,($I423-$J423)/($I422-$J422),($K423-$J423)/($K422-$J422)),2)))</f>
        <v>#N/A</v>
      </c>
      <c r="I423" s="814" t="e">
        <f>VLOOKUP($L$9,ドレンチャー,10,0)</f>
        <v>#N/A</v>
      </c>
      <c r="J423" s="822" t="e">
        <f>VLOOKUP($L$9,ドレンチャー,12,0)</f>
        <v>#N/A</v>
      </c>
      <c r="K423" s="831" t="e">
        <f>VLOOKUP($L$9,ドレンチャー,14,0)</f>
        <v>#N/A</v>
      </c>
      <c r="L423" s="1526"/>
      <c r="M423" s="503"/>
      <c r="N423" s="3460"/>
      <c r="O423" s="3452"/>
      <c r="P423" s="3544"/>
      <c r="Q423" s="3460"/>
      <c r="R423" s="3248"/>
      <c r="S423" s="3249"/>
      <c r="T423" s="25" t="b">
        <f>T$419</f>
        <v>0</v>
      </c>
    </row>
    <row r="424" spans="1:20" ht="13.5" customHeight="1">
      <c r="B424" s="2649"/>
      <c r="C424" s="137"/>
      <c r="D424" s="139"/>
      <c r="E424" s="3497" t="s">
        <v>149</v>
      </c>
      <c r="F424" s="3498"/>
      <c r="G424" s="34" t="s">
        <v>150</v>
      </c>
      <c r="H424" s="32"/>
      <c r="I424" s="32"/>
      <c r="J424" s="32"/>
      <c r="K424" s="32"/>
      <c r="L424" s="32"/>
      <c r="M424" s="33"/>
      <c r="N424" s="536" t="s">
        <v>524</v>
      </c>
      <c r="O424" s="536" t="s">
        <v>151</v>
      </c>
      <c r="P424" s="844" t="s">
        <v>152</v>
      </c>
      <c r="Q424" s="845" t="s">
        <v>258</v>
      </c>
      <c r="R424" s="3313" t="s">
        <v>791</v>
      </c>
      <c r="S424" s="3313"/>
      <c r="T424" s="25" t="b">
        <f>+P425&lt;&gt;0</f>
        <v>0</v>
      </c>
    </row>
    <row r="425" spans="1:20" ht="13.5" customHeight="1">
      <c r="B425" s="2649"/>
      <c r="C425" s="2681" t="s">
        <v>259</v>
      </c>
      <c r="D425" s="2682"/>
      <c r="E425" s="3250" t="e">
        <f>VLOOKUP($L$9,不活性ガス,2,0)</f>
        <v>#N/A</v>
      </c>
      <c r="F425" s="3252"/>
      <c r="G425" s="3448" t="s">
        <v>1361</v>
      </c>
      <c r="H425" s="1565" t="str">
        <f>+IF(ISNUMBER(P425),P425,"-")</f>
        <v>-</v>
      </c>
      <c r="I425" s="945" t="e">
        <f>VLOOKUP($L$9,不活性ガス,3,0)</f>
        <v>#N/A</v>
      </c>
      <c r="J425" s="946" t="e">
        <f>VLOOKUP($L$9,不活性ガス,5,0)</f>
        <v>#N/A</v>
      </c>
      <c r="K425" s="1564" t="e">
        <f>VLOOKUP($L$9,不活性ガス,7,0)</f>
        <v>#N/A</v>
      </c>
      <c r="M425" s="505"/>
      <c r="N425" s="3461" t="e">
        <f>+H426</f>
        <v>#N/A</v>
      </c>
      <c r="O425" s="3450" t="e">
        <f>INT(E425*N425)</f>
        <v>#N/A</v>
      </c>
      <c r="P425" s="3539"/>
      <c r="Q425" s="3506" t="s">
        <v>1362</v>
      </c>
      <c r="R425" s="3250">
        <f>IF(ISERROR(INT(O425*P425)),0,INT(O425*P425))</f>
        <v>0</v>
      </c>
      <c r="S425" s="3252"/>
      <c r="T425" s="25" t="b">
        <f>T$424</f>
        <v>0</v>
      </c>
    </row>
    <row r="426" spans="1:20" ht="13.5" customHeight="1">
      <c r="B426" s="2649"/>
      <c r="C426" s="2684"/>
      <c r="D426" s="2686"/>
      <c r="E426" s="3248"/>
      <c r="F426" s="3249"/>
      <c r="G426" s="3494"/>
      <c r="H426" s="815" t="e">
        <f>ROUNDDOWN(MIN($I426,MAX($K426,$J426+(H425-$J425)*IF(H425&lt;$J425,($I426-$J426)/($I425-$J425),($K426-$J426)/($K425-$J425)))),2)</f>
        <v>#N/A</v>
      </c>
      <c r="I426" s="814" t="e">
        <f>VLOOKUP($L$9,不活性ガス,4,0)</f>
        <v>#N/A</v>
      </c>
      <c r="J426" s="822" t="e">
        <f>VLOOKUP($L$9,不活性ガス,6,0)</f>
        <v>#N/A</v>
      </c>
      <c r="K426" s="815" t="e">
        <f>VLOOKUP($L$9,不活性ガス,8,0)</f>
        <v>#N/A</v>
      </c>
      <c r="M426" s="221"/>
      <c r="N426" s="3463"/>
      <c r="O426" s="3452"/>
      <c r="P426" s="3540"/>
      <c r="Q426" s="3460"/>
      <c r="R426" s="3248"/>
      <c r="S426" s="3249"/>
      <c r="T426" s="2395" t="b">
        <f>T$424</f>
        <v>0</v>
      </c>
    </row>
    <row r="427" spans="1:20" ht="13.5" customHeight="1">
      <c r="B427" s="2649"/>
      <c r="C427" s="137"/>
      <c r="D427" s="139"/>
      <c r="E427" s="3497" t="s">
        <v>149</v>
      </c>
      <c r="F427" s="3498"/>
      <c r="G427" s="34" t="s">
        <v>150</v>
      </c>
      <c r="H427" s="32"/>
      <c r="I427" s="32"/>
      <c r="J427" s="32"/>
      <c r="K427" s="32"/>
      <c r="L427" s="32"/>
      <c r="M427" s="33"/>
      <c r="N427" s="536" t="s">
        <v>524</v>
      </c>
      <c r="O427" s="536" t="s">
        <v>151</v>
      </c>
      <c r="P427" s="844" t="s">
        <v>152</v>
      </c>
      <c r="Q427" s="845" t="s">
        <v>160</v>
      </c>
      <c r="R427" s="3313" t="s">
        <v>791</v>
      </c>
      <c r="S427" s="3313"/>
      <c r="T427" s="2395" t="b">
        <f>+P428&lt;&gt;0</f>
        <v>0</v>
      </c>
    </row>
    <row r="428" spans="1:20" ht="13.5" customHeight="1">
      <c r="B428" s="2649"/>
      <c r="C428" s="2681" t="s">
        <v>260</v>
      </c>
      <c r="D428" s="2682"/>
      <c r="E428" s="3250" t="e">
        <f>VLOOKUP($L$9,泡消火,2,0)</f>
        <v>#N/A</v>
      </c>
      <c r="F428" s="3252"/>
      <c r="G428" s="3494" t="s">
        <v>763</v>
      </c>
      <c r="H428" s="1565" t="str">
        <f>+IF(ISNUMBER(P428),P428,"-")</f>
        <v>-</v>
      </c>
      <c r="I428" s="834" t="e">
        <f>VLOOKUP($L$9,泡消火,3,0)</f>
        <v>#N/A</v>
      </c>
      <c r="J428" s="835" t="e">
        <f>VLOOKUP($L$9,泡消火,5,0)</f>
        <v>#N/A</v>
      </c>
      <c r="K428" s="947" t="e">
        <f>VLOOKUP($L$9,泡消火,7,0)</f>
        <v>#N/A</v>
      </c>
      <c r="L428" s="1566"/>
      <c r="M428" s="1465"/>
      <c r="N428" s="3461" t="e">
        <f>H429</f>
        <v>#N/A</v>
      </c>
      <c r="O428" s="3450" t="e">
        <f>INT(E428*N428)</f>
        <v>#N/A</v>
      </c>
      <c r="P428" s="3539"/>
      <c r="Q428" s="3506" t="s">
        <v>261</v>
      </c>
      <c r="R428" s="3250">
        <f>IF(ISERROR(INT(O428*P428)),0,INT(O428*P428))</f>
        <v>0</v>
      </c>
      <c r="S428" s="3252"/>
      <c r="T428" s="2395" t="b">
        <f>T$427</f>
        <v>0</v>
      </c>
    </row>
    <row r="429" spans="1:20" ht="13.5" customHeight="1">
      <c r="B429" s="2649"/>
      <c r="C429" s="2684"/>
      <c r="D429" s="2686"/>
      <c r="E429" s="3248"/>
      <c r="F429" s="3249"/>
      <c r="G429" s="3494"/>
      <c r="H429" s="815" t="e">
        <f>ROUNDDOWN(MIN($I429,MAX($K429,$J429+(H428-$J428)*IF(H428&lt;$J428,($I429-$J429)/($I428-$J428),($K429-$J429)/($K428-$J428)))),2)</f>
        <v>#N/A</v>
      </c>
      <c r="I429" s="814" t="e">
        <f>VLOOKUP($L$9,泡消火,4,0)</f>
        <v>#N/A</v>
      </c>
      <c r="J429" s="822" t="e">
        <f>VLOOKUP($L$9,泡消火,6,0)</f>
        <v>#N/A</v>
      </c>
      <c r="K429" s="831" t="e">
        <f>VLOOKUP($L$9,泡消火,8,0)</f>
        <v>#N/A</v>
      </c>
      <c r="L429" s="1567"/>
      <c r="M429" s="503"/>
      <c r="N429" s="3463"/>
      <c r="O429" s="3452"/>
      <c r="P429" s="3540"/>
      <c r="Q429" s="3460"/>
      <c r="R429" s="3248"/>
      <c r="S429" s="3249"/>
      <c r="T429" s="2395" t="b">
        <f>T$427</f>
        <v>0</v>
      </c>
    </row>
    <row r="430" spans="1:20" ht="13.5" customHeight="1">
      <c r="B430" s="2649"/>
      <c r="C430" s="137"/>
      <c r="D430" s="139"/>
      <c r="E430" s="3497" t="s">
        <v>149</v>
      </c>
      <c r="F430" s="3498"/>
      <c r="G430" s="34" t="s">
        <v>150</v>
      </c>
      <c r="H430" s="32"/>
      <c r="I430" s="32"/>
      <c r="J430" s="32"/>
      <c r="K430" s="32"/>
      <c r="L430" s="32"/>
      <c r="M430" s="33"/>
      <c r="N430" s="536" t="s">
        <v>524</v>
      </c>
      <c r="O430" s="536" t="s">
        <v>151</v>
      </c>
      <c r="P430" s="844" t="s">
        <v>152</v>
      </c>
      <c r="Q430" s="845" t="s">
        <v>160</v>
      </c>
      <c r="R430" s="3313" t="s">
        <v>791</v>
      </c>
      <c r="S430" s="3313"/>
      <c r="T430" s="2395" t="b">
        <f>+P431&lt;&gt;0</f>
        <v>0</v>
      </c>
    </row>
    <row r="431" spans="1:20" ht="13.5" customHeight="1">
      <c r="B431" s="2649"/>
      <c r="C431" s="2681" t="s">
        <v>262</v>
      </c>
      <c r="D431" s="2683"/>
      <c r="E431" s="3473" t="e">
        <f>VLOOKUP($L$9,スプリンクラー,2,0)</f>
        <v>#N/A</v>
      </c>
      <c r="F431" s="3474"/>
      <c r="G431" s="3448" t="s">
        <v>763</v>
      </c>
      <c r="H431" s="833">
        <f>$P$9</f>
        <v>0</v>
      </c>
      <c r="I431" s="834" t="e">
        <f>VLOOKUP($L$9,スプリンクラー,3,0)</f>
        <v>#N/A</v>
      </c>
      <c r="J431" s="835" t="e">
        <f>VLOOKUP($L$9,スプリンクラー,5,0)</f>
        <v>#N/A</v>
      </c>
      <c r="K431" s="836" t="e">
        <f>VLOOKUP($L$9,スプリンクラー,7,0)</f>
        <v>#N/A</v>
      </c>
      <c r="L431" s="2327"/>
      <c r="N431" s="3479" t="e">
        <f>ROUNDDOWN(H432,2)</f>
        <v>#N/A</v>
      </c>
      <c r="O431" s="3492" t="e">
        <f>INT(E431*N431)</f>
        <v>#N/A</v>
      </c>
      <c r="P431" s="3533">
        <f>床・天井!O91</f>
        <v>0</v>
      </c>
      <c r="Q431" s="3471" t="s">
        <v>194</v>
      </c>
      <c r="R431" s="3473">
        <f>IF(ISERROR(INT(O431*P431)),0,INT(O431*P431))</f>
        <v>0</v>
      </c>
      <c r="S431" s="3474"/>
      <c r="T431" s="2395" t="b">
        <f t="shared" ref="T431:T432" si="44">T$430</f>
        <v>0</v>
      </c>
    </row>
    <row r="432" spans="1:20" ht="13.5" customHeight="1">
      <c r="B432" s="2649"/>
      <c r="C432" s="3490"/>
      <c r="D432" s="3491"/>
      <c r="E432" s="3475"/>
      <c r="F432" s="3476"/>
      <c r="G432" s="3448"/>
      <c r="H432" s="813" t="e">
        <f>ROUNDDOWN(MIN(I432,MAX(K432,J432+IF(H431&lt;J431,(I432-J432)/(I431-J431)*(H431-J431),(K432-J432)/(K431-J431)*(H431-J431)))),2)</f>
        <v>#N/A</v>
      </c>
      <c r="I432" s="814" t="e">
        <f>VLOOKUP($L$9,スプリンクラー,4,0)</f>
        <v>#N/A</v>
      </c>
      <c r="J432" s="822" t="e">
        <f>VLOOKUP($L$9,スプリンクラー,6,0)</f>
        <v>#N/A</v>
      </c>
      <c r="K432" s="815" t="e">
        <f>VLOOKUP($L$9,スプリンクラー,8,0)</f>
        <v>#N/A</v>
      </c>
      <c r="L432" s="2322"/>
      <c r="M432" s="2058"/>
      <c r="N432" s="3480"/>
      <c r="O432" s="3493"/>
      <c r="P432" s="3534"/>
      <c r="Q432" s="3472"/>
      <c r="R432" s="3475"/>
      <c r="S432" s="3476"/>
      <c r="T432" s="2395" t="b">
        <f t="shared" si="44"/>
        <v>0</v>
      </c>
    </row>
    <row r="433" spans="1:20" ht="13.5" customHeight="1">
      <c r="B433" s="2649"/>
      <c r="C433" s="1538"/>
      <c r="D433" s="1539"/>
      <c r="E433" s="3477" t="s">
        <v>149</v>
      </c>
      <c r="F433" s="3478"/>
      <c r="G433" s="1502" t="s">
        <v>150</v>
      </c>
      <c r="H433" s="2356"/>
      <c r="I433" s="2356"/>
      <c r="J433" s="2356"/>
      <c r="K433" s="2356"/>
      <c r="L433" s="2356"/>
      <c r="M433" s="33"/>
      <c r="N433" s="1540" t="s">
        <v>524</v>
      </c>
      <c r="O433" s="1540" t="s">
        <v>151</v>
      </c>
      <c r="P433" s="844" t="s">
        <v>152</v>
      </c>
      <c r="Q433" s="845" t="s">
        <v>790</v>
      </c>
      <c r="R433" s="3313" t="s">
        <v>791</v>
      </c>
      <c r="S433" s="3313"/>
      <c r="T433" s="2395" t="b">
        <f>R434&lt;&gt;0</f>
        <v>0</v>
      </c>
    </row>
    <row r="434" spans="1:20" ht="13.5" customHeight="1">
      <c r="B434" s="2649"/>
      <c r="C434" s="2681" t="s">
        <v>1366</v>
      </c>
      <c r="D434" s="2682"/>
      <c r="E434" s="3250" t="e">
        <f>VLOOKUP($L$9,水道直結スプリンクラー,2,0)</f>
        <v>#N/A</v>
      </c>
      <c r="F434" s="3252"/>
      <c r="G434" s="3448" t="s">
        <v>2311</v>
      </c>
      <c r="H434" s="818"/>
      <c r="I434" s="2396" t="s">
        <v>2354</v>
      </c>
      <c r="J434" s="2446"/>
      <c r="K434" s="2447"/>
      <c r="L434" s="2059"/>
      <c r="M434" s="2060"/>
      <c r="N434" s="3461">
        <v>1</v>
      </c>
      <c r="O434" s="3450" t="e">
        <f>INT(E434*N434)</f>
        <v>#N/A</v>
      </c>
      <c r="P434" s="3509" t="e">
        <f>H435</f>
        <v>#N/A</v>
      </c>
      <c r="Q434" s="3506" t="s">
        <v>261</v>
      </c>
      <c r="R434" s="3250">
        <f>IF(ISERROR(INT(O434*P434)),0,INT(O434*P434))</f>
        <v>0</v>
      </c>
      <c r="S434" s="3252"/>
      <c r="T434" s="25" t="b">
        <f>+$T$433</f>
        <v>0</v>
      </c>
    </row>
    <row r="435" spans="1:20" ht="13.5" customHeight="1">
      <c r="B435" s="2650"/>
      <c r="C435" s="2684"/>
      <c r="D435" s="2686"/>
      <c r="E435" s="3248"/>
      <c r="F435" s="3249"/>
      <c r="G435" s="3448"/>
      <c r="H435" s="813" t="e">
        <f>HLOOKUP(H434,I434:M435,2,0)</f>
        <v>#N/A</v>
      </c>
      <c r="I435" s="2399">
        <f>P9</f>
        <v>0</v>
      </c>
      <c r="J435" s="2448"/>
      <c r="K435" s="2449"/>
      <c r="L435" s="2012"/>
      <c r="M435" s="2028"/>
      <c r="N435" s="3463"/>
      <c r="O435" s="3452"/>
      <c r="P435" s="2490"/>
      <c r="Q435" s="3460"/>
      <c r="R435" s="3248"/>
      <c r="S435" s="3249"/>
      <c r="T435" s="25" t="b">
        <f>+$T$433</f>
        <v>0</v>
      </c>
    </row>
    <row r="436" spans="1:20" ht="13.5" customHeight="1">
      <c r="B436" s="804"/>
      <c r="C436" s="137"/>
      <c r="D436" s="139"/>
      <c r="E436" s="3497" t="s">
        <v>149</v>
      </c>
      <c r="F436" s="3498"/>
      <c r="G436" s="34" t="s">
        <v>150</v>
      </c>
      <c r="H436" s="32"/>
      <c r="I436" s="32"/>
      <c r="J436" s="32"/>
      <c r="K436" s="32"/>
      <c r="L436" s="32"/>
      <c r="M436" s="33"/>
      <c r="N436" s="536" t="s">
        <v>524</v>
      </c>
      <c r="O436" s="536" t="s">
        <v>151</v>
      </c>
      <c r="P436" s="844"/>
      <c r="Q436" s="845" t="s">
        <v>263</v>
      </c>
      <c r="R436" s="3313" t="s">
        <v>791</v>
      </c>
      <c r="S436" s="3313"/>
      <c r="T436" s="25" t="b">
        <f>COUNTA(H437,H439,H441,H443,P437)&lt;&gt;0</f>
        <v>0</v>
      </c>
    </row>
    <row r="437" spans="1:20" ht="13.5" customHeight="1">
      <c r="B437" s="3590" t="s">
        <v>141</v>
      </c>
      <c r="C437" s="2681" t="s">
        <v>264</v>
      </c>
      <c r="D437" s="2682"/>
      <c r="E437" s="3250" t="e">
        <f>VLOOKUP($L$9,気送管,2,0)</f>
        <v>#N/A</v>
      </c>
      <c r="F437" s="3252"/>
      <c r="G437" s="3494" t="s">
        <v>265</v>
      </c>
      <c r="H437" s="2240"/>
      <c r="I437" s="819" t="e">
        <f>VLOOKUP($L$9,気送管,5,0)</f>
        <v>#N/A</v>
      </c>
      <c r="J437" s="821" t="e">
        <f>VLOOKUP($L$9,気送管,7,0)</f>
        <v>#N/A</v>
      </c>
      <c r="K437" s="505"/>
      <c r="L437" s="505"/>
      <c r="M437" s="505"/>
      <c r="N437" s="3461" t="e">
        <f>ROUNDDOWN(H438*H440*H442*H444,2)</f>
        <v>#N/A</v>
      </c>
      <c r="O437" s="3450" t="e">
        <f>INT(E437*N437)</f>
        <v>#N/A</v>
      </c>
      <c r="P437" s="3455"/>
      <c r="Q437" s="3506" t="s">
        <v>266</v>
      </c>
      <c r="R437" s="3250">
        <f>IF(ISERROR(INT(O437*P437)),0,INT(O437*P437))</f>
        <v>0</v>
      </c>
      <c r="S437" s="3252"/>
      <c r="T437" s="25" t="b">
        <f t="shared" ref="T437:T444" si="45">T$436</f>
        <v>0</v>
      </c>
    </row>
    <row r="438" spans="1:20" ht="13.5" customHeight="1">
      <c r="B438" s="3590"/>
      <c r="C438" s="2681"/>
      <c r="D438" s="2682"/>
      <c r="E438" s="3245"/>
      <c r="F438" s="3247"/>
      <c r="G438" s="3494"/>
      <c r="H438" s="813" t="e">
        <f>HLOOKUP(H437,I437:M438,2,0)</f>
        <v>#N/A</v>
      </c>
      <c r="I438" s="814" t="e">
        <f>VLOOKUP($L$9,気送管,6,0)</f>
        <v>#N/A</v>
      </c>
      <c r="J438" s="815" t="e">
        <f>VLOOKUP($L$9,気送管,8,0)</f>
        <v>#N/A</v>
      </c>
      <c r="K438" s="510"/>
      <c r="L438" s="510"/>
      <c r="M438" s="510"/>
      <c r="N438" s="3462"/>
      <c r="O438" s="3451"/>
      <c r="P438" s="3456"/>
      <c r="Q438" s="3459"/>
      <c r="R438" s="3245"/>
      <c r="S438" s="3247"/>
      <c r="T438" s="25" t="b">
        <f t="shared" si="45"/>
        <v>0</v>
      </c>
    </row>
    <row r="439" spans="1:20" ht="13.5" customHeight="1">
      <c r="B439" s="3590"/>
      <c r="C439" s="2681"/>
      <c r="D439" s="2682"/>
      <c r="E439" s="3245"/>
      <c r="F439" s="3247"/>
      <c r="G439" s="3494" t="s">
        <v>185</v>
      </c>
      <c r="H439" s="818"/>
      <c r="I439" s="819" t="e">
        <f>VLOOKUP($L$9,気送管,9,0)</f>
        <v>#N/A</v>
      </c>
      <c r="J439" s="820" t="e">
        <f>VLOOKUP($L$9,気送管,11,0)</f>
        <v>#N/A</v>
      </c>
      <c r="K439" s="821" t="e">
        <f>VLOOKUP($L$9,気送管,13,0)</f>
        <v>#N/A</v>
      </c>
      <c r="L439" s="510"/>
      <c r="M439" s="510"/>
      <c r="N439" s="3462"/>
      <c r="O439" s="3451"/>
      <c r="P439" s="3456"/>
      <c r="Q439" s="3459"/>
      <c r="R439" s="3245"/>
      <c r="S439" s="3247"/>
      <c r="T439" s="25" t="b">
        <f t="shared" si="45"/>
        <v>0</v>
      </c>
    </row>
    <row r="440" spans="1:20" ht="13.5" customHeight="1">
      <c r="B440" s="3590"/>
      <c r="C440" s="2681"/>
      <c r="D440" s="2682"/>
      <c r="E440" s="3245"/>
      <c r="F440" s="3247"/>
      <c r="G440" s="3494"/>
      <c r="H440" s="813" t="e">
        <f>HLOOKUP(H439,I439:M440,2,0)</f>
        <v>#N/A</v>
      </c>
      <c r="I440" s="814" t="e">
        <f>VLOOKUP($L$9,気送管,10,0)</f>
        <v>#N/A</v>
      </c>
      <c r="J440" s="822" t="e">
        <f>VLOOKUP($L$9,気送管,12,0)</f>
        <v>#N/A</v>
      </c>
      <c r="K440" s="815" t="e">
        <f>VLOOKUP($L$9,気送管,14,0)</f>
        <v>#N/A</v>
      </c>
      <c r="L440" s="510"/>
      <c r="M440" s="510"/>
      <c r="N440" s="3462"/>
      <c r="O440" s="3451"/>
      <c r="P440" s="3456"/>
      <c r="Q440" s="3459"/>
      <c r="R440" s="3245"/>
      <c r="S440" s="3247"/>
      <c r="T440" s="25" t="b">
        <f t="shared" si="45"/>
        <v>0</v>
      </c>
    </row>
    <row r="441" spans="1:20" ht="13.5" customHeight="1">
      <c r="B441" s="3590"/>
      <c r="C441" s="2681"/>
      <c r="D441" s="2682"/>
      <c r="E441" s="3245"/>
      <c r="F441" s="3247"/>
      <c r="G441" s="3494" t="s">
        <v>911</v>
      </c>
      <c r="H441" s="818"/>
      <c r="I441" s="819" t="e">
        <f>VLOOKUP($L$9,気送管,15,0)</f>
        <v>#N/A</v>
      </c>
      <c r="J441" s="821" t="e">
        <f>VLOOKUP($L$9,気送管,17,0)</f>
        <v>#N/A</v>
      </c>
      <c r="K441" s="510"/>
      <c r="L441" s="510"/>
      <c r="M441" s="510"/>
      <c r="N441" s="3462"/>
      <c r="O441" s="3451"/>
      <c r="P441" s="3456"/>
      <c r="Q441" s="3459"/>
      <c r="R441" s="3245"/>
      <c r="S441" s="3247"/>
      <c r="T441" s="25" t="b">
        <f t="shared" si="45"/>
        <v>0</v>
      </c>
    </row>
    <row r="442" spans="1:20" ht="13.5" customHeight="1">
      <c r="B442" s="3590"/>
      <c r="C442" s="2681"/>
      <c r="D442" s="2682"/>
      <c r="E442" s="3245"/>
      <c r="F442" s="3247"/>
      <c r="G442" s="3494"/>
      <c r="H442" s="813" t="e">
        <f>HLOOKUP(H441,I441:M442,2,0)</f>
        <v>#N/A</v>
      </c>
      <c r="I442" s="814" t="e">
        <f>VLOOKUP($L$9,気送管,16,0)</f>
        <v>#N/A</v>
      </c>
      <c r="J442" s="815" t="e">
        <f>VLOOKUP($L$9,気送管,18,0)</f>
        <v>#N/A</v>
      </c>
      <c r="K442" s="510"/>
      <c r="L442" s="1579"/>
      <c r="M442" s="1580"/>
      <c r="N442" s="3462"/>
      <c r="O442" s="3451"/>
      <c r="P442" s="3456"/>
      <c r="Q442" s="3459"/>
      <c r="R442" s="3245"/>
      <c r="S442" s="3247"/>
      <c r="T442" s="25" t="b">
        <f t="shared" si="45"/>
        <v>0</v>
      </c>
    </row>
    <row r="443" spans="1:20" ht="13.5" customHeight="1">
      <c r="B443" s="3590"/>
      <c r="C443" s="2681"/>
      <c r="D443" s="2682"/>
      <c r="E443" s="3245"/>
      <c r="F443" s="3247"/>
      <c r="G443" s="3494" t="s">
        <v>267</v>
      </c>
      <c r="H443" s="951"/>
      <c r="I443" s="949" t="e">
        <f>VLOOKUP($L$9,気送管,21,0)</f>
        <v>#N/A</v>
      </c>
      <c r="J443" s="950" t="e">
        <f>VLOOKUP($L$9,気送管,23,0)</f>
        <v>#N/A</v>
      </c>
      <c r="K443" s="1587" t="e">
        <f>VLOOKUP($L$9,気送管,25,0)</f>
        <v>#N/A</v>
      </c>
      <c r="L443" s="1588"/>
      <c r="M443" s="1580"/>
      <c r="N443" s="3462"/>
      <c r="O443" s="3451"/>
      <c r="P443" s="3456"/>
      <c r="Q443" s="3459"/>
      <c r="R443" s="3245"/>
      <c r="S443" s="3247"/>
      <c r="T443" s="25" t="b">
        <f t="shared" si="45"/>
        <v>0</v>
      </c>
    </row>
    <row r="444" spans="1:20" ht="13.5" customHeight="1">
      <c r="B444" s="3590"/>
      <c r="C444" s="2684"/>
      <c r="D444" s="2686"/>
      <c r="E444" s="3248"/>
      <c r="F444" s="3249"/>
      <c r="G444" s="3494"/>
      <c r="H444" s="815" t="e">
        <f>IF(ISBLANK($H443),NA(),ROUNDDOWN(+$J444+(H443-$J443)*IF(H443&gt;$J443,($I444-$J444)/($I443-$J443),($K444-$J444)/($K443-$J443)),2))</f>
        <v>#N/A</v>
      </c>
      <c r="I444" s="814" t="e">
        <f>VLOOKUP($L$9,気送管,22,0)</f>
        <v>#N/A</v>
      </c>
      <c r="J444" s="822" t="e">
        <f>VLOOKUP($L$9,気送管,24,0)</f>
        <v>#N/A</v>
      </c>
      <c r="K444" s="831" t="e">
        <f>VLOOKUP($L$9,気送管,26,0)</f>
        <v>#N/A</v>
      </c>
      <c r="L444" s="1526"/>
      <c r="M444" s="1581"/>
      <c r="N444" s="3463"/>
      <c r="O444" s="3452"/>
      <c r="P444" s="3457"/>
      <c r="Q444" s="3460"/>
      <c r="R444" s="3248"/>
      <c r="S444" s="3249"/>
      <c r="T444" s="25" t="b">
        <f t="shared" si="45"/>
        <v>0</v>
      </c>
    </row>
    <row r="445" spans="1:20" ht="13.5" customHeight="1">
      <c r="B445" s="3590"/>
      <c r="C445" s="137"/>
      <c r="D445" s="139"/>
      <c r="E445" s="3497" t="s">
        <v>149</v>
      </c>
      <c r="F445" s="3498"/>
      <c r="G445" s="34" t="s">
        <v>150</v>
      </c>
      <c r="H445" s="32"/>
      <c r="I445" s="32"/>
      <c r="J445" s="32"/>
      <c r="K445" s="32"/>
      <c r="L445" s="32"/>
      <c r="M445" s="33"/>
      <c r="N445" s="536" t="s">
        <v>524</v>
      </c>
      <c r="O445" s="536" t="s">
        <v>151</v>
      </c>
      <c r="P445" s="844" t="s">
        <v>152</v>
      </c>
      <c r="Q445" s="845" t="s">
        <v>177</v>
      </c>
      <c r="R445" s="3313" t="s">
        <v>791</v>
      </c>
      <c r="S445" s="3313"/>
      <c r="T445" s="25" t="b">
        <f>COUNTA(H446,H448,H450,H452,H454,P446)&lt;&gt;0</f>
        <v>0</v>
      </c>
    </row>
    <row r="446" spans="1:20" ht="13.5" customHeight="1">
      <c r="A446">
        <f>ROW()</f>
        <v>446</v>
      </c>
      <c r="B446" s="3590"/>
      <c r="C446" s="2681" t="s">
        <v>268</v>
      </c>
      <c r="D446" s="2682"/>
      <c r="E446" s="3250" t="e">
        <f>VLOOKUP($L$9,ＥＶ規格,2,0)</f>
        <v>#N/A</v>
      </c>
      <c r="F446" s="3252"/>
      <c r="G446" s="3494" t="s">
        <v>269</v>
      </c>
      <c r="H446" s="1600"/>
      <c r="I446" s="952" t="e">
        <f>VLOOKUP($L$9,ＥＶ規格,3,0)</f>
        <v>#N/A</v>
      </c>
      <c r="J446" s="953" t="e">
        <f>VLOOKUP($L$9,ＥＶ規格,5,0)</f>
        <v>#N/A</v>
      </c>
      <c r="K446" s="1606" t="e">
        <f>VLOOKUP($L$9,ＥＶ規格,7,0)</f>
        <v>#N/A</v>
      </c>
      <c r="L446" s="1609"/>
      <c r="M446" s="505"/>
      <c r="N446" s="3461" t="e">
        <f>ROUNDDOWN(H447*H449*H451*H453*H455,2)</f>
        <v>#N/A</v>
      </c>
      <c r="O446" s="3450" t="e">
        <f>INT(E446*N446)</f>
        <v>#N/A</v>
      </c>
      <c r="P446" s="3455"/>
      <c r="Q446" s="3506" t="s">
        <v>178</v>
      </c>
      <c r="R446" s="3250">
        <f>IF(ISERROR(INT(O446*P446)),0,INT(O446*P446))</f>
        <v>0</v>
      </c>
      <c r="S446" s="3252"/>
      <c r="T446" s="25" t="b">
        <f>T445</f>
        <v>0</v>
      </c>
    </row>
    <row r="447" spans="1:20" ht="13.5" customHeight="1">
      <c r="B447" s="3590"/>
      <c r="C447" s="2681"/>
      <c r="D447" s="2682"/>
      <c r="E447" s="3245"/>
      <c r="F447" s="3247"/>
      <c r="G447" s="3494"/>
      <c r="H447" s="815" t="e">
        <f>IF(ISBLANK(H446),NA(),ROUNDDOWN(J447+(H446-J446)*IF(H446&gt;J446,(I447-J447)/(I446-J446),(K447-J447)/(K446-J446)),2))</f>
        <v>#N/A</v>
      </c>
      <c r="I447" s="814" t="e">
        <f>VLOOKUP($L$9,ＥＶ規格,4,0)</f>
        <v>#N/A</v>
      </c>
      <c r="J447" s="822" t="e">
        <f>VLOOKUP($L$9,ＥＶ規格,6,0)</f>
        <v>#N/A</v>
      </c>
      <c r="K447" s="831" t="e">
        <f>VLOOKUP($L$9,ＥＶ規格,8,0)</f>
        <v>#N/A</v>
      </c>
      <c r="L447" s="1612"/>
      <c r="M447" s="510"/>
      <c r="N447" s="3462"/>
      <c r="O447" s="3451"/>
      <c r="P447" s="3456"/>
      <c r="Q447" s="3459"/>
      <c r="R447" s="3245"/>
      <c r="S447" s="3247"/>
      <c r="T447" s="25" t="b">
        <f>T445</f>
        <v>0</v>
      </c>
    </row>
    <row r="448" spans="1:20" ht="13.5" customHeight="1">
      <c r="B448" s="3590"/>
      <c r="C448" s="2681"/>
      <c r="D448" s="2682"/>
      <c r="E448" s="3245"/>
      <c r="F448" s="3247"/>
      <c r="G448" s="3494" t="s">
        <v>270</v>
      </c>
      <c r="H448" s="1611"/>
      <c r="I448" s="955" t="e">
        <f>VLOOKUP($L$9,ＥＶ規格,9,0)</f>
        <v>#N/A</v>
      </c>
      <c r="J448" s="956" t="e">
        <f>VLOOKUP($L$9,ＥＶ規格,11,0)</f>
        <v>#N/A</v>
      </c>
      <c r="K448" s="1595" t="e">
        <f>VLOOKUP($L$9,ＥＶ規格,13,0)</f>
        <v>#N/A</v>
      </c>
      <c r="L448" s="1613"/>
      <c r="M448" s="510"/>
      <c r="N448" s="3462"/>
      <c r="O448" s="3451"/>
      <c r="P448" s="3456"/>
      <c r="Q448" s="3459"/>
      <c r="R448" s="3245"/>
      <c r="S448" s="3247"/>
      <c r="T448" s="25" t="b">
        <f>T445</f>
        <v>0</v>
      </c>
    </row>
    <row r="449" spans="2:20" ht="13.5" customHeight="1">
      <c r="B449" s="3590"/>
      <c r="C449" s="2681"/>
      <c r="D449" s="2682"/>
      <c r="E449" s="3245"/>
      <c r="F449" s="3247"/>
      <c r="G449" s="3494"/>
      <c r="H449" s="815" t="e">
        <f>IF(ISBLANK($H448),NA(),ROUNDDOWN(1+IF($H448&gt;$J448,($I449-$J449)/($I448-$J448),($K449-$J449)/($K448-$J448))*($H448-$J448),2))</f>
        <v>#N/A</v>
      </c>
      <c r="I449" s="814" t="e">
        <f>VLOOKUP($L$9,ＥＶ規格,10,0)</f>
        <v>#N/A</v>
      </c>
      <c r="J449" s="822" t="e">
        <f>VLOOKUP($L$9,ＥＶ規格,12,0)</f>
        <v>#N/A</v>
      </c>
      <c r="K449" s="831" t="e">
        <f>VLOOKUP($L$9,ＥＶ規格,14,0)</f>
        <v>#N/A</v>
      </c>
      <c r="L449" s="1612"/>
      <c r="M449" s="510"/>
      <c r="N449" s="3462"/>
      <c r="O449" s="3451"/>
      <c r="P449" s="3456"/>
      <c r="Q449" s="3459"/>
      <c r="R449" s="3245"/>
      <c r="S449" s="3247"/>
      <c r="T449" s="25" t="b">
        <f>T445</f>
        <v>0</v>
      </c>
    </row>
    <row r="450" spans="2:20" ht="13.5" customHeight="1">
      <c r="B450" s="3590"/>
      <c r="C450" s="2681"/>
      <c r="D450" s="2682"/>
      <c r="E450" s="3245"/>
      <c r="F450" s="3247"/>
      <c r="G450" s="3494" t="s">
        <v>271</v>
      </c>
      <c r="H450" s="1599"/>
      <c r="I450" s="958" t="e">
        <f>VLOOKUP($L$9,ＥＶ規格,15,0)</f>
        <v>#N/A</v>
      </c>
      <c r="J450" s="959" t="e">
        <f>VLOOKUP($L$9,ＥＶ規格,17,0)</f>
        <v>#N/A</v>
      </c>
      <c r="K450" s="1594" t="e">
        <f>VLOOKUP($L$9,ＥＶ規格,19,0)</f>
        <v>#N/A</v>
      </c>
      <c r="L450" s="1596"/>
      <c r="M450" s="510"/>
      <c r="N450" s="3462"/>
      <c r="O450" s="3451"/>
      <c r="P450" s="3456"/>
      <c r="Q450" s="3459"/>
      <c r="R450" s="3245"/>
      <c r="S450" s="3247"/>
      <c r="T450" s="25" t="b">
        <f>T445</f>
        <v>0</v>
      </c>
    </row>
    <row r="451" spans="2:20" ht="13.5" customHeight="1">
      <c r="B451" s="3590"/>
      <c r="C451" s="2681"/>
      <c r="D451" s="2682"/>
      <c r="E451" s="3245"/>
      <c r="F451" s="3247"/>
      <c r="G451" s="3494"/>
      <c r="H451" s="815" t="e">
        <f>IF(ISBLANK(H450),NA(),ROUNDDOWN(J451+(H450-J450)*IF(H450&gt;J450,(I451-J451)/(I450-J450),(K451-J451)/(K450-J450)),2))</f>
        <v>#N/A</v>
      </c>
      <c r="I451" s="814" t="e">
        <f>VLOOKUP($L$9,ＥＶ規格,16,0)</f>
        <v>#N/A</v>
      </c>
      <c r="J451" s="822" t="e">
        <f>VLOOKUP($L$9,ＥＶ規格,18,0)</f>
        <v>#N/A</v>
      </c>
      <c r="K451" s="831" t="e">
        <f>VLOOKUP($L$9,ＥＶ規格,20,0)</f>
        <v>#N/A</v>
      </c>
      <c r="L451" s="1612"/>
      <c r="M451" s="510"/>
      <c r="N451" s="3462"/>
      <c r="O451" s="3451"/>
      <c r="P451" s="3456"/>
      <c r="Q451" s="3459"/>
      <c r="R451" s="3245"/>
      <c r="S451" s="3247"/>
      <c r="T451" s="25" t="b">
        <f>T445</f>
        <v>0</v>
      </c>
    </row>
    <row r="452" spans="2:20" ht="13.5" customHeight="1">
      <c r="B452" s="3590"/>
      <c r="C452" s="2681"/>
      <c r="D452" s="2682"/>
      <c r="E452" s="3245"/>
      <c r="F452" s="3247"/>
      <c r="G452" s="3494" t="s">
        <v>794</v>
      </c>
      <c r="H452" s="818"/>
      <c r="I452" s="819" t="e">
        <f>VLOOKUP($L$9,ＥＶ規格,21,0)</f>
        <v>#N/A</v>
      </c>
      <c r="J452" s="820" t="e">
        <f>VLOOKUP($L$9,ＥＶ規格,23,0)</f>
        <v>#N/A</v>
      </c>
      <c r="K452" s="821" t="e">
        <f>VLOOKUP($L$9,ＥＶ規格,25,0)</f>
        <v>#N/A</v>
      </c>
      <c r="L452" s="510"/>
      <c r="M452" s="510"/>
      <c r="N452" s="3462"/>
      <c r="O452" s="3451"/>
      <c r="P452" s="3456"/>
      <c r="Q452" s="3459"/>
      <c r="R452" s="3245"/>
      <c r="S452" s="3247"/>
      <c r="T452" s="25" t="b">
        <f>T445</f>
        <v>0</v>
      </c>
    </row>
    <row r="453" spans="2:20" ht="13.5" customHeight="1">
      <c r="B453" s="3590"/>
      <c r="C453" s="2681"/>
      <c r="D453" s="2682"/>
      <c r="E453" s="3245"/>
      <c r="F453" s="3247"/>
      <c r="G453" s="3494"/>
      <c r="H453" s="813" t="e">
        <f>HLOOKUP(H452,I452:M453,2,0)</f>
        <v>#N/A</v>
      </c>
      <c r="I453" s="814" t="e">
        <f>VLOOKUP($L$9,ＥＶ規格,22,0)</f>
        <v>#N/A</v>
      </c>
      <c r="J453" s="822" t="e">
        <f>VLOOKUP($L$9,ＥＶ規格,24,0)</f>
        <v>#N/A</v>
      </c>
      <c r="K453" s="815" t="e">
        <f>VLOOKUP($L$9,ＥＶ規格,26,0)</f>
        <v>#N/A</v>
      </c>
      <c r="L453" s="510"/>
      <c r="M453" s="510"/>
      <c r="N453" s="3462"/>
      <c r="O453" s="3451"/>
      <c r="P453" s="3456"/>
      <c r="Q453" s="3459"/>
      <c r="R453" s="3245"/>
      <c r="S453" s="3247"/>
      <c r="T453" s="25" t="b">
        <f>T445</f>
        <v>0</v>
      </c>
    </row>
    <row r="454" spans="2:20" ht="13.5" customHeight="1">
      <c r="B454" s="3590"/>
      <c r="C454" s="2681"/>
      <c r="D454" s="2682"/>
      <c r="E454" s="3245"/>
      <c r="F454" s="3247"/>
      <c r="G454" s="3494" t="s">
        <v>272</v>
      </c>
      <c r="H454" s="818"/>
      <c r="I454" s="819" t="e">
        <f>VLOOKUP($L$9,ＥＶ規格,27,0)</f>
        <v>#N/A</v>
      </c>
      <c r="J454" s="820" t="e">
        <f>VLOOKUP($L$9,ＥＶ規格,29,0)</f>
        <v>#N/A</v>
      </c>
      <c r="K454" s="821" t="e">
        <f>VLOOKUP($L$9,ＥＶ規格,31,0)</f>
        <v>#N/A</v>
      </c>
      <c r="L454" s="510"/>
      <c r="M454" s="510"/>
      <c r="N454" s="3462"/>
      <c r="O454" s="3451"/>
      <c r="P454" s="3456"/>
      <c r="Q454" s="3459"/>
      <c r="R454" s="3245"/>
      <c r="S454" s="3247"/>
      <c r="T454" s="25" t="b">
        <f>T445</f>
        <v>0</v>
      </c>
    </row>
    <row r="455" spans="2:20" ht="13.5" customHeight="1">
      <c r="B455" s="3590"/>
      <c r="C455" s="2684"/>
      <c r="D455" s="2686"/>
      <c r="E455" s="3248"/>
      <c r="F455" s="3249"/>
      <c r="G455" s="3494"/>
      <c r="H455" s="813" t="e">
        <f>HLOOKUP(H454,I454:M455,2,0)</f>
        <v>#N/A</v>
      </c>
      <c r="I455" s="814" t="e">
        <f>VLOOKUP($L$9,ＥＶ規格,28,0)</f>
        <v>#N/A</v>
      </c>
      <c r="J455" s="822" t="e">
        <f>VLOOKUP($L$9,ＥＶ規格,30,0)</f>
        <v>#N/A</v>
      </c>
      <c r="K455" s="815" t="e">
        <f>VLOOKUP($L$9,ＥＶ規格,32,0)</f>
        <v>#N/A</v>
      </c>
      <c r="L455" s="221"/>
      <c r="M455" s="221"/>
      <c r="N455" s="3463"/>
      <c r="O455" s="3452"/>
      <c r="P455" s="3457"/>
      <c r="Q455" s="3460"/>
      <c r="R455" s="3248"/>
      <c r="S455" s="3249"/>
      <c r="T455" s="25" t="b">
        <f>T445</f>
        <v>0</v>
      </c>
    </row>
    <row r="456" spans="2:20" ht="13.5" customHeight="1">
      <c r="B456" s="3590"/>
      <c r="C456" s="137"/>
      <c r="D456" s="139"/>
      <c r="E456" s="3497" t="s">
        <v>149</v>
      </c>
      <c r="F456" s="3498"/>
      <c r="G456" s="34" t="s">
        <v>150</v>
      </c>
      <c r="H456" s="32"/>
      <c r="I456" s="32"/>
      <c r="J456" s="32"/>
      <c r="K456" s="32"/>
      <c r="L456" s="32"/>
      <c r="M456" s="33"/>
      <c r="N456" s="536" t="s">
        <v>524</v>
      </c>
      <c r="O456" s="536" t="s">
        <v>151</v>
      </c>
      <c r="P456" s="844" t="s">
        <v>152</v>
      </c>
      <c r="Q456" s="845" t="s">
        <v>177</v>
      </c>
      <c r="R456" s="3313" t="s">
        <v>791</v>
      </c>
      <c r="S456" s="3313"/>
      <c r="T456" s="25" t="b">
        <f>COUNTA(H457,H459,H461,H463,H465)&lt;&gt;0</f>
        <v>0</v>
      </c>
    </row>
    <row r="457" spans="2:20" ht="13.5" customHeight="1">
      <c r="B457" s="3590"/>
      <c r="C457" s="2681" t="s">
        <v>273</v>
      </c>
      <c r="D457" s="2682"/>
      <c r="E457" s="3250" t="e">
        <f>VLOOKUP($L$9,ＥＶ特注,2,0)</f>
        <v>#N/A</v>
      </c>
      <c r="F457" s="3252"/>
      <c r="G457" s="3494" t="s">
        <v>269</v>
      </c>
      <c r="H457" s="954"/>
      <c r="I457" s="952" t="e">
        <f>VLOOKUP($L$9,ＥＶ特注,3,0)</f>
        <v>#N/A</v>
      </c>
      <c r="J457" s="1606" t="e">
        <f>VLOOKUP($L$9,ＥＶ特注,5,0)</f>
        <v>#N/A</v>
      </c>
      <c r="K457" s="1609"/>
      <c r="L457" s="505"/>
      <c r="M457" s="505"/>
      <c r="N457" s="3461" t="e">
        <f>ROUNDDOWN(H458*H460*H462*H464*H466,2)</f>
        <v>#N/A</v>
      </c>
      <c r="O457" s="3450" t="e">
        <f>INT(E457*N457)</f>
        <v>#N/A</v>
      </c>
      <c r="P457" s="3541"/>
      <c r="Q457" s="3506" t="s">
        <v>178</v>
      </c>
      <c r="R457" s="3250">
        <f>IF(ISERROR(O457),0,INT(O457*P457))</f>
        <v>0</v>
      </c>
      <c r="S457" s="3252"/>
      <c r="T457" s="25" t="b">
        <f>T456</f>
        <v>0</v>
      </c>
    </row>
    <row r="458" spans="2:20" ht="13.5" customHeight="1">
      <c r="B458" s="3590"/>
      <c r="C458" s="2681"/>
      <c r="D458" s="2682"/>
      <c r="E458" s="3245"/>
      <c r="F458" s="3247"/>
      <c r="G458" s="3494"/>
      <c r="H458" s="815" t="e">
        <f>IF(ISBLANK(H457),NA(),MAX(J458,ROUNDDOWN(J458+(I458-J458)/(I457-J457)*(H457-J457),2)))</f>
        <v>#N/A</v>
      </c>
      <c r="I458" s="814" t="e">
        <f>VLOOKUP($L$9,ＥＶ特注,4,0)</f>
        <v>#N/A</v>
      </c>
      <c r="J458" s="831" t="e">
        <f>VLOOKUP($L$9,ＥＶ特注,6,0)</f>
        <v>#N/A</v>
      </c>
      <c r="K458" s="1526"/>
      <c r="L458" s="510"/>
      <c r="M458" s="510"/>
      <c r="N458" s="3462"/>
      <c r="O458" s="3451"/>
      <c r="P458" s="3514"/>
      <c r="Q458" s="3507"/>
      <c r="R458" s="3245"/>
      <c r="S458" s="3247"/>
      <c r="T458" s="25" t="b">
        <f>T456</f>
        <v>0</v>
      </c>
    </row>
    <row r="459" spans="2:20" ht="13.5" customHeight="1">
      <c r="B459" s="3590"/>
      <c r="C459" s="2681"/>
      <c r="D459" s="2682"/>
      <c r="E459" s="3245"/>
      <c r="F459" s="3247"/>
      <c r="G459" s="3494" t="s">
        <v>270</v>
      </c>
      <c r="H459" s="1611"/>
      <c r="I459" s="955" t="e">
        <f>VLOOKUP($L$9,ＥＶ特注,9,0)</f>
        <v>#N/A</v>
      </c>
      <c r="J459" s="956" t="e">
        <f>VLOOKUP($L$9,ＥＶ特注,11,0)</f>
        <v>#N/A</v>
      </c>
      <c r="K459" s="1595" t="e">
        <f>VLOOKUP($L$9,ＥＶ特注,13,0)</f>
        <v>#N/A</v>
      </c>
      <c r="L459" s="1613"/>
      <c r="M459" s="510"/>
      <c r="N459" s="3462"/>
      <c r="O459" s="3451"/>
      <c r="P459" s="3514"/>
      <c r="Q459" s="3507"/>
      <c r="R459" s="3245"/>
      <c r="S459" s="3247"/>
      <c r="T459" s="25" t="b">
        <f>T456</f>
        <v>0</v>
      </c>
    </row>
    <row r="460" spans="2:20" ht="13.5" customHeight="1">
      <c r="B460" s="3590"/>
      <c r="C460" s="2681"/>
      <c r="D460" s="2682"/>
      <c r="E460" s="3245"/>
      <c r="F460" s="3247"/>
      <c r="G460" s="3494"/>
      <c r="H460" s="815" t="e">
        <f>IF(ISBLANK($H459),NA(),ROUNDDOWN(1+IF($H459&gt;$J459,($I460-$J460)/($I459-$J459),($K460-$J460)/($K459-$J459))*($H459-$J459),2))</f>
        <v>#N/A</v>
      </c>
      <c r="I460" s="814" t="e">
        <f>VLOOKUP($L$9,ＥＶ特注,10,0)</f>
        <v>#N/A</v>
      </c>
      <c r="J460" s="822" t="e">
        <f>VLOOKUP($L$9,ＥＶ特注,12,0)</f>
        <v>#N/A</v>
      </c>
      <c r="K460" s="831" t="e">
        <f>VLOOKUP($L$9,ＥＶ特注,14,0)</f>
        <v>#N/A</v>
      </c>
      <c r="L460" s="1612"/>
      <c r="M460" s="510"/>
      <c r="N460" s="3462"/>
      <c r="O460" s="3451"/>
      <c r="P460" s="3514"/>
      <c r="Q460" s="3507"/>
      <c r="R460" s="3245"/>
      <c r="S460" s="3247"/>
      <c r="T460" s="25" t="b">
        <f>T456</f>
        <v>0</v>
      </c>
    </row>
    <row r="461" spans="2:20" ht="13.5" customHeight="1">
      <c r="B461" s="3590"/>
      <c r="C461" s="2681"/>
      <c r="D461" s="2682"/>
      <c r="E461" s="3245"/>
      <c r="F461" s="3247"/>
      <c r="G461" s="3494" t="s">
        <v>271</v>
      </c>
      <c r="H461" s="1599"/>
      <c r="I461" s="958" t="e">
        <f>VLOOKUP($L$9,ＥＶ特注,15,0)</f>
        <v>#N/A</v>
      </c>
      <c r="J461" s="959" t="e">
        <f>VLOOKUP($L$9,ＥＶ特注,17,0)</f>
        <v>#N/A</v>
      </c>
      <c r="K461" s="1594" t="e">
        <f>VLOOKUP($L$9,ＥＶ特注,19,0)</f>
        <v>#N/A</v>
      </c>
      <c r="L461" s="1596"/>
      <c r="M461" s="510"/>
      <c r="N461" s="3462"/>
      <c r="O461" s="3451"/>
      <c r="P461" s="3514"/>
      <c r="Q461" s="3507"/>
      <c r="R461" s="3245"/>
      <c r="S461" s="3247"/>
      <c r="T461" s="25" t="b">
        <f>T456</f>
        <v>0</v>
      </c>
    </row>
    <row r="462" spans="2:20" ht="13.5" customHeight="1">
      <c r="B462" s="3590"/>
      <c r="C462" s="2681"/>
      <c r="D462" s="2682"/>
      <c r="E462" s="3245"/>
      <c r="F462" s="3247"/>
      <c r="G462" s="3494"/>
      <c r="H462" s="815" t="e">
        <f>IF(ISBLANK(H461),NA(),ROUNDDOWN(J462+(H461-J461)*IF(H461&gt;J461,(I462-J462)/(I461-J461),(K462-J462)/(K461-J461)),2))</f>
        <v>#N/A</v>
      </c>
      <c r="I462" s="814" t="e">
        <f>VLOOKUP($L$9,ＥＶ特注,16,0)</f>
        <v>#N/A</v>
      </c>
      <c r="J462" s="822" t="e">
        <f>VLOOKUP($L$9,ＥＶ特注,18,0)</f>
        <v>#N/A</v>
      </c>
      <c r="K462" s="831" t="e">
        <f>VLOOKUP($L$9,ＥＶ特注,20,0)</f>
        <v>#N/A</v>
      </c>
      <c r="L462" s="1612"/>
      <c r="M462" s="510"/>
      <c r="N462" s="3462"/>
      <c r="O462" s="3451"/>
      <c r="P462" s="3514"/>
      <c r="Q462" s="3507"/>
      <c r="R462" s="3245"/>
      <c r="S462" s="3247"/>
      <c r="T462" s="25" t="b">
        <f>T456</f>
        <v>0</v>
      </c>
    </row>
    <row r="463" spans="2:20" ht="13.5" customHeight="1">
      <c r="B463" s="3590"/>
      <c r="C463" s="2681"/>
      <c r="D463" s="2682"/>
      <c r="E463" s="3245"/>
      <c r="F463" s="3247"/>
      <c r="G463" s="3494" t="s">
        <v>794</v>
      </c>
      <c r="H463" s="818"/>
      <c r="I463" s="819" t="e">
        <f>VLOOKUP($L$9,ＥＶ特注,21,0)</f>
        <v>#N/A</v>
      </c>
      <c r="J463" s="820" t="e">
        <f>VLOOKUP($L$9,ＥＶ特注,23,0)</f>
        <v>#N/A</v>
      </c>
      <c r="K463" s="821" t="e">
        <f>VLOOKUP($L$9,ＥＶ特注,25,0)</f>
        <v>#N/A</v>
      </c>
      <c r="L463" s="510"/>
      <c r="M463" s="510"/>
      <c r="N463" s="3462"/>
      <c r="O463" s="3451"/>
      <c r="P463" s="3514"/>
      <c r="Q463" s="3507"/>
      <c r="R463" s="3245"/>
      <c r="S463" s="3247"/>
      <c r="T463" s="25" t="b">
        <f>T456</f>
        <v>0</v>
      </c>
    </row>
    <row r="464" spans="2:20" ht="13.5" customHeight="1">
      <c r="B464" s="3590"/>
      <c r="C464" s="2681"/>
      <c r="D464" s="2682"/>
      <c r="E464" s="3245"/>
      <c r="F464" s="3247"/>
      <c r="G464" s="3494"/>
      <c r="H464" s="813" t="e">
        <f>HLOOKUP(H463,I463:M464,2,0)</f>
        <v>#N/A</v>
      </c>
      <c r="I464" s="814" t="e">
        <f>VLOOKUP($L$9,ＥＶ特注,22,0)</f>
        <v>#N/A</v>
      </c>
      <c r="J464" s="822" t="e">
        <f>VLOOKUP($L$9,ＥＶ特注,24,0)</f>
        <v>#N/A</v>
      </c>
      <c r="K464" s="815" t="e">
        <f>VLOOKUP($L$9,ＥＶ特注,26,0)</f>
        <v>#N/A</v>
      </c>
      <c r="L464" s="510"/>
      <c r="M464" s="510"/>
      <c r="N464" s="3462"/>
      <c r="O464" s="3451"/>
      <c r="P464" s="3514"/>
      <c r="Q464" s="3507"/>
      <c r="R464" s="3245"/>
      <c r="S464" s="3247"/>
      <c r="T464" s="25" t="b">
        <f>T456</f>
        <v>0</v>
      </c>
    </row>
    <row r="465" spans="2:20" ht="13.5" customHeight="1">
      <c r="B465" s="3590"/>
      <c r="C465" s="2681"/>
      <c r="D465" s="2682"/>
      <c r="E465" s="3245"/>
      <c r="F465" s="3247"/>
      <c r="G465" s="3494" t="s">
        <v>272</v>
      </c>
      <c r="H465" s="818"/>
      <c r="I465" s="819" t="e">
        <f>VLOOKUP($L$9,ＥＶ特注,27,0)</f>
        <v>#N/A</v>
      </c>
      <c r="J465" s="820" t="e">
        <f>VLOOKUP($L$9,ＥＶ特注,29,0)</f>
        <v>#N/A</v>
      </c>
      <c r="K465" s="821" t="e">
        <f>VLOOKUP($L$9,ＥＶ特注,31,0)</f>
        <v>#N/A</v>
      </c>
      <c r="L465" s="510"/>
      <c r="M465" s="510"/>
      <c r="N465" s="3462"/>
      <c r="O465" s="3451"/>
      <c r="P465" s="3514"/>
      <c r="Q465" s="3507"/>
      <c r="R465" s="3245"/>
      <c r="S465" s="3247"/>
      <c r="T465" s="25" t="b">
        <f>T456</f>
        <v>0</v>
      </c>
    </row>
    <row r="466" spans="2:20" ht="13.5" customHeight="1">
      <c r="B466" s="3590"/>
      <c r="C466" s="2681"/>
      <c r="D466" s="2682"/>
      <c r="E466" s="3245"/>
      <c r="F466" s="3488"/>
      <c r="G466" s="3538"/>
      <c r="H466" s="889" t="e">
        <f>HLOOKUP(H465,I465:M466,2,0)</f>
        <v>#N/A</v>
      </c>
      <c r="I466" s="890" t="e">
        <f>VLOOKUP($L$9,ＥＶ特注,28,0)</f>
        <v>#N/A</v>
      </c>
      <c r="J466" s="891" t="e">
        <f>VLOOKUP($L$9,ＥＶ特注,30,0)</f>
        <v>#N/A</v>
      </c>
      <c r="K466" s="892" t="e">
        <f>VLOOKUP($L$9,ＥＶ特注,32,0)</f>
        <v>#N/A</v>
      </c>
      <c r="L466" s="1713"/>
      <c r="M466" s="1713"/>
      <c r="N466" s="3462"/>
      <c r="O466" s="3451"/>
      <c r="P466" s="3514"/>
      <c r="Q466" s="3507"/>
      <c r="R466" s="3245"/>
      <c r="S466" s="3488"/>
      <c r="T466" s="25" t="b">
        <f>T456</f>
        <v>0</v>
      </c>
    </row>
    <row r="467" spans="2:20" ht="13.5" customHeight="1">
      <c r="B467" s="3590"/>
      <c r="C467" s="2684"/>
      <c r="D467" s="2686"/>
      <c r="E467" s="2742" t="e">
        <f>VLOOKUP($L$9,ＥＶ特注,41,0)</f>
        <v>#N/A</v>
      </c>
      <c r="F467" s="2744"/>
      <c r="G467" s="923" t="s">
        <v>274</v>
      </c>
      <c r="H467" s="1717"/>
      <c r="I467" s="1712" t="s">
        <v>1450</v>
      </c>
      <c r="J467" s="924"/>
      <c r="K467" s="1715"/>
      <c r="L467" s="1711"/>
      <c r="M467" s="1711"/>
      <c r="N467" s="1718"/>
      <c r="O467" s="1719">
        <f>+IF(H467="加算あり",E467,0)</f>
        <v>0</v>
      </c>
      <c r="P467" s="1720"/>
      <c r="Q467" s="1721" t="s">
        <v>1451</v>
      </c>
      <c r="R467" s="2742">
        <f>O467*P467</f>
        <v>0</v>
      </c>
      <c r="S467" s="2744"/>
      <c r="T467" s="25" t="b">
        <f>AND(T456,R467)</f>
        <v>0</v>
      </c>
    </row>
    <row r="468" spans="2:20" ht="13.5" customHeight="1">
      <c r="B468" s="3590"/>
      <c r="C468" s="137"/>
      <c r="D468" s="139"/>
      <c r="E468" s="3497" t="s">
        <v>149</v>
      </c>
      <c r="F468" s="3498"/>
      <c r="G468" s="34" t="s">
        <v>150</v>
      </c>
      <c r="H468" s="32"/>
      <c r="I468" s="32"/>
      <c r="J468" s="32"/>
      <c r="K468" s="32"/>
      <c r="L468" s="32"/>
      <c r="M468" s="33"/>
      <c r="N468" s="536" t="s">
        <v>524</v>
      </c>
      <c r="O468" s="536" t="s">
        <v>151</v>
      </c>
      <c r="P468" s="844" t="s">
        <v>152</v>
      </c>
      <c r="Q468" s="845" t="s">
        <v>177</v>
      </c>
      <c r="R468" s="3313" t="s">
        <v>791</v>
      </c>
      <c r="S468" s="3313"/>
      <c r="T468" s="25" t="b">
        <f>COUNTA(H469,H471,H473,H475,H477,P469)&lt;&gt;0</f>
        <v>0</v>
      </c>
    </row>
    <row r="469" spans="2:20" ht="13.5" customHeight="1">
      <c r="B469" s="3590"/>
      <c r="C469" s="2681" t="s">
        <v>275</v>
      </c>
      <c r="D469" s="2682"/>
      <c r="E469" s="3250" t="e">
        <f>VLOOKUP($L$9,ＥＶ高速特注,2,0)</f>
        <v>#N/A</v>
      </c>
      <c r="F469" s="3252"/>
      <c r="G469" s="3494" t="s">
        <v>269</v>
      </c>
      <c r="H469" s="954"/>
      <c r="I469" s="952" t="e">
        <f>VLOOKUP($L$9,ＥＶ高速特注,3,0)</f>
        <v>#N/A</v>
      </c>
      <c r="J469" s="1606" t="e">
        <f>VLOOKUP($L$9,ＥＶ高速特注,5,0)</f>
        <v>#N/A</v>
      </c>
      <c r="K469" s="1609"/>
      <c r="L469" s="1714"/>
      <c r="M469" s="1714"/>
      <c r="N469" s="3461" t="e">
        <f>ROUNDDOWN(H470*H472*H474*H476*H478,2)</f>
        <v>#N/A</v>
      </c>
      <c r="O469" s="3450" t="e">
        <f>INT(E469*N469)</f>
        <v>#N/A</v>
      </c>
      <c r="P469" s="3455"/>
      <c r="Q469" s="2582" t="s">
        <v>178</v>
      </c>
      <c r="R469" s="3250">
        <f>IF(ISERROR(INT(O469*P469)),0,INT(O469*P469))</f>
        <v>0</v>
      </c>
      <c r="S469" s="3252"/>
      <c r="T469" s="25" t="b">
        <f>T468</f>
        <v>0</v>
      </c>
    </row>
    <row r="470" spans="2:20" ht="13.5" customHeight="1">
      <c r="B470" s="3590"/>
      <c r="C470" s="2681"/>
      <c r="D470" s="2682"/>
      <c r="E470" s="3245"/>
      <c r="F470" s="3488"/>
      <c r="G470" s="3494"/>
      <c r="H470" s="815" t="e">
        <f>IF(ISBLANK(H469),NA(),MAX(J470,ROUNDDOWN(J470+(I470-J470)/(I469-J469)*(H469-J469),2)))</f>
        <v>#N/A</v>
      </c>
      <c r="I470" s="814" t="e">
        <f>VLOOKUP($L$9,ＥＶ高速特注,4,0)</f>
        <v>#N/A</v>
      </c>
      <c r="J470" s="831" t="e">
        <f>VLOOKUP($L$9,ＥＶ高速特注,6,0)</f>
        <v>#N/A</v>
      </c>
      <c r="K470" s="1612"/>
      <c r="L470" s="1713"/>
      <c r="M470" s="1713"/>
      <c r="N470" s="3462"/>
      <c r="O470" s="3451"/>
      <c r="P470" s="3456"/>
      <c r="Q470" s="3532"/>
      <c r="R470" s="3245"/>
      <c r="S470" s="3488"/>
      <c r="T470" s="25" t="b">
        <f>T468</f>
        <v>0</v>
      </c>
    </row>
    <row r="471" spans="2:20" ht="13.5" customHeight="1">
      <c r="B471" s="3590"/>
      <c r="C471" s="2681"/>
      <c r="D471" s="2682"/>
      <c r="E471" s="3245"/>
      <c r="F471" s="3488"/>
      <c r="G471" s="3494" t="s">
        <v>270</v>
      </c>
      <c r="H471" s="957"/>
      <c r="I471" s="955" t="e">
        <f>VLOOKUP($L$9,ＥＶ高速特注,9,0)</f>
        <v>#N/A</v>
      </c>
      <c r="J471" s="1595" t="e">
        <f>VLOOKUP($L$9,ＥＶ高速特注,11,0)</f>
        <v>#N/A</v>
      </c>
      <c r="K471" s="1613"/>
      <c r="L471" s="1713"/>
      <c r="M471" s="1713"/>
      <c r="N471" s="3462"/>
      <c r="O471" s="3451"/>
      <c r="P471" s="3456"/>
      <c r="Q471" s="3532"/>
      <c r="R471" s="3245"/>
      <c r="S471" s="3488"/>
      <c r="T471" s="25" t="b">
        <f>T468</f>
        <v>0</v>
      </c>
    </row>
    <row r="472" spans="2:20" ht="13.5" customHeight="1">
      <c r="B472" s="3590"/>
      <c r="C472" s="2681"/>
      <c r="D472" s="2682"/>
      <c r="E472" s="3245"/>
      <c r="F472" s="3488"/>
      <c r="G472" s="3494"/>
      <c r="H472" s="815" t="e">
        <f>IF(H471&lt;2,NA(),ROUNDDOWN(J472+(I472-J472)/(I471-J471)*(H471-J471),2))</f>
        <v>#N/A</v>
      </c>
      <c r="I472" s="814" t="e">
        <f>VLOOKUP($L$9,ＥＶ高速特注,10,0)</f>
        <v>#N/A</v>
      </c>
      <c r="J472" s="831" t="e">
        <f>VLOOKUP($L$9,ＥＶ高速特注,12,0)</f>
        <v>#N/A</v>
      </c>
      <c r="K472" s="1612"/>
      <c r="L472" s="1713"/>
      <c r="M472" s="1713"/>
      <c r="N472" s="3462"/>
      <c r="O472" s="3451"/>
      <c r="P472" s="3456"/>
      <c r="Q472" s="3532"/>
      <c r="R472" s="3245"/>
      <c r="S472" s="3488"/>
      <c r="T472" s="25" t="b">
        <f>T468</f>
        <v>0</v>
      </c>
    </row>
    <row r="473" spans="2:20" ht="13.5" customHeight="1">
      <c r="B473" s="3590"/>
      <c r="C473" s="2681"/>
      <c r="D473" s="2682"/>
      <c r="E473" s="3245"/>
      <c r="F473" s="3488"/>
      <c r="G473" s="3494" t="s">
        <v>271</v>
      </c>
      <c r="H473" s="960"/>
      <c r="I473" s="958" t="e">
        <f>VLOOKUP($L$9,ＥＶ高速特注,15,0)</f>
        <v>#N/A</v>
      </c>
      <c r="J473" s="1594" t="e">
        <f>VLOOKUP($L$9,ＥＶ高速特注,17,0)</f>
        <v>#N/A</v>
      </c>
      <c r="K473" s="1596"/>
      <c r="L473" s="1713"/>
      <c r="M473" s="1713"/>
      <c r="N473" s="3462"/>
      <c r="O473" s="3451"/>
      <c r="P473" s="3456"/>
      <c r="Q473" s="3532"/>
      <c r="R473" s="3245"/>
      <c r="S473" s="3488"/>
      <c r="T473" s="25" t="b">
        <f>T468</f>
        <v>0</v>
      </c>
    </row>
    <row r="474" spans="2:20" ht="13.5" customHeight="1">
      <c r="B474" s="3590"/>
      <c r="C474" s="2681"/>
      <c r="D474" s="2682"/>
      <c r="E474" s="3245"/>
      <c r="F474" s="3488"/>
      <c r="G474" s="3494"/>
      <c r="H474" s="815" t="e">
        <f>IF(ISBLANK(H473),NA(),MAX($J474,ROUNDDOWN($J474+($I474-$J474)/($I473-$J473)*($H473-$J473),2)))</f>
        <v>#N/A</v>
      </c>
      <c r="I474" s="814" t="e">
        <f>VLOOKUP($L$9,ＥＶ高速特注,16,0)</f>
        <v>#N/A</v>
      </c>
      <c r="J474" s="831" t="e">
        <f>VLOOKUP($L$9,ＥＶ高速特注,18,0)</f>
        <v>#N/A</v>
      </c>
      <c r="K474" s="1716"/>
      <c r="L474" s="1713"/>
      <c r="M474" s="1713"/>
      <c r="N474" s="3462"/>
      <c r="O474" s="3451"/>
      <c r="P474" s="3456"/>
      <c r="Q474" s="3532"/>
      <c r="R474" s="3245"/>
      <c r="S474" s="3488"/>
      <c r="T474" s="25" t="b">
        <f>T468</f>
        <v>0</v>
      </c>
    </row>
    <row r="475" spans="2:20" ht="13.5" customHeight="1">
      <c r="B475" s="3590"/>
      <c r="C475" s="2681"/>
      <c r="D475" s="2682"/>
      <c r="E475" s="3245"/>
      <c r="F475" s="3488"/>
      <c r="G475" s="3494" t="s">
        <v>794</v>
      </c>
      <c r="H475" s="818"/>
      <c r="I475" s="819" t="e">
        <f>VLOOKUP($L$9,ＥＶ高速特注,21,0)</f>
        <v>#N/A</v>
      </c>
      <c r="J475" s="820" t="e">
        <f>VLOOKUP($L$9,ＥＶ高速特注,23,0)</f>
        <v>#N/A</v>
      </c>
      <c r="K475" s="821" t="e">
        <f>VLOOKUP($L$9,ＥＶ高速特注,25,0)</f>
        <v>#N/A</v>
      </c>
      <c r="L475" s="1713"/>
      <c r="M475" s="1713"/>
      <c r="N475" s="3462"/>
      <c r="O475" s="3451"/>
      <c r="P475" s="3456"/>
      <c r="Q475" s="3532"/>
      <c r="R475" s="3245"/>
      <c r="S475" s="3488"/>
      <c r="T475" s="25" t="b">
        <f>T468</f>
        <v>0</v>
      </c>
    </row>
    <row r="476" spans="2:20" ht="13.5" customHeight="1">
      <c r="B476" s="3590"/>
      <c r="C476" s="2681"/>
      <c r="D476" s="2682"/>
      <c r="E476" s="3245"/>
      <c r="F476" s="3488"/>
      <c r="G476" s="3494"/>
      <c r="H476" s="813" t="e">
        <f>HLOOKUP(H475,I475:M476,2,0)</f>
        <v>#N/A</v>
      </c>
      <c r="I476" s="814" t="e">
        <f>VLOOKUP($L$9,ＥＶ高速特注,22,0)</f>
        <v>#N/A</v>
      </c>
      <c r="J476" s="822" t="e">
        <f>VLOOKUP($L$9,ＥＶ高速特注,24,0)</f>
        <v>#N/A</v>
      </c>
      <c r="K476" s="815" t="e">
        <f>VLOOKUP($L$9,ＥＶ高速特注,26,0)</f>
        <v>#N/A</v>
      </c>
      <c r="L476" s="1713"/>
      <c r="M476" s="1713"/>
      <c r="N476" s="3462"/>
      <c r="O476" s="3451"/>
      <c r="P476" s="3456"/>
      <c r="Q476" s="3532"/>
      <c r="R476" s="3245"/>
      <c r="S476" s="3488"/>
      <c r="T476" s="25" t="b">
        <f>T468</f>
        <v>0</v>
      </c>
    </row>
    <row r="477" spans="2:20" ht="13.5" customHeight="1">
      <c r="B477" s="3590"/>
      <c r="C477" s="2681"/>
      <c r="D477" s="2682"/>
      <c r="E477" s="3245"/>
      <c r="F477" s="3488"/>
      <c r="G477" s="3494" t="s">
        <v>272</v>
      </c>
      <c r="H477" s="818"/>
      <c r="I477" s="819" t="e">
        <f>VLOOKUP($L$9,ＥＶ高速特注,27,0)</f>
        <v>#N/A</v>
      </c>
      <c r="J477" s="820" t="e">
        <f>VLOOKUP($L$9,ＥＶ高速特注,29,0)</f>
        <v>#N/A</v>
      </c>
      <c r="K477" s="821" t="e">
        <f>VLOOKUP($L$9,ＥＶ高速特注,31,0)</f>
        <v>#N/A</v>
      </c>
      <c r="L477" s="1713"/>
      <c r="M477" s="1713"/>
      <c r="N477" s="3462"/>
      <c r="O477" s="3451"/>
      <c r="P477" s="3456"/>
      <c r="Q477" s="3532"/>
      <c r="R477" s="3245"/>
      <c r="S477" s="3488"/>
      <c r="T477" s="25" t="b">
        <f>T468</f>
        <v>0</v>
      </c>
    </row>
    <row r="478" spans="2:20" ht="13.5" customHeight="1">
      <c r="B478" s="3590"/>
      <c r="C478" s="2681"/>
      <c r="D478" s="2682"/>
      <c r="E478" s="3245"/>
      <c r="F478" s="3488"/>
      <c r="G478" s="3538"/>
      <c r="H478" s="889" t="e">
        <f>HLOOKUP(H477,I477:M478,2,0)</f>
        <v>#N/A</v>
      </c>
      <c r="I478" s="890" t="e">
        <f>VLOOKUP($L$9,ＥＶ高速特注,28,0)</f>
        <v>#N/A</v>
      </c>
      <c r="J478" s="891" t="e">
        <f>VLOOKUP($L$9,ＥＶ高速特注,30,0)</f>
        <v>#N/A</v>
      </c>
      <c r="K478" s="892" t="e">
        <f>VLOOKUP($L$9,ＥＶ高速特注,32,0)</f>
        <v>#N/A</v>
      </c>
      <c r="L478" s="1713"/>
      <c r="M478" s="1713"/>
      <c r="N478" s="3462"/>
      <c r="O478" s="3451"/>
      <c r="P478" s="3456"/>
      <c r="Q478" s="3532"/>
      <c r="R478" s="3245"/>
      <c r="S478" s="3488"/>
      <c r="T478" s="25" t="b">
        <f>T468</f>
        <v>0</v>
      </c>
    </row>
    <row r="479" spans="2:20" ht="13.5" customHeight="1">
      <c r="B479" s="3590"/>
      <c r="C479" s="2684"/>
      <c r="D479" s="2686"/>
      <c r="E479" s="2742" t="e">
        <f>VLOOKUP($L$9,ＥＶ高速特注,41,0)</f>
        <v>#N/A</v>
      </c>
      <c r="F479" s="2744"/>
      <c r="G479" s="923" t="s">
        <v>274</v>
      </c>
      <c r="H479" s="1717"/>
      <c r="I479" s="1712" t="s">
        <v>1450</v>
      </c>
      <c r="J479" s="924"/>
      <c r="K479" s="1715"/>
      <c r="L479" s="1711"/>
      <c r="M479" s="1711"/>
      <c r="N479" s="1718"/>
      <c r="O479" s="1719">
        <f>+IF(H479="加算あり",E479,0)</f>
        <v>0</v>
      </c>
      <c r="P479" s="1720"/>
      <c r="Q479" s="1721" t="s">
        <v>1451</v>
      </c>
      <c r="R479" s="2742">
        <f>O479*P479</f>
        <v>0</v>
      </c>
      <c r="S479" s="2744"/>
      <c r="T479" s="25" t="b">
        <f>AND(T468,R479)</f>
        <v>0</v>
      </c>
    </row>
    <row r="480" spans="2:20" ht="13.5" customHeight="1">
      <c r="B480" s="3590"/>
      <c r="C480" s="137"/>
      <c r="D480" s="139"/>
      <c r="E480" s="3497" t="s">
        <v>149</v>
      </c>
      <c r="F480" s="3498"/>
      <c r="G480" s="34" t="s">
        <v>150</v>
      </c>
      <c r="H480" s="32"/>
      <c r="I480" s="32"/>
      <c r="J480" s="32"/>
      <c r="K480" s="32"/>
      <c r="L480" s="32"/>
      <c r="M480" s="33"/>
      <c r="N480" s="536" t="s">
        <v>524</v>
      </c>
      <c r="O480" s="536" t="s">
        <v>151</v>
      </c>
      <c r="P480" s="844" t="s">
        <v>152</v>
      </c>
      <c r="Q480" s="845" t="s">
        <v>177</v>
      </c>
      <c r="R480" s="3313" t="s">
        <v>791</v>
      </c>
      <c r="S480" s="3313"/>
      <c r="T480" s="25" t="b">
        <f>COUNTA(H481,H483,H485,H487,H489,P481)&lt;&gt;0</f>
        <v>0</v>
      </c>
    </row>
    <row r="481" spans="2:20" ht="13.5" customHeight="1">
      <c r="B481" s="3590"/>
      <c r="C481" s="2681" t="s">
        <v>276</v>
      </c>
      <c r="D481" s="2682"/>
      <c r="E481" s="3250" t="e">
        <f>VLOOKUP($L$9,寝台ＥＶ,2,0)</f>
        <v>#N/A</v>
      </c>
      <c r="F481" s="3252"/>
      <c r="G481" s="3494" t="s">
        <v>269</v>
      </c>
      <c r="H481" s="954"/>
      <c r="I481" s="952" t="e">
        <f>VLOOKUP($L$9,寝台ＥＶ,3,0)</f>
        <v>#N/A</v>
      </c>
      <c r="J481" s="953" t="e">
        <f>VLOOKUP($L$9,寝台ＥＶ,5,0)</f>
        <v>#N/A</v>
      </c>
      <c r="K481" s="1601"/>
      <c r="L481" s="505"/>
      <c r="M481" s="505"/>
      <c r="N481" s="3461" t="e">
        <f>ROUNDDOWN(H482*H484*H486*H488*H490,2)</f>
        <v>#N/A</v>
      </c>
      <c r="O481" s="3450" t="e">
        <f>INT(E481*N481)</f>
        <v>#N/A</v>
      </c>
      <c r="P481" s="3455"/>
      <c r="Q481" s="3506" t="s">
        <v>178</v>
      </c>
      <c r="R481" s="3250">
        <f>IF(ISERROR(INT(O481*P481)),0,INT(O481*P481))</f>
        <v>0</v>
      </c>
      <c r="S481" s="3252"/>
      <c r="T481" s="25" t="b">
        <f>T480</f>
        <v>0</v>
      </c>
    </row>
    <row r="482" spans="2:20" ht="13.5" customHeight="1">
      <c r="B482" s="3590"/>
      <c r="C482" s="2681"/>
      <c r="D482" s="2682"/>
      <c r="E482" s="3245"/>
      <c r="F482" s="3247"/>
      <c r="G482" s="3494"/>
      <c r="H482" s="815" t="e">
        <f>IF(ISBLANK(H481),NA(),MAX(J482,ROUNDDOWN(J482+(I482-J482)/(I481-J481)*(H481-J481),2)))</f>
        <v>#N/A</v>
      </c>
      <c r="I482" s="814" t="e">
        <f>VLOOKUP($L$9,寝台ＥＶ,4,0)</f>
        <v>#N/A</v>
      </c>
      <c r="J482" s="822" t="e">
        <f>VLOOKUP($L$9,寝台ＥＶ,6,0)</f>
        <v>#N/A</v>
      </c>
      <c r="K482" s="1567"/>
      <c r="L482" s="1530"/>
      <c r="M482" s="510"/>
      <c r="N482" s="3462"/>
      <c r="O482" s="3451"/>
      <c r="P482" s="3456"/>
      <c r="Q482" s="3459"/>
      <c r="R482" s="3245"/>
      <c r="S482" s="3247"/>
      <c r="T482" s="25" t="b">
        <f>T480</f>
        <v>0</v>
      </c>
    </row>
    <row r="483" spans="2:20" ht="13.5" customHeight="1">
      <c r="B483" s="3590"/>
      <c r="C483" s="2681"/>
      <c r="D483" s="2682"/>
      <c r="E483" s="3245"/>
      <c r="F483" s="3247"/>
      <c r="G483" s="3494" t="s">
        <v>270</v>
      </c>
      <c r="H483" s="1611"/>
      <c r="I483" s="955" t="e">
        <f>VLOOKUP($L$9,寝台ＥＶ,9,0)</f>
        <v>#N/A</v>
      </c>
      <c r="J483" s="956" t="e">
        <f>VLOOKUP($L$9,寝台ＥＶ,11,0)</f>
        <v>#N/A</v>
      </c>
      <c r="K483" s="1595" t="e">
        <f>VLOOKUP($L$9,寝台ＥＶ,13,0)</f>
        <v>#N/A</v>
      </c>
      <c r="L483" s="1613"/>
      <c r="M483" s="510"/>
      <c r="N483" s="3462"/>
      <c r="O483" s="3451"/>
      <c r="P483" s="3456"/>
      <c r="Q483" s="3459"/>
      <c r="R483" s="3245"/>
      <c r="S483" s="3247"/>
      <c r="T483" s="25" t="b">
        <f>T480</f>
        <v>0</v>
      </c>
    </row>
    <row r="484" spans="2:20" ht="13.5" customHeight="1">
      <c r="B484" s="3590"/>
      <c r="C484" s="2681"/>
      <c r="D484" s="2682"/>
      <c r="E484" s="3245"/>
      <c r="F484" s="3247"/>
      <c r="G484" s="3494"/>
      <c r="H484" s="815" t="e">
        <f>IF(ISBLANK($H483),NA(),ROUNDDOWN(1+IF($H483&gt;$J483,($I484-$J484)/($I483-$J483),($K484-$J484)/($K483-$J483))*($H483-$J483),2))</f>
        <v>#N/A</v>
      </c>
      <c r="I484" s="814" t="e">
        <f>VLOOKUP($L$9,寝台ＥＶ,10,0)</f>
        <v>#N/A</v>
      </c>
      <c r="J484" s="822" t="e">
        <f>VLOOKUP($L$9,寝台ＥＶ,12,0)</f>
        <v>#N/A</v>
      </c>
      <c r="K484" s="831" t="e">
        <f>VLOOKUP($L$9,寝台ＥＶ,14,0)</f>
        <v>#N/A</v>
      </c>
      <c r="L484" s="1612"/>
      <c r="M484" s="510"/>
      <c r="N484" s="3462"/>
      <c r="O484" s="3451"/>
      <c r="P484" s="3456"/>
      <c r="Q484" s="3459"/>
      <c r="R484" s="3245"/>
      <c r="S484" s="3247"/>
      <c r="T484" s="25" t="b">
        <f>T480</f>
        <v>0</v>
      </c>
    </row>
    <row r="485" spans="2:20" ht="13.5" customHeight="1">
      <c r="B485" s="3590"/>
      <c r="C485" s="2681"/>
      <c r="D485" s="2682"/>
      <c r="E485" s="3245"/>
      <c r="F485" s="3247"/>
      <c r="G485" s="3494" t="s">
        <v>271</v>
      </c>
      <c r="H485" s="1599"/>
      <c r="I485" s="958" t="e">
        <f>VLOOKUP($L$9,寝台ＥＶ,15,0)</f>
        <v>#N/A</v>
      </c>
      <c r="J485" s="959" t="e">
        <f>VLOOKUP($L$9,寝台ＥＶ,17,0)</f>
        <v>#N/A</v>
      </c>
      <c r="K485" s="1594" t="e">
        <f>VLOOKUP($L$9,寝台ＥＶ,19,0)</f>
        <v>#N/A</v>
      </c>
      <c r="L485" s="1596"/>
      <c r="M485" s="510"/>
      <c r="N485" s="3462"/>
      <c r="O485" s="3451"/>
      <c r="P485" s="3456"/>
      <c r="Q485" s="3459"/>
      <c r="R485" s="3245"/>
      <c r="S485" s="3247"/>
      <c r="T485" s="25" t="b">
        <f>T480</f>
        <v>0</v>
      </c>
    </row>
    <row r="486" spans="2:20" ht="13.5" customHeight="1">
      <c r="B486" s="3590"/>
      <c r="C486" s="2681"/>
      <c r="D486" s="2682"/>
      <c r="E486" s="3245"/>
      <c r="F486" s="3247"/>
      <c r="G486" s="3494"/>
      <c r="H486" s="815" t="e">
        <f>IF(ISBLANK(H485),NA(),ROUNDDOWN(J486+(H485-J485)*IF(H485&gt;J485,(I486-J486)/(I485-J485),(K486-J486)/(K485-J485)),2))</f>
        <v>#N/A</v>
      </c>
      <c r="I486" s="814" t="e">
        <f>VLOOKUP($L$9,寝台ＥＶ,16,0)</f>
        <v>#N/A</v>
      </c>
      <c r="J486" s="822" t="e">
        <f>VLOOKUP($L$9,寝台ＥＶ,18,0)</f>
        <v>#N/A</v>
      </c>
      <c r="K486" s="831" t="e">
        <f>VLOOKUP($L$9,寝台ＥＶ,20,0)</f>
        <v>#N/A</v>
      </c>
      <c r="L486" s="1612"/>
      <c r="M486" s="510"/>
      <c r="N486" s="3462"/>
      <c r="O486" s="3451"/>
      <c r="P486" s="3456"/>
      <c r="Q486" s="3459"/>
      <c r="R486" s="3245"/>
      <c r="S486" s="3247"/>
      <c r="T486" s="25" t="b">
        <f>T480</f>
        <v>0</v>
      </c>
    </row>
    <row r="487" spans="2:20" ht="13.5" customHeight="1">
      <c r="B487" s="3590"/>
      <c r="C487" s="2681"/>
      <c r="D487" s="2682"/>
      <c r="E487" s="3245"/>
      <c r="F487" s="3247"/>
      <c r="G487" s="3494" t="s">
        <v>794</v>
      </c>
      <c r="H487" s="818"/>
      <c r="I487" s="819" t="e">
        <f>VLOOKUP($L$9,寝台ＥＶ,21,0)</f>
        <v>#N/A</v>
      </c>
      <c r="J487" s="820" t="e">
        <f>VLOOKUP($L$9,寝台ＥＶ,23,0)</f>
        <v>#N/A</v>
      </c>
      <c r="K487" s="824" t="e">
        <f>VLOOKUP($L$9,寝台ＥＶ,25,0)</f>
        <v>#N/A</v>
      </c>
      <c r="L487" s="1583"/>
      <c r="M487" s="510"/>
      <c r="N487" s="3462"/>
      <c r="O487" s="3451"/>
      <c r="P487" s="3456"/>
      <c r="Q487" s="3459"/>
      <c r="R487" s="3245"/>
      <c r="S487" s="3247"/>
      <c r="T487" s="25" t="b">
        <f>T480</f>
        <v>0</v>
      </c>
    </row>
    <row r="488" spans="2:20" ht="13.5" customHeight="1">
      <c r="B488" s="3590"/>
      <c r="C488" s="2681"/>
      <c r="D488" s="2682"/>
      <c r="E488" s="3245"/>
      <c r="F488" s="3247"/>
      <c r="G488" s="3494"/>
      <c r="H488" s="813" t="e">
        <f>HLOOKUP(H487,I487:M488,2,0)</f>
        <v>#N/A</v>
      </c>
      <c r="I488" s="814" t="e">
        <f>VLOOKUP($L$9,寝台ＥＶ,22,0)</f>
        <v>#N/A</v>
      </c>
      <c r="J488" s="822" t="e">
        <f>VLOOKUP($L$9,寝台ＥＶ,24,0)</f>
        <v>#N/A</v>
      </c>
      <c r="K488" s="815" t="e">
        <f>VLOOKUP($L$9,寝台ＥＶ,26,0)</f>
        <v>#N/A</v>
      </c>
      <c r="L488" s="510"/>
      <c r="M488" s="510"/>
      <c r="N488" s="3462"/>
      <c r="O488" s="3451"/>
      <c r="P488" s="3456"/>
      <c r="Q488" s="3459"/>
      <c r="R488" s="3245"/>
      <c r="S488" s="3247"/>
      <c r="T488" s="25" t="b">
        <f>T480</f>
        <v>0</v>
      </c>
    </row>
    <row r="489" spans="2:20" ht="13.5" customHeight="1">
      <c r="B489" s="3590"/>
      <c r="C489" s="2681"/>
      <c r="D489" s="2682"/>
      <c r="E489" s="3245"/>
      <c r="F489" s="3247"/>
      <c r="G489" s="3494" t="s">
        <v>272</v>
      </c>
      <c r="H489" s="818"/>
      <c r="I489" s="819" t="e">
        <f>VLOOKUP($L$9,寝台ＥＶ,27,0)</f>
        <v>#N/A</v>
      </c>
      <c r="J489" s="820" t="e">
        <f>VLOOKUP($L$9,寝台ＥＶ,29,0)</f>
        <v>#N/A</v>
      </c>
      <c r="K489" s="821" t="e">
        <f>VLOOKUP($L$9,寝台ＥＶ,31,0)</f>
        <v>#N/A</v>
      </c>
      <c r="L489" s="510"/>
      <c r="M489" s="510"/>
      <c r="N489" s="3462"/>
      <c r="O489" s="3451"/>
      <c r="P489" s="3456"/>
      <c r="Q489" s="3459"/>
      <c r="R489" s="3245"/>
      <c r="S489" s="3247"/>
      <c r="T489" s="25" t="b">
        <f>T480</f>
        <v>0</v>
      </c>
    </row>
    <row r="490" spans="2:20" ht="13.5" customHeight="1">
      <c r="B490" s="3590"/>
      <c r="C490" s="2684"/>
      <c r="D490" s="2686"/>
      <c r="E490" s="3248"/>
      <c r="F490" s="3249"/>
      <c r="G490" s="3494"/>
      <c r="H490" s="813" t="e">
        <f>HLOOKUP(H489,I489:M490,2,0)</f>
        <v>#N/A</v>
      </c>
      <c r="I490" s="814" t="e">
        <f>VLOOKUP($L$9,寝台ＥＶ,28,0)</f>
        <v>#N/A</v>
      </c>
      <c r="J490" s="822" t="e">
        <f>VLOOKUP($L$9,寝台ＥＶ,30,0)</f>
        <v>#N/A</v>
      </c>
      <c r="K490" s="815" t="e">
        <f>VLOOKUP($L$9,寝台ＥＶ,32,0)</f>
        <v>#N/A</v>
      </c>
      <c r="L490" s="221"/>
      <c r="M490" s="221"/>
      <c r="N490" s="3463"/>
      <c r="O490" s="3452"/>
      <c r="P490" s="3457"/>
      <c r="Q490" s="3460"/>
      <c r="R490" s="3248"/>
      <c r="S490" s="3249"/>
      <c r="T490" s="25" t="b">
        <f>T480</f>
        <v>0</v>
      </c>
    </row>
    <row r="491" spans="2:20" ht="13.5" customHeight="1">
      <c r="B491" s="3590"/>
      <c r="C491" s="137"/>
      <c r="D491" s="139"/>
      <c r="E491" s="3497" t="s">
        <v>149</v>
      </c>
      <c r="F491" s="3498"/>
      <c r="G491" s="34" t="s">
        <v>150</v>
      </c>
      <c r="H491" s="32"/>
      <c r="I491" s="32"/>
      <c r="J491" s="32"/>
      <c r="K491" s="32"/>
      <c r="L491" s="32"/>
      <c r="M491" s="33"/>
      <c r="N491" s="536" t="s">
        <v>524</v>
      </c>
      <c r="O491" s="536" t="s">
        <v>151</v>
      </c>
      <c r="P491" s="844" t="s">
        <v>152</v>
      </c>
      <c r="Q491" s="845" t="s">
        <v>177</v>
      </c>
      <c r="R491" s="3313" t="s">
        <v>791</v>
      </c>
      <c r="S491" s="3313"/>
      <c r="T491" s="25" t="b">
        <f>COUNTA(H492,H494,H496,H498,P492)&lt;&gt;0</f>
        <v>0</v>
      </c>
    </row>
    <row r="492" spans="2:20" ht="13.5" customHeight="1">
      <c r="B492" s="3590"/>
      <c r="C492" s="2681" t="s">
        <v>277</v>
      </c>
      <c r="D492" s="2682"/>
      <c r="E492" s="3250" t="e">
        <f>VLOOKUP($L$9,人荷ＥＶ,2,0)</f>
        <v>#N/A</v>
      </c>
      <c r="F492" s="3252"/>
      <c r="G492" s="3494" t="s">
        <v>269</v>
      </c>
      <c r="H492" s="1600"/>
      <c r="I492" s="952" t="e">
        <f>VLOOKUP($L$9,人荷ＥＶ,3,0)</f>
        <v>#N/A</v>
      </c>
      <c r="J492" s="953" t="e">
        <f>VLOOKUP($L$9,人荷ＥＶ,5,0)</f>
        <v>#N/A</v>
      </c>
      <c r="K492" s="1606" t="e">
        <f>VLOOKUP($L$9,人荷ＥＶ,7,0)</f>
        <v>#N/A</v>
      </c>
      <c r="L492" s="1609"/>
      <c r="M492" s="505"/>
      <c r="N492" s="3461" t="e">
        <f>ROUNDDOWN(H493*H495*H497*H499,2)</f>
        <v>#N/A</v>
      </c>
      <c r="O492" s="3450" t="e">
        <f>INT(E492*N492)</f>
        <v>#N/A</v>
      </c>
      <c r="P492" s="3455"/>
      <c r="Q492" s="3506" t="s">
        <v>178</v>
      </c>
      <c r="R492" s="3250">
        <f>IF(ISERROR(INT(O492*P492)),0,INT(O492*P492))</f>
        <v>0</v>
      </c>
      <c r="S492" s="3252"/>
      <c r="T492" s="25" t="b">
        <f>T491</f>
        <v>0</v>
      </c>
    </row>
    <row r="493" spans="2:20" ht="13.5" customHeight="1">
      <c r="B493" s="3590"/>
      <c r="C493" s="2681"/>
      <c r="D493" s="2682"/>
      <c r="E493" s="3245"/>
      <c r="F493" s="3247"/>
      <c r="G493" s="3494"/>
      <c r="H493" s="815" t="e">
        <f>IF(ISBLANK(H492),NA(),ROUNDDOWN(J493+(H492-J492)*IF(H492&gt;J492,(I493-J493)/(I492-J492),(K493-J493)/(K492-J492)),2))</f>
        <v>#N/A</v>
      </c>
      <c r="I493" s="814" t="e">
        <f>VLOOKUP($L$9,人荷ＥＶ,4,0)</f>
        <v>#N/A</v>
      </c>
      <c r="J493" s="822" t="e">
        <f>VLOOKUP($L$9,人荷ＥＶ,6,0)</f>
        <v>#N/A</v>
      </c>
      <c r="K493" s="831" t="e">
        <f>VLOOKUP($L$9,人荷ＥＶ,8,0)</f>
        <v>#N/A</v>
      </c>
      <c r="L493" s="1612"/>
      <c r="M493" s="510"/>
      <c r="N493" s="3462"/>
      <c r="O493" s="3451"/>
      <c r="P493" s="3456"/>
      <c r="Q493" s="3459"/>
      <c r="R493" s="3245"/>
      <c r="S493" s="3247"/>
      <c r="T493" s="25" t="b">
        <f>T491</f>
        <v>0</v>
      </c>
    </row>
    <row r="494" spans="2:20" ht="13.5" customHeight="1">
      <c r="B494" s="3590"/>
      <c r="C494" s="2681"/>
      <c r="D494" s="2682"/>
      <c r="E494" s="3245"/>
      <c r="F494" s="3247"/>
      <c r="G494" s="3494" t="s">
        <v>270</v>
      </c>
      <c r="H494" s="1611"/>
      <c r="I494" s="955" t="e">
        <f>VLOOKUP($L$9,人荷ＥＶ,9,0)</f>
        <v>#N/A</v>
      </c>
      <c r="J494" s="956" t="e">
        <f>VLOOKUP($L$9,人荷ＥＶ,11,0)</f>
        <v>#N/A</v>
      </c>
      <c r="K494" s="1595" t="e">
        <f>VLOOKUP($L$9,人荷ＥＶ,13,0)</f>
        <v>#N/A</v>
      </c>
      <c r="L494" s="1613"/>
      <c r="M494" s="510"/>
      <c r="N494" s="3462"/>
      <c r="O494" s="3451"/>
      <c r="P494" s="3456"/>
      <c r="Q494" s="3459"/>
      <c r="R494" s="3245"/>
      <c r="S494" s="3247"/>
      <c r="T494" s="25" t="b">
        <f>T491</f>
        <v>0</v>
      </c>
    </row>
    <row r="495" spans="2:20" ht="13.5" customHeight="1">
      <c r="B495" s="3590"/>
      <c r="C495" s="2681"/>
      <c r="D495" s="2682"/>
      <c r="E495" s="3245"/>
      <c r="F495" s="3247"/>
      <c r="G495" s="3494"/>
      <c r="H495" s="815" t="e">
        <f>IF(ISBLANK($H494),NA(),ROUNDDOWN(1+IF($H494&gt;$J494,($I495-$J495)/($I494-$J494),($K495-$J495)/($K494-$J494))*($H494-$J494),2))</f>
        <v>#N/A</v>
      </c>
      <c r="I495" s="814" t="e">
        <f>VLOOKUP($L$9,人荷ＥＶ,10,0)</f>
        <v>#N/A</v>
      </c>
      <c r="J495" s="822" t="e">
        <f>VLOOKUP($L$9,人荷ＥＶ,12,0)</f>
        <v>#N/A</v>
      </c>
      <c r="K495" s="831" t="e">
        <f>VLOOKUP($L$9,人荷ＥＶ,14,0)</f>
        <v>#N/A</v>
      </c>
      <c r="L495" s="1612"/>
      <c r="M495" s="510"/>
      <c r="N495" s="3462"/>
      <c r="O495" s="3451"/>
      <c r="P495" s="3456"/>
      <c r="Q495" s="3459"/>
      <c r="R495" s="3245"/>
      <c r="S495" s="3247"/>
      <c r="T495" s="25" t="b">
        <f>T491</f>
        <v>0</v>
      </c>
    </row>
    <row r="496" spans="2:20" ht="13.5" customHeight="1">
      <c r="B496" s="3590"/>
      <c r="C496" s="2681"/>
      <c r="D496" s="2682"/>
      <c r="E496" s="3245"/>
      <c r="F496" s="3247"/>
      <c r="G496" s="3494" t="s">
        <v>271</v>
      </c>
      <c r="H496" s="1599"/>
      <c r="I496" s="958" t="e">
        <f>VLOOKUP($L$9,人荷ＥＶ,15,0)</f>
        <v>#N/A</v>
      </c>
      <c r="J496" s="959" t="e">
        <f>VLOOKUP($L$9,人荷ＥＶ,17,0)</f>
        <v>#N/A</v>
      </c>
      <c r="K496" s="1594" t="e">
        <f>VLOOKUP($L$9,人荷ＥＶ,19,0)</f>
        <v>#N/A</v>
      </c>
      <c r="L496" s="1596"/>
      <c r="M496" s="510"/>
      <c r="N496" s="3462"/>
      <c r="O496" s="3451"/>
      <c r="P496" s="3456"/>
      <c r="Q496" s="3459"/>
      <c r="R496" s="3245"/>
      <c r="S496" s="3247"/>
      <c r="T496" s="25" t="b">
        <f>T491</f>
        <v>0</v>
      </c>
    </row>
    <row r="497" spans="2:20" ht="13.5" customHeight="1">
      <c r="B497" s="3590"/>
      <c r="C497" s="2681"/>
      <c r="D497" s="2682"/>
      <c r="E497" s="3245"/>
      <c r="F497" s="3247"/>
      <c r="G497" s="3494"/>
      <c r="H497" s="815" t="e">
        <f>IF(ISBLANK(H496),NA(),ROUNDDOWN(J497+(H496-J496)*IF(H496&gt;J496,(I497-J497)/(I496-J496),(K497-J497)/(K496-J496)),2))</f>
        <v>#N/A</v>
      </c>
      <c r="I497" s="814" t="e">
        <f>VLOOKUP($L$9,人荷ＥＶ,16,0)</f>
        <v>#N/A</v>
      </c>
      <c r="J497" s="822" t="e">
        <f>VLOOKUP($L$9,人荷ＥＶ,18,0)</f>
        <v>#N/A</v>
      </c>
      <c r="K497" s="831" t="e">
        <f>VLOOKUP($L$9,人荷ＥＶ,20,0)</f>
        <v>#N/A</v>
      </c>
      <c r="L497" s="1612"/>
      <c r="M497" s="510"/>
      <c r="N497" s="3462"/>
      <c r="O497" s="3451"/>
      <c r="P497" s="3456"/>
      <c r="Q497" s="3459"/>
      <c r="R497" s="3245"/>
      <c r="S497" s="3247"/>
      <c r="T497" s="25" t="b">
        <f>T491</f>
        <v>0</v>
      </c>
    </row>
    <row r="498" spans="2:20" ht="13.5" customHeight="1">
      <c r="B498" s="3590"/>
      <c r="C498" s="2681"/>
      <c r="D498" s="2682"/>
      <c r="E498" s="3245"/>
      <c r="F498" s="3247"/>
      <c r="G498" s="3494" t="s">
        <v>794</v>
      </c>
      <c r="H498" s="818"/>
      <c r="I498" s="819" t="e">
        <f>VLOOKUP($L$9,人荷ＥＶ,21,0)</f>
        <v>#N/A</v>
      </c>
      <c r="J498" s="820" t="e">
        <f>VLOOKUP($L$9,人荷ＥＶ,23,0)</f>
        <v>#N/A</v>
      </c>
      <c r="K498" s="821" t="e">
        <f>VLOOKUP($L$9,人荷ＥＶ,25,0)</f>
        <v>#N/A</v>
      </c>
      <c r="L498" s="510"/>
      <c r="M498" s="510"/>
      <c r="N498" s="3462"/>
      <c r="O498" s="3451"/>
      <c r="P498" s="3456"/>
      <c r="Q498" s="3459"/>
      <c r="R498" s="3245"/>
      <c r="S498" s="3247"/>
      <c r="T498" s="25" t="b">
        <f>T491</f>
        <v>0</v>
      </c>
    </row>
    <row r="499" spans="2:20" ht="13.5" customHeight="1">
      <c r="B499" s="3590"/>
      <c r="C499" s="2684"/>
      <c r="D499" s="2686"/>
      <c r="E499" s="3248"/>
      <c r="F499" s="3249"/>
      <c r="G499" s="3494"/>
      <c r="H499" s="813" t="e">
        <f>HLOOKUP(H498,I498:M499,2,0)</f>
        <v>#N/A</v>
      </c>
      <c r="I499" s="814" t="e">
        <f>VLOOKUP($L$9,人荷ＥＶ,22,0)</f>
        <v>#N/A</v>
      </c>
      <c r="J499" s="822" t="e">
        <f>VLOOKUP($L$9,人荷ＥＶ,24,0)</f>
        <v>#N/A</v>
      </c>
      <c r="K499" s="815" t="e">
        <f>VLOOKUP($L$9,人荷ＥＶ,26,0)</f>
        <v>#N/A</v>
      </c>
      <c r="L499" s="221"/>
      <c r="M499" s="221"/>
      <c r="N499" s="3463"/>
      <c r="O499" s="3452"/>
      <c r="P499" s="3457"/>
      <c r="Q499" s="3460"/>
      <c r="R499" s="3248"/>
      <c r="S499" s="3249"/>
      <c r="T499" s="25" t="b">
        <f>T491</f>
        <v>0</v>
      </c>
    </row>
    <row r="500" spans="2:20" ht="13.5" customHeight="1">
      <c r="B500" s="3590"/>
      <c r="C500" s="137"/>
      <c r="D500" s="139"/>
      <c r="E500" s="3497" t="s">
        <v>149</v>
      </c>
      <c r="F500" s="3498"/>
      <c r="G500" s="34" t="s">
        <v>150</v>
      </c>
      <c r="H500" s="32"/>
      <c r="I500" s="32"/>
      <c r="J500" s="32"/>
      <c r="K500" s="32"/>
      <c r="L500" s="101"/>
      <c r="M500" s="33"/>
      <c r="N500" s="536" t="s">
        <v>524</v>
      </c>
      <c r="O500" s="536" t="s">
        <v>151</v>
      </c>
      <c r="P500" s="844" t="s">
        <v>152</v>
      </c>
      <c r="Q500" s="845" t="s">
        <v>177</v>
      </c>
      <c r="R500" s="3313" t="s">
        <v>791</v>
      </c>
      <c r="S500" s="3313"/>
      <c r="T500" s="25" t="b">
        <f>COUNTA(H501,H503,H505,H507,H509,P501)&lt;&gt;0</f>
        <v>0</v>
      </c>
    </row>
    <row r="501" spans="2:20" ht="13.5" customHeight="1">
      <c r="B501" s="3590"/>
      <c r="C501" s="2681" t="s">
        <v>278</v>
      </c>
      <c r="D501" s="2682"/>
      <c r="E501" s="3250" t="e">
        <f>VLOOKUP($L$9,自動車電動ＥＶ,2,0)</f>
        <v>#N/A</v>
      </c>
      <c r="F501" s="3252"/>
      <c r="G501" s="3494" t="s">
        <v>269</v>
      </c>
      <c r="H501" s="1600"/>
      <c r="I501" s="952" t="e">
        <f>VLOOKUP($L$9,自動車電動ＥＶ,3,0)</f>
        <v>#N/A</v>
      </c>
      <c r="J501" s="953" t="e">
        <f>VLOOKUP($L$9,自動車電動ＥＶ,5,0)</f>
        <v>#N/A</v>
      </c>
      <c r="K501" s="1606" t="e">
        <f>VLOOKUP($L$9,自動車電動ＥＶ,7,0)</f>
        <v>#N/A</v>
      </c>
      <c r="L501" s="1609"/>
      <c r="M501" s="505"/>
      <c r="N501" s="3461" t="e">
        <f>ROUNDDOWN(H502*H504*H506*H508*H510,2)</f>
        <v>#N/A</v>
      </c>
      <c r="O501" s="3450" t="e">
        <f>INT(E501*N501)</f>
        <v>#N/A</v>
      </c>
      <c r="P501" s="3455"/>
      <c r="Q501" s="3506" t="s">
        <v>178</v>
      </c>
      <c r="R501" s="3250">
        <f>IF(ISERROR(INT(O501*P501)),0,INT(O501*P501))</f>
        <v>0</v>
      </c>
      <c r="S501" s="3252"/>
      <c r="T501" s="25" t="b">
        <f>T500</f>
        <v>0</v>
      </c>
    </row>
    <row r="502" spans="2:20" ht="13.5" customHeight="1">
      <c r="B502" s="3590"/>
      <c r="C502" s="2681"/>
      <c r="D502" s="2682"/>
      <c r="E502" s="3245"/>
      <c r="F502" s="3247"/>
      <c r="G502" s="3494"/>
      <c r="H502" s="815" t="e">
        <f>IF(ISBLANK(H501),NA(),ROUNDDOWN(J502+(H501-J501)*IF(H501&gt;J501,(I502-J502)/(I501-J501),(K502-J502)/(K501-J501)),2))</f>
        <v>#N/A</v>
      </c>
      <c r="I502" s="814" t="e">
        <f>VLOOKUP($L$9,自動車電動ＥＶ,4,0)</f>
        <v>#N/A</v>
      </c>
      <c r="J502" s="822" t="e">
        <f>VLOOKUP($L$9,自動車電動ＥＶ,6,0)</f>
        <v>#N/A</v>
      </c>
      <c r="K502" s="1607" t="e">
        <f>VLOOKUP($L$9,自動車電動ＥＶ,8,0)</f>
        <v>#N/A</v>
      </c>
      <c r="L502" s="823"/>
      <c r="M502" s="510"/>
      <c r="N502" s="3462"/>
      <c r="O502" s="3451"/>
      <c r="P502" s="3456"/>
      <c r="Q502" s="3459"/>
      <c r="R502" s="3245"/>
      <c r="S502" s="3247"/>
      <c r="T502" s="25" t="b">
        <f>T500</f>
        <v>0</v>
      </c>
    </row>
    <row r="503" spans="2:20" ht="13.5" customHeight="1">
      <c r="B503" s="3590"/>
      <c r="C503" s="2681"/>
      <c r="D503" s="2682"/>
      <c r="E503" s="3245"/>
      <c r="F503" s="3247"/>
      <c r="G503" s="3494" t="s">
        <v>270</v>
      </c>
      <c r="H503" s="957"/>
      <c r="I503" s="955" t="e">
        <f>VLOOKUP($L$9,自動車電動ＥＶ,9,0)</f>
        <v>#N/A</v>
      </c>
      <c r="J503" s="1595" t="e">
        <f>VLOOKUP($L$9,自動車電動ＥＶ,11,0)</f>
        <v>#N/A</v>
      </c>
      <c r="K503" s="1610"/>
      <c r="L503" s="510"/>
      <c r="M503" s="510"/>
      <c r="N503" s="3462"/>
      <c r="O503" s="3451"/>
      <c r="P503" s="3456"/>
      <c r="Q503" s="3459"/>
      <c r="R503" s="3245"/>
      <c r="S503" s="3247"/>
      <c r="T503" s="25" t="b">
        <f>T500</f>
        <v>0</v>
      </c>
    </row>
    <row r="504" spans="2:20" ht="13.5" customHeight="1">
      <c r="B504" s="3590"/>
      <c r="C504" s="2681"/>
      <c r="D504" s="2682"/>
      <c r="E504" s="3245"/>
      <c r="F504" s="3247"/>
      <c r="G504" s="3494"/>
      <c r="H504" s="815" t="e">
        <f>IF(H503&lt;J503,NA(),ROUNDDOWN(J504+(I504-J504)/(I503-J503)*(H503-J503),2))</f>
        <v>#N/A</v>
      </c>
      <c r="I504" s="814" t="e">
        <f>VLOOKUP($L$9,自動車電動ＥＶ,10,0)</f>
        <v>#N/A</v>
      </c>
      <c r="J504" s="831" t="e">
        <f>VLOOKUP($L$9,自動車電動ＥＶ,12,0)</f>
        <v>#N/A</v>
      </c>
      <c r="K504" s="816"/>
      <c r="L504" s="510"/>
      <c r="M504" s="510"/>
      <c r="N504" s="3462"/>
      <c r="O504" s="3451"/>
      <c r="P504" s="3456"/>
      <c r="Q504" s="3459"/>
      <c r="R504" s="3245"/>
      <c r="S504" s="3247"/>
      <c r="T504" s="25" t="b">
        <f>T500</f>
        <v>0</v>
      </c>
    </row>
    <row r="505" spans="2:20" ht="13.5" customHeight="1">
      <c r="B505" s="3590"/>
      <c r="C505" s="2681"/>
      <c r="D505" s="2682"/>
      <c r="E505" s="3245"/>
      <c r="F505" s="3247"/>
      <c r="G505" s="3494" t="s">
        <v>271</v>
      </c>
      <c r="H505" s="1599"/>
      <c r="I505" s="958" t="e">
        <f>VLOOKUP($L$9,自動車電動ＥＶ,15,0)</f>
        <v>#N/A</v>
      </c>
      <c r="J505" s="959" t="e">
        <f>VLOOKUP($L$9,自動車電動ＥＶ,17,0)</f>
        <v>#N/A</v>
      </c>
      <c r="K505" s="1608" t="e">
        <f>VLOOKUP($L$9,自動車電動ＥＶ,19,0)</f>
        <v>#N/A</v>
      </c>
      <c r="L505" s="1596"/>
      <c r="M505" s="510"/>
      <c r="N505" s="3462"/>
      <c r="O505" s="3451"/>
      <c r="P505" s="3456"/>
      <c r="Q505" s="3459"/>
      <c r="R505" s="3245"/>
      <c r="S505" s="3247"/>
      <c r="T505" s="25" t="b">
        <f>T500</f>
        <v>0</v>
      </c>
    </row>
    <row r="506" spans="2:20" ht="13.5" customHeight="1">
      <c r="B506" s="3590"/>
      <c r="C506" s="2681"/>
      <c r="D506" s="2682"/>
      <c r="E506" s="3245"/>
      <c r="F506" s="3247"/>
      <c r="G506" s="3494"/>
      <c r="H506" s="815" t="e">
        <f>IF(ISBLANK(H505),NA(),ROUNDDOWN(J506+(H505-J505)*IF(H505&gt;J505,(I506-J506)/(I505-J505),(K506-J506)/(K505-J505)),2))</f>
        <v>#N/A</v>
      </c>
      <c r="I506" s="814" t="e">
        <f>VLOOKUP($L$9,自動車電動ＥＶ,16,0)</f>
        <v>#N/A</v>
      </c>
      <c r="J506" s="822" t="e">
        <f>VLOOKUP($L$9,自動車電動ＥＶ,18,0)</f>
        <v>#N/A</v>
      </c>
      <c r="K506" s="831" t="e">
        <f>VLOOKUP($L$9,自動車電動ＥＶ,20,0)</f>
        <v>#N/A</v>
      </c>
      <c r="L506" s="823"/>
      <c r="M506" s="510"/>
      <c r="N506" s="3462"/>
      <c r="O506" s="3451"/>
      <c r="P506" s="3456"/>
      <c r="Q506" s="3459"/>
      <c r="R506" s="3245"/>
      <c r="S506" s="3247"/>
      <c r="T506" s="25" t="b">
        <f>T500</f>
        <v>0</v>
      </c>
    </row>
    <row r="507" spans="2:20" ht="13.5" customHeight="1">
      <c r="B507" s="3590"/>
      <c r="C507" s="2681"/>
      <c r="D507" s="2682"/>
      <c r="E507" s="3245"/>
      <c r="F507" s="3247"/>
      <c r="G507" s="3494" t="s">
        <v>911</v>
      </c>
      <c r="H507" s="818"/>
      <c r="I507" s="819" t="e">
        <f>VLOOKUP($L$9,自動車電動ＥＶ,21,0)</f>
        <v>#N/A</v>
      </c>
      <c r="J507" s="820" t="e">
        <f>VLOOKUP($L$9,自動車電動ＥＶ,23,0)</f>
        <v>#N/A</v>
      </c>
      <c r="K507" s="821" t="e">
        <f>VLOOKUP($L$9,自動車電動ＥＶ,25,0)</f>
        <v>#N/A</v>
      </c>
      <c r="L507" s="510"/>
      <c r="M507" s="510"/>
      <c r="N507" s="3462"/>
      <c r="O507" s="3451"/>
      <c r="P507" s="3456"/>
      <c r="Q507" s="3459"/>
      <c r="R507" s="3245"/>
      <c r="S507" s="3247"/>
      <c r="T507" s="25" t="b">
        <f>T500</f>
        <v>0</v>
      </c>
    </row>
    <row r="508" spans="2:20" ht="13.5" customHeight="1">
      <c r="B508" s="3590"/>
      <c r="C508" s="2681"/>
      <c r="D508" s="2682"/>
      <c r="E508" s="3245"/>
      <c r="F508" s="3247"/>
      <c r="G508" s="3494"/>
      <c r="H508" s="813" t="e">
        <f>HLOOKUP(H507,I507:M508,2,0)</f>
        <v>#N/A</v>
      </c>
      <c r="I508" s="814" t="e">
        <f>VLOOKUP($L$9,自動車電動ＥＶ,22,0)</f>
        <v>#N/A</v>
      </c>
      <c r="J508" s="822" t="e">
        <f>VLOOKUP($L$9,自動車電動ＥＶ,24,0)</f>
        <v>#N/A</v>
      </c>
      <c r="K508" s="815" t="e">
        <f>VLOOKUP($L$9,自動車電動ＥＶ,26,0)</f>
        <v>#N/A</v>
      </c>
      <c r="L508" s="510"/>
      <c r="M508" s="510"/>
      <c r="N508" s="3462"/>
      <c r="O508" s="3451"/>
      <c r="P508" s="3456"/>
      <c r="Q508" s="3459"/>
      <c r="R508" s="3245"/>
      <c r="S508" s="3247"/>
      <c r="T508" s="25" t="b">
        <f>T500</f>
        <v>0</v>
      </c>
    </row>
    <row r="509" spans="2:20" ht="13.5" customHeight="1">
      <c r="B509" s="3590"/>
      <c r="C509" s="2681"/>
      <c r="D509" s="2682"/>
      <c r="E509" s="3245"/>
      <c r="F509" s="3247"/>
      <c r="G509" s="3494" t="s">
        <v>794</v>
      </c>
      <c r="H509" s="818"/>
      <c r="I509" s="819" t="e">
        <f>VLOOKUP($L$9,自動車電動ＥＶ,27,0)</f>
        <v>#N/A</v>
      </c>
      <c r="J509" s="820" t="e">
        <f>VLOOKUP($L$9,自動車電動ＥＶ,29,0)</f>
        <v>#N/A</v>
      </c>
      <c r="K509" s="821" t="e">
        <f>VLOOKUP($L$9,自動車電動ＥＶ,31,0)</f>
        <v>#N/A</v>
      </c>
      <c r="L509" s="510"/>
      <c r="M509" s="510"/>
      <c r="N509" s="3462"/>
      <c r="O509" s="3451"/>
      <c r="P509" s="3456"/>
      <c r="Q509" s="3459"/>
      <c r="R509" s="3245"/>
      <c r="S509" s="3247"/>
      <c r="T509" s="25" t="b">
        <f>T500</f>
        <v>0</v>
      </c>
    </row>
    <row r="510" spans="2:20" ht="13.5" customHeight="1">
      <c r="B510" s="3590"/>
      <c r="C510" s="2684"/>
      <c r="D510" s="2686"/>
      <c r="E510" s="3248"/>
      <c r="F510" s="3249"/>
      <c r="G510" s="3494"/>
      <c r="H510" s="813" t="e">
        <f>HLOOKUP(H509,I509:M510,2,0)</f>
        <v>#N/A</v>
      </c>
      <c r="I510" s="814" t="e">
        <f>VLOOKUP($L$9,自動車電動ＥＶ,28,0)</f>
        <v>#N/A</v>
      </c>
      <c r="J510" s="822" t="e">
        <f>VLOOKUP($L$9,自動車電動ＥＶ,30,0)</f>
        <v>#N/A</v>
      </c>
      <c r="K510" s="815" t="e">
        <f>VLOOKUP($L$9,自動車電動ＥＶ,32,0)</f>
        <v>#N/A</v>
      </c>
      <c r="L510" s="221"/>
      <c r="M510" s="221"/>
      <c r="N510" s="3463"/>
      <c r="O510" s="3452"/>
      <c r="P510" s="3457"/>
      <c r="Q510" s="3460"/>
      <c r="R510" s="3248"/>
      <c r="S510" s="3249"/>
      <c r="T510" s="25" t="b">
        <f>T500</f>
        <v>0</v>
      </c>
    </row>
    <row r="511" spans="2:20" ht="13.5" customHeight="1">
      <c r="B511" s="3590"/>
      <c r="C511" s="137"/>
      <c r="D511" s="139"/>
      <c r="E511" s="3497" t="s">
        <v>149</v>
      </c>
      <c r="F511" s="3498"/>
      <c r="G511" s="34" t="s">
        <v>150</v>
      </c>
      <c r="H511" s="32"/>
      <c r="I511" s="32"/>
      <c r="J511" s="32"/>
      <c r="K511" s="32"/>
      <c r="L511" s="32"/>
      <c r="M511" s="33"/>
      <c r="N511" s="536" t="s">
        <v>524</v>
      </c>
      <c r="O511" s="536" t="s">
        <v>151</v>
      </c>
      <c r="P511" s="844" t="s">
        <v>152</v>
      </c>
      <c r="Q511" s="845" t="s">
        <v>177</v>
      </c>
      <c r="R511" s="3313" t="s">
        <v>791</v>
      </c>
      <c r="S511" s="3313"/>
      <c r="T511" s="25" t="b">
        <f>COUNTA(H512,H514,H516,P512)&lt;&gt;0</f>
        <v>0</v>
      </c>
    </row>
    <row r="512" spans="2:20" ht="13.5" customHeight="1">
      <c r="B512" s="3590"/>
      <c r="C512" s="2681" t="s">
        <v>279</v>
      </c>
      <c r="D512" s="2682"/>
      <c r="E512" s="3250" t="e">
        <f>VLOOKUP($L$9,自動車油圧ＥＶ,2,0)</f>
        <v>#N/A</v>
      </c>
      <c r="F512" s="3252"/>
      <c r="G512" s="3494" t="s">
        <v>269</v>
      </c>
      <c r="H512" s="1600"/>
      <c r="I512" s="952" t="e">
        <f>VLOOKUP($L$9,自動車油圧ＥＶ,3,0)</f>
        <v>#N/A</v>
      </c>
      <c r="J512" s="953" t="e">
        <f>VLOOKUP($L$9,自動車油圧ＥＶ,5,0)</f>
        <v>#N/A</v>
      </c>
      <c r="K512" s="1597" t="e">
        <f>VLOOKUP($L$9,自動車油圧ＥＶ,7,0)</f>
        <v>#N/A</v>
      </c>
      <c r="L512" s="1602"/>
      <c r="M512" s="505"/>
      <c r="N512" s="3461" t="e">
        <f>ROUNDDOWN(H513*H515*H517,2)</f>
        <v>#N/A</v>
      </c>
      <c r="O512" s="3450" t="e">
        <f>INT(E512*N512)</f>
        <v>#N/A</v>
      </c>
      <c r="P512" s="3455"/>
      <c r="Q512" s="3506" t="s">
        <v>178</v>
      </c>
      <c r="R512" s="3250">
        <f>IF(ISERROR(INT(O512*P512)),0,INT(O512*P512))</f>
        <v>0</v>
      </c>
      <c r="S512" s="3252"/>
      <c r="T512" s="25" t="b">
        <f>T511</f>
        <v>0</v>
      </c>
    </row>
    <row r="513" spans="1:20" ht="13.5" customHeight="1">
      <c r="B513" s="3590"/>
      <c r="C513" s="2681"/>
      <c r="D513" s="2682"/>
      <c r="E513" s="3245"/>
      <c r="F513" s="3247"/>
      <c r="G513" s="3494"/>
      <c r="H513" s="815" t="e">
        <f>IF(ISBLANK(H512),NA(),ROUNDDOWN(J513+(H512-J512)*IF(H512&gt;J512,(I513-J513)/(I512-J512),(K513-J513)/(K512-J512)),2))</f>
        <v>#N/A</v>
      </c>
      <c r="I513" s="814" t="e">
        <f>VLOOKUP($L$9,自動車油圧ＥＶ,4,0)</f>
        <v>#N/A</v>
      </c>
      <c r="J513" s="822" t="e">
        <f>VLOOKUP($L$9,自動車油圧ＥＶ,6,0)</f>
        <v>#N/A</v>
      </c>
      <c r="K513" s="815" t="e">
        <f>VLOOKUP($L$9,自動車油圧ＥＶ,8,0)</f>
        <v>#N/A</v>
      </c>
      <c r="L513" s="1603"/>
      <c r="M513" s="510"/>
      <c r="N513" s="3462"/>
      <c r="O513" s="3451"/>
      <c r="P513" s="3456"/>
      <c r="Q513" s="3459"/>
      <c r="R513" s="3245"/>
      <c r="S513" s="3247"/>
      <c r="T513" s="25" t="b">
        <f>T511</f>
        <v>0</v>
      </c>
    </row>
    <row r="514" spans="1:20" ht="13.5" customHeight="1">
      <c r="B514" s="3590"/>
      <c r="C514" s="2681"/>
      <c r="D514" s="2682"/>
      <c r="E514" s="3245"/>
      <c r="F514" s="3247"/>
      <c r="G514" s="3494" t="s">
        <v>271</v>
      </c>
      <c r="H514" s="1599"/>
      <c r="I514" s="958" t="e">
        <f>VLOOKUP($L$9,自動車油圧ＥＶ,9,0)</f>
        <v>#N/A</v>
      </c>
      <c r="J514" s="959" t="e">
        <f>VLOOKUP($L$9,自動車油圧ＥＶ,11,0)</f>
        <v>#N/A</v>
      </c>
      <c r="K514" s="1605" t="e">
        <f>VLOOKUP($L$9,自動車油圧ＥＶ,13,0)</f>
        <v>#N/A</v>
      </c>
      <c r="L514" s="1604"/>
      <c r="M514" s="510"/>
      <c r="N514" s="3462"/>
      <c r="O514" s="3451"/>
      <c r="P514" s="3456"/>
      <c r="Q514" s="3459"/>
      <c r="R514" s="3245"/>
      <c r="S514" s="3247"/>
      <c r="T514" s="25" t="b">
        <f>T511</f>
        <v>0</v>
      </c>
    </row>
    <row r="515" spans="1:20" ht="13.5" customHeight="1">
      <c r="B515" s="3590"/>
      <c r="C515" s="2681"/>
      <c r="D515" s="2682"/>
      <c r="E515" s="3245"/>
      <c r="F515" s="3247"/>
      <c r="G515" s="3494"/>
      <c r="H515" s="815" t="e">
        <f>IF(ISBLANK(H514),NA(),ROUNDDOWN(J515+(H514-J514)*IF(H514&gt;J514,(I515-J515)/(I514-J514),(K515-J515)/(K514-J514)),2))</f>
        <v>#N/A</v>
      </c>
      <c r="I515" s="814" t="e">
        <f>VLOOKUP($L$9,自動車油圧ＥＶ,10,0)</f>
        <v>#N/A</v>
      </c>
      <c r="J515" s="822" t="e">
        <f>VLOOKUP($L$9,自動車油圧ＥＶ,12,0)</f>
        <v>#N/A</v>
      </c>
      <c r="K515" s="815" t="e">
        <f>VLOOKUP($L$9,自動車油圧ＥＶ,14,0)</f>
        <v>#N/A</v>
      </c>
      <c r="L515" s="1603"/>
      <c r="M515" s="510"/>
      <c r="N515" s="3462"/>
      <c r="O515" s="3451"/>
      <c r="P515" s="3456"/>
      <c r="Q515" s="3459"/>
      <c r="R515" s="3245"/>
      <c r="S515" s="3247"/>
      <c r="T515" s="25" t="b">
        <f>T511</f>
        <v>0</v>
      </c>
    </row>
    <row r="516" spans="1:20" ht="13.5" customHeight="1">
      <c r="B516" s="3590"/>
      <c r="C516" s="2681"/>
      <c r="D516" s="2682"/>
      <c r="E516" s="3245"/>
      <c r="F516" s="3247"/>
      <c r="G516" s="3494" t="s">
        <v>794</v>
      </c>
      <c r="H516" s="818"/>
      <c r="I516" s="819" t="e">
        <f>VLOOKUP($L$9,自動車油圧ＥＶ,15,0)</f>
        <v>#N/A</v>
      </c>
      <c r="J516" s="820" t="e">
        <f>VLOOKUP($L$9,自動車油圧ＥＶ,17,0)</f>
        <v>#N/A</v>
      </c>
      <c r="K516" s="821" t="e">
        <f>VLOOKUP($L$9,自動車油圧ＥＶ,19,0)</f>
        <v>#N/A</v>
      </c>
      <c r="L516" s="510"/>
      <c r="M516" s="510"/>
      <c r="N516" s="3462"/>
      <c r="O516" s="3451"/>
      <c r="P516" s="3456"/>
      <c r="Q516" s="3459"/>
      <c r="R516" s="3245"/>
      <c r="S516" s="3247"/>
      <c r="T516" s="25" t="b">
        <f>T511</f>
        <v>0</v>
      </c>
    </row>
    <row r="517" spans="1:20" ht="13.5" customHeight="1">
      <c r="B517" s="3590"/>
      <c r="C517" s="2684"/>
      <c r="D517" s="2686"/>
      <c r="E517" s="3248"/>
      <c r="F517" s="3249"/>
      <c r="G517" s="3494"/>
      <c r="H517" s="813" t="e">
        <f>HLOOKUP(H516,I516:M517,2,0)</f>
        <v>#N/A</v>
      </c>
      <c r="I517" s="814" t="e">
        <f>VLOOKUP($L$9,自動車油圧ＥＶ,16,0)</f>
        <v>#N/A</v>
      </c>
      <c r="J517" s="822" t="e">
        <f>VLOOKUP($L$9,自動車油圧ＥＶ,18,0)</f>
        <v>#N/A</v>
      </c>
      <c r="K517" s="815" t="e">
        <f>VLOOKUP($L$9,自動車油圧ＥＶ,20,0)</f>
        <v>#N/A</v>
      </c>
      <c r="L517" s="221"/>
      <c r="M517" s="221"/>
      <c r="N517" s="3463"/>
      <c r="O517" s="3452"/>
      <c r="P517" s="3457"/>
      <c r="Q517" s="3460"/>
      <c r="R517" s="3248"/>
      <c r="S517" s="3249"/>
      <c r="T517" s="25" t="b">
        <f>T511</f>
        <v>0</v>
      </c>
    </row>
    <row r="518" spans="1:20" ht="13.5" customHeight="1">
      <c r="B518" s="3590"/>
      <c r="C518" s="137"/>
      <c r="D518" s="139"/>
      <c r="E518" s="3497" t="s">
        <v>149</v>
      </c>
      <c r="F518" s="3498"/>
      <c r="G518" s="34" t="s">
        <v>150</v>
      </c>
      <c r="H518" s="32"/>
      <c r="I518" s="32"/>
      <c r="J518" s="32"/>
      <c r="K518" s="32"/>
      <c r="L518" s="32"/>
      <c r="M518" s="33"/>
      <c r="N518" s="536" t="s">
        <v>524</v>
      </c>
      <c r="O518" s="536" t="s">
        <v>151</v>
      </c>
      <c r="P518" s="844" t="s">
        <v>152</v>
      </c>
      <c r="Q518" s="845" t="s">
        <v>177</v>
      </c>
      <c r="R518" s="3313" t="s">
        <v>791</v>
      </c>
      <c r="S518" s="3313"/>
      <c r="T518" s="25" t="b">
        <f>COUNTA(H519,H521,H523,P519)&lt;&gt;0</f>
        <v>0</v>
      </c>
    </row>
    <row r="519" spans="1:20" ht="13.5" customHeight="1">
      <c r="A519">
        <f>ROW()</f>
        <v>519</v>
      </c>
      <c r="B519" s="3590"/>
      <c r="C519" s="2681" t="s">
        <v>280</v>
      </c>
      <c r="D519" s="2682"/>
      <c r="E519" s="3250" t="e">
        <f>VLOOKUP($L$9,ホームＥＶ,2,0)</f>
        <v>#N/A</v>
      </c>
      <c r="F519" s="3252"/>
      <c r="G519" s="3494" t="s">
        <v>269</v>
      </c>
      <c r="H519" s="954"/>
      <c r="I519" s="952" t="e">
        <f>VLOOKUP($L$9,ホームＥＶ,3,0)</f>
        <v>#N/A</v>
      </c>
      <c r="J519" s="1597" t="e">
        <f>VLOOKUP($L$9,ホームＥＶ,5,0)</f>
        <v>#N/A</v>
      </c>
      <c r="K519" t="s">
        <v>1394</v>
      </c>
      <c r="L519" s="505"/>
      <c r="M519" s="505"/>
      <c r="N519" s="3461" t="e">
        <f>ROUNDDOWN(H520*H522*H524,2)</f>
        <v>#N/A</v>
      </c>
      <c r="O519" s="3450" t="e">
        <f>INT(E519*N519)</f>
        <v>#N/A</v>
      </c>
      <c r="P519" s="3455"/>
      <c r="Q519" s="3506" t="s">
        <v>178</v>
      </c>
      <c r="R519" s="3250">
        <f>IF(ISERROR(INT(O519*P519)),0,INT(O519*P519))</f>
        <v>0</v>
      </c>
      <c r="S519" s="3252"/>
      <c r="T519" s="25" t="b">
        <f>T518</f>
        <v>0</v>
      </c>
    </row>
    <row r="520" spans="1:20" ht="13.5" customHeight="1">
      <c r="B520" s="3590"/>
      <c r="C520" s="2681"/>
      <c r="D520" s="2682"/>
      <c r="E520" s="3245"/>
      <c r="F520" s="3247"/>
      <c r="G520" s="3494"/>
      <c r="H520" s="815" t="e">
        <f>IF(ISBLANK(H519),NA(),MAX(J520,ROUNDDOWN(J520+(I520-J520)/(I519-J519)*(H519-J519),2)))</f>
        <v>#N/A</v>
      </c>
      <c r="I520" s="814" t="e">
        <f>VLOOKUP($L$9,ホームＥＶ,4,0)</f>
        <v>#N/A</v>
      </c>
      <c r="J520" s="815" t="e">
        <f>VLOOKUP($L$9,ホームＥＶ,6,0)</f>
        <v>#N/A</v>
      </c>
      <c r="K520" t="s">
        <v>1395</v>
      </c>
      <c r="L520" s="510"/>
      <c r="M520" s="510"/>
      <c r="N520" s="3462"/>
      <c r="O520" s="3451"/>
      <c r="P520" s="3456"/>
      <c r="Q520" s="3459"/>
      <c r="R520" s="3245"/>
      <c r="S520" s="3247"/>
      <c r="T520" s="25" t="b">
        <f>T518</f>
        <v>0</v>
      </c>
    </row>
    <row r="521" spans="1:20" ht="13.5" customHeight="1">
      <c r="B521" s="3590"/>
      <c r="C521" s="2681"/>
      <c r="D521" s="2682"/>
      <c r="E521" s="3245"/>
      <c r="F521" s="3247"/>
      <c r="G521" s="3494" t="s">
        <v>270</v>
      </c>
      <c r="H521" s="957"/>
      <c r="I521" s="955" t="e">
        <f>VLOOKUP($L$9,ホームＥＶ,9,0)</f>
        <v>#N/A</v>
      </c>
      <c r="J521" s="1598" t="e">
        <f>VLOOKUP($L$9,ホームＥＶ,11,0)</f>
        <v>#N/A</v>
      </c>
      <c r="L521" s="510"/>
      <c r="M521" s="510"/>
      <c r="N521" s="3462"/>
      <c r="O521" s="3451"/>
      <c r="P521" s="3456"/>
      <c r="Q521" s="3459"/>
      <c r="R521" s="3245"/>
      <c r="S521" s="3247"/>
      <c r="T521" s="25" t="b">
        <f>T518</f>
        <v>0</v>
      </c>
    </row>
    <row r="522" spans="1:20" ht="13.5" customHeight="1">
      <c r="B522" s="3590"/>
      <c r="C522" s="2681"/>
      <c r="D522" s="2682"/>
      <c r="E522" s="3245"/>
      <c r="F522" s="3247"/>
      <c r="G522" s="3494"/>
      <c r="H522" s="815" t="e">
        <f>IF(H521&lt;J521,NA(),ROUNDDOWN(J522+(I522-J522)/(I521-J521)*(H521-J521),2))</f>
        <v>#N/A</v>
      </c>
      <c r="I522" s="814" t="e">
        <f>VLOOKUP($L$9,ホームＥＶ,10,0)</f>
        <v>#N/A</v>
      </c>
      <c r="J522" s="815" t="e">
        <f>VLOOKUP($L$9,ホームＥＶ,12,0)</f>
        <v>#N/A</v>
      </c>
      <c r="L522" s="510"/>
      <c r="M522" s="510"/>
      <c r="N522" s="3462"/>
      <c r="O522" s="3451"/>
      <c r="P522" s="3456"/>
      <c r="Q522" s="3459"/>
      <c r="R522" s="3245"/>
      <c r="S522" s="3247"/>
      <c r="T522" s="25" t="b">
        <f>T518</f>
        <v>0</v>
      </c>
    </row>
    <row r="523" spans="1:20" ht="13.5" customHeight="1">
      <c r="B523" s="3590"/>
      <c r="C523" s="2681"/>
      <c r="D523" s="2682"/>
      <c r="E523" s="3245"/>
      <c r="F523" s="3247"/>
      <c r="G523" s="3494" t="s">
        <v>794</v>
      </c>
      <c r="H523" s="818"/>
      <c r="I523" s="819" t="e">
        <f>VLOOKUP($L$9,ホームＥＶ,15,0)</f>
        <v>#N/A</v>
      </c>
      <c r="J523" s="820" t="e">
        <f>VLOOKUP($L$9,ホームＥＶ,17,0)</f>
        <v>#N/A</v>
      </c>
      <c r="K523" s="821" t="e">
        <f>VLOOKUP($L$9,ホームＥＶ,19,0)</f>
        <v>#N/A</v>
      </c>
      <c r="L523" s="510"/>
      <c r="M523" s="510"/>
      <c r="N523" s="3462"/>
      <c r="O523" s="3451"/>
      <c r="P523" s="3456"/>
      <c r="Q523" s="3459"/>
      <c r="R523" s="3245"/>
      <c r="S523" s="3247"/>
      <c r="T523" s="25" t="b">
        <f>T518</f>
        <v>0</v>
      </c>
    </row>
    <row r="524" spans="1:20" ht="13.5" customHeight="1">
      <c r="B524" s="3590"/>
      <c r="C524" s="2684"/>
      <c r="D524" s="2686"/>
      <c r="E524" s="3248"/>
      <c r="F524" s="3249"/>
      <c r="G524" s="3494"/>
      <c r="H524" s="813" t="e">
        <f>HLOOKUP(H523,I523:M524,2,0)</f>
        <v>#N/A</v>
      </c>
      <c r="I524" s="814" t="e">
        <f>VLOOKUP($L$9,ホームＥＶ,16,0)</f>
        <v>#N/A</v>
      </c>
      <c r="J524" s="822" t="e">
        <f>VLOOKUP($L$9,ホームＥＶ,18,0)</f>
        <v>#N/A</v>
      </c>
      <c r="K524" s="815" t="e">
        <f>VLOOKUP($L$9,ホームＥＶ,20,0)</f>
        <v>#N/A</v>
      </c>
      <c r="L524" s="221"/>
      <c r="M524" s="221"/>
      <c r="N524" s="3463"/>
      <c r="O524" s="3452"/>
      <c r="P524" s="3457"/>
      <c r="Q524" s="3460"/>
      <c r="R524" s="3248"/>
      <c r="S524" s="3249"/>
      <c r="T524" s="25" t="b">
        <f>T518</f>
        <v>0</v>
      </c>
    </row>
    <row r="525" spans="1:20" ht="13.5" customHeight="1">
      <c r="B525" s="3590"/>
      <c r="C525" s="137"/>
      <c r="D525" s="139"/>
      <c r="E525" s="3497" t="s">
        <v>149</v>
      </c>
      <c r="F525" s="3498"/>
      <c r="G525" s="34" t="s">
        <v>150</v>
      </c>
      <c r="H525" s="32"/>
      <c r="I525" s="32"/>
      <c r="J525" s="32"/>
      <c r="K525" s="32"/>
      <c r="L525" s="32"/>
      <c r="M525" s="33"/>
      <c r="N525" s="536" t="s">
        <v>524</v>
      </c>
      <c r="O525" s="536" t="s">
        <v>151</v>
      </c>
      <c r="P525" s="844" t="s">
        <v>152</v>
      </c>
      <c r="Q525" s="845" t="s">
        <v>177</v>
      </c>
      <c r="R525" s="3313" t="s">
        <v>791</v>
      </c>
      <c r="S525" s="3313"/>
      <c r="T525" s="25" t="b">
        <f>COUNTA(H526,H528,H530,H532,P526)&lt;&gt;0</f>
        <v>0</v>
      </c>
    </row>
    <row r="526" spans="1:20" ht="13.5" customHeight="1">
      <c r="B526" s="3590"/>
      <c r="C526" s="2681" t="s">
        <v>281</v>
      </c>
      <c r="D526" s="2682"/>
      <c r="E526" s="3250" t="e">
        <f>VLOOKUP($L$9,小荷物専用昇降機,2,0)</f>
        <v>#N/A</v>
      </c>
      <c r="F526" s="3252"/>
      <c r="G526" s="3494" t="s">
        <v>269</v>
      </c>
      <c r="H526" s="954"/>
      <c r="I526" s="952" t="e">
        <f>VLOOKUP($L$9,小荷物専用昇降機,3,0)</f>
        <v>#N/A</v>
      </c>
      <c r="J526" s="953" t="e">
        <f>VLOOKUP($L$9,小荷物専用昇降機,5,0)</f>
        <v>#N/A</v>
      </c>
      <c r="K526" s="1597" t="e">
        <f>VLOOKUP($L$9,小荷物専用昇降機,7,0)</f>
        <v>#N/A</v>
      </c>
      <c r="M526" s="505"/>
      <c r="N526" s="3461" t="e">
        <f>ROUNDDOWN(H527*H529*H531*H533,2)</f>
        <v>#N/A</v>
      </c>
      <c r="O526" s="3450" t="e">
        <f>INT(E526*N526)</f>
        <v>#N/A</v>
      </c>
      <c r="P526" s="3455"/>
      <c r="Q526" s="3506" t="s">
        <v>178</v>
      </c>
      <c r="R526" s="3250">
        <f>IF(ISERROR(INT(O526*P526)),0,INT(O526*P526))</f>
        <v>0</v>
      </c>
      <c r="S526" s="3252"/>
      <c r="T526" s="25" t="b">
        <f>T525</f>
        <v>0</v>
      </c>
    </row>
    <row r="527" spans="1:20" ht="13.5" customHeight="1">
      <c r="B527" s="3590"/>
      <c r="C527" s="2681"/>
      <c r="D527" s="2682"/>
      <c r="E527" s="3245"/>
      <c r="F527" s="3247"/>
      <c r="G527" s="3494"/>
      <c r="H527" s="815" t="e">
        <f>IF(ISBLANK(H526),NA(),ROUNDDOWN(J527+(H526-J526)*IF(H526&gt;J526,(I527-J527)/(I526-J526),(K527-J527)/(K526-J526)),2))</f>
        <v>#N/A</v>
      </c>
      <c r="I527" s="814" t="e">
        <f>VLOOKUP($L$9,小荷物専用昇降機,4,0)</f>
        <v>#N/A</v>
      </c>
      <c r="J527" s="822" t="e">
        <f>VLOOKUP($L$9,小荷物専用昇降機,6,0)</f>
        <v>#N/A</v>
      </c>
      <c r="K527" s="815" t="e">
        <f>VLOOKUP($L$9,小荷物専用昇降機,8,0)</f>
        <v>#N/A</v>
      </c>
      <c r="M527" s="510"/>
      <c r="N527" s="3462"/>
      <c r="O527" s="3451"/>
      <c r="P527" s="3456"/>
      <c r="Q527" s="3459"/>
      <c r="R527" s="3245"/>
      <c r="S527" s="3247"/>
      <c r="T527" s="25" t="b">
        <f>T525</f>
        <v>0</v>
      </c>
    </row>
    <row r="528" spans="1:20" ht="13.5" customHeight="1">
      <c r="B528" s="3590"/>
      <c r="C528" s="2681"/>
      <c r="D528" s="2682"/>
      <c r="E528" s="3245"/>
      <c r="F528" s="3247"/>
      <c r="G528" s="3494" t="s">
        <v>270</v>
      </c>
      <c r="H528" s="957"/>
      <c r="I528" s="955" t="e">
        <f>VLOOKUP($L$9,小荷物専用昇降機,9,0)</f>
        <v>#N/A</v>
      </c>
      <c r="J528" s="1595" t="e">
        <f>VLOOKUP($L$9,小荷物専用昇降機,11,0)</f>
        <v>#N/A</v>
      </c>
      <c r="K528" s="125"/>
      <c r="L528" s="510"/>
      <c r="M528" s="510"/>
      <c r="N528" s="3462"/>
      <c r="O528" s="3451"/>
      <c r="P528" s="3456"/>
      <c r="Q528" s="3459"/>
      <c r="R528" s="3245"/>
      <c r="S528" s="3247"/>
      <c r="T528" s="25" t="b">
        <f>T525</f>
        <v>0</v>
      </c>
    </row>
    <row r="529" spans="2:21" ht="13.5" customHeight="1">
      <c r="B529" s="3590"/>
      <c r="C529" s="2681"/>
      <c r="D529" s="2682"/>
      <c r="E529" s="3245"/>
      <c r="F529" s="3247"/>
      <c r="G529" s="3494"/>
      <c r="H529" s="815" t="e">
        <f>IF(H528&lt;J528,NA(),ROUNDDOWN(J529+(I529-J529)/(I528-J528)*(H528-J528),2))</f>
        <v>#N/A</v>
      </c>
      <c r="I529" s="814" t="e">
        <f>VLOOKUP($L$9,小荷物専用昇降機,10,0)</f>
        <v>#N/A</v>
      </c>
      <c r="J529" s="831" t="e">
        <f>VLOOKUP($L$9,小荷物専用昇降機,12,0)</f>
        <v>#N/A</v>
      </c>
      <c r="K529" s="128"/>
      <c r="L529" s="510"/>
      <c r="M529" s="510"/>
      <c r="N529" s="3462"/>
      <c r="O529" s="3451"/>
      <c r="P529" s="3456"/>
      <c r="Q529" s="3459"/>
      <c r="R529" s="3245"/>
      <c r="S529" s="3247"/>
      <c r="T529" s="25" t="b">
        <f>T525</f>
        <v>0</v>
      </c>
    </row>
    <row r="530" spans="2:21" ht="13.5" customHeight="1">
      <c r="B530" s="3590"/>
      <c r="C530" s="2681"/>
      <c r="D530" s="2682"/>
      <c r="E530" s="3245"/>
      <c r="F530" s="3247"/>
      <c r="G530" s="3494" t="s">
        <v>271</v>
      </c>
      <c r="H530" s="960"/>
      <c r="I530" s="958" t="e">
        <f>VLOOKUP($L$9,小荷物専用昇降機,17,0)</f>
        <v>#N/A</v>
      </c>
      <c r="J530" s="1594" t="e">
        <f>VLOOKUP($L$9,小荷物専用昇降機,19,0)</f>
        <v>#N/A</v>
      </c>
      <c r="K530" s="1596"/>
      <c r="L530" s="1530"/>
      <c r="M530" s="510"/>
      <c r="N530" s="3462"/>
      <c r="O530" s="3451"/>
      <c r="P530" s="3456"/>
      <c r="Q530" s="3459"/>
      <c r="R530" s="3245"/>
      <c r="S530" s="3247"/>
      <c r="T530" s="25" t="b">
        <f>T525</f>
        <v>0</v>
      </c>
    </row>
    <row r="531" spans="2:21" ht="13.5" customHeight="1">
      <c r="B531" s="3590"/>
      <c r="C531" s="2681"/>
      <c r="D531" s="2682"/>
      <c r="E531" s="3245"/>
      <c r="F531" s="3247"/>
      <c r="G531" s="3494"/>
      <c r="H531" s="815" t="e">
        <f>IF(ISBLANK(H530),NA(),MIN($I531,ROUNDDOWN($I531+($J531-$I531)/($J530-$I530)*($H530-$I530),2)))</f>
        <v>#N/A</v>
      </c>
      <c r="I531" s="814" t="e">
        <f>VLOOKUP($L$9,小荷物専用昇降機,18,0)</f>
        <v>#N/A</v>
      </c>
      <c r="J531" s="831" t="e">
        <f>VLOOKUP($L$9,小荷物専用昇降機,20,0)</f>
        <v>#N/A</v>
      </c>
      <c r="K531" s="1526"/>
      <c r="L531" s="1530"/>
      <c r="M531" s="510"/>
      <c r="N531" s="3462"/>
      <c r="O531" s="3451"/>
      <c r="P531" s="3456"/>
      <c r="Q531" s="3459"/>
      <c r="R531" s="3245"/>
      <c r="S531" s="3247"/>
      <c r="T531" s="25" t="b">
        <f>T525</f>
        <v>0</v>
      </c>
    </row>
    <row r="532" spans="2:21" ht="13.5" customHeight="1">
      <c r="B532" s="3590"/>
      <c r="C532" s="2681"/>
      <c r="D532" s="2682"/>
      <c r="E532" s="3245"/>
      <c r="F532" s="3247"/>
      <c r="G532" s="3494" t="s">
        <v>794</v>
      </c>
      <c r="H532" s="818"/>
      <c r="I532" s="819" t="e">
        <f>VLOOKUP($L$9,小荷物専用昇降機,21,0)</f>
        <v>#N/A</v>
      </c>
      <c r="J532" s="820" t="e">
        <f>VLOOKUP($L$9,小荷物専用昇降機,23,0)</f>
        <v>#N/A</v>
      </c>
      <c r="K532" s="821" t="e">
        <f>VLOOKUP($L$9,小荷物専用昇降機,25,0)</f>
        <v>#N/A</v>
      </c>
      <c r="L532" s="510"/>
      <c r="M532" s="510"/>
      <c r="N532" s="3462"/>
      <c r="O532" s="3451"/>
      <c r="P532" s="3456"/>
      <c r="Q532" s="3459"/>
      <c r="R532" s="3245"/>
      <c r="S532" s="3247"/>
      <c r="T532" s="25" t="b">
        <f>T525</f>
        <v>0</v>
      </c>
    </row>
    <row r="533" spans="2:21" ht="13.5" customHeight="1">
      <c r="B533" s="3590"/>
      <c r="C533" s="2684"/>
      <c r="D533" s="2686"/>
      <c r="E533" s="3248"/>
      <c r="F533" s="3249"/>
      <c r="G533" s="3494"/>
      <c r="H533" s="813" t="e">
        <f>HLOOKUP(H532,I532:M533,2,0)</f>
        <v>#N/A</v>
      </c>
      <c r="I533" s="814" t="e">
        <f>VLOOKUP($L$9,小荷物専用昇降機,22,0)</f>
        <v>#N/A</v>
      </c>
      <c r="J533" s="822" t="e">
        <f>VLOOKUP($L$9,小荷物専用昇降機,24,0)</f>
        <v>#N/A</v>
      </c>
      <c r="K533" s="815" t="e">
        <f>VLOOKUP($L$9,小荷物専用昇降機,26,0)</f>
        <v>#N/A</v>
      </c>
      <c r="L533" s="221"/>
      <c r="M533" s="221"/>
      <c r="N533" s="3463"/>
      <c r="O533" s="3452"/>
      <c r="P533" s="3457"/>
      <c r="Q533" s="3460"/>
      <c r="R533" s="3248"/>
      <c r="S533" s="3249"/>
      <c r="T533" s="25" t="b">
        <f>T525</f>
        <v>0</v>
      </c>
    </row>
    <row r="534" spans="2:21" ht="13.5" customHeight="1">
      <c r="B534" s="3590"/>
      <c r="C534" s="2276"/>
      <c r="D534" s="2276"/>
      <c r="E534" s="3497" t="s">
        <v>149</v>
      </c>
      <c r="F534" s="3498"/>
      <c r="G534" s="34" t="s">
        <v>150</v>
      </c>
      <c r="H534" s="32"/>
      <c r="I534" s="32"/>
      <c r="J534" s="32"/>
      <c r="K534" s="32"/>
      <c r="L534" s="32"/>
      <c r="M534" s="33"/>
      <c r="N534" s="536" t="s">
        <v>524</v>
      </c>
      <c r="O534" s="536" t="s">
        <v>151</v>
      </c>
      <c r="P534" s="844" t="s">
        <v>152</v>
      </c>
      <c r="Q534" s="845" t="s">
        <v>177</v>
      </c>
      <c r="R534" s="3313" t="s">
        <v>791</v>
      </c>
      <c r="S534" s="3313"/>
      <c r="T534" s="25" t="b">
        <f>COUNTA(H535,H537,P535)&lt;&gt;0</f>
        <v>0</v>
      </c>
      <c r="U534" s="2358" t="s">
        <v>1446</v>
      </c>
    </row>
    <row r="535" spans="2:21" ht="13.5" customHeight="1">
      <c r="B535" s="3590"/>
      <c r="C535" s="2625" t="s">
        <v>282</v>
      </c>
      <c r="D535" s="3221" t="s">
        <v>1384</v>
      </c>
      <c r="E535" s="3250" t="e">
        <f>VLOOKUP($L$9,Ｓ６００型,2,0)</f>
        <v>#N/A</v>
      </c>
      <c r="F535" s="3252"/>
      <c r="G535" s="3494" t="s">
        <v>283</v>
      </c>
      <c r="H535" s="818"/>
      <c r="I535" s="819" t="e">
        <f>VLOOKUP($L$9,Ｓ６００型,3,0)</f>
        <v>#N/A</v>
      </c>
      <c r="J535" s="820" t="e">
        <f>VLOOKUP($L$9,Ｓ６００型,5,0)</f>
        <v>#N/A</v>
      </c>
      <c r="K535" s="821" t="e">
        <f>VLOOKUP($L$9,Ｓ６００型,7,0)</f>
        <v>#N/A</v>
      </c>
      <c r="L535" s="505"/>
      <c r="M535" s="505"/>
      <c r="N535" s="3503" t="e">
        <f>ROUNDDOWN(H536*H538*IF(ISBLANK(H540),1,H540),2)</f>
        <v>#N/A</v>
      </c>
      <c r="O535" s="3450" t="e">
        <f>INT(E535*N535)</f>
        <v>#N/A</v>
      </c>
      <c r="P535" s="3455"/>
      <c r="Q535" s="3506" t="s">
        <v>178</v>
      </c>
      <c r="R535" s="3250">
        <f>IF(ISERROR(INT(O535*P535)),0,INT(O535*P535))</f>
        <v>0</v>
      </c>
      <c r="S535" s="3252"/>
      <c r="T535" s="25" t="b">
        <f>$T$534</f>
        <v>0</v>
      </c>
    </row>
    <row r="536" spans="2:21" ht="13.5" customHeight="1">
      <c r="B536" s="3590"/>
      <c r="C536" s="2625"/>
      <c r="D536" s="3221"/>
      <c r="E536" s="3245"/>
      <c r="F536" s="3488"/>
      <c r="G536" s="3494"/>
      <c r="H536" s="813" t="e">
        <f>HLOOKUP(H535,I535:M536,2,0)</f>
        <v>#N/A</v>
      </c>
      <c r="I536" s="814" t="e">
        <f>VLOOKUP($L$9,Ｓ６００型,4,0)</f>
        <v>#N/A</v>
      </c>
      <c r="J536" s="822" t="e">
        <f>VLOOKUP($L$9,Ｓ６００型,6,0)</f>
        <v>#N/A</v>
      </c>
      <c r="K536" s="831" t="e">
        <f>VLOOKUP($L$9,Ｓ６００型,8,0)</f>
        <v>#N/A</v>
      </c>
      <c r="L536" s="1583"/>
      <c r="M536" s="531"/>
      <c r="N536" s="3504"/>
      <c r="O536" s="3451"/>
      <c r="P536" s="3456"/>
      <c r="Q536" s="3507"/>
      <c r="R536" s="3245"/>
      <c r="S536" s="3488"/>
      <c r="T536" s="25" t="b">
        <f t="shared" ref="T536:T538" si="46">$T$534</f>
        <v>0</v>
      </c>
    </row>
    <row r="537" spans="2:21" ht="13.5" customHeight="1">
      <c r="B537" s="3590"/>
      <c r="C537" s="2625"/>
      <c r="D537" s="3221"/>
      <c r="E537" s="3245"/>
      <c r="F537" s="3488"/>
      <c r="G537" s="3494" t="s">
        <v>284</v>
      </c>
      <c r="H537" s="1593"/>
      <c r="I537" s="942" t="e">
        <f>VLOOKUP($L$9,Ｓ６００型,9,0)</f>
        <v>#N/A</v>
      </c>
      <c r="J537" s="943" t="e">
        <f>VLOOKUP($L$9,Ｓ６００型,11,0)</f>
        <v>#N/A</v>
      </c>
      <c r="K537" s="1533" t="e">
        <f>VLOOKUP($L$9,Ｓ６００型,13,0)</f>
        <v>#N/A</v>
      </c>
      <c r="L537" s="1534"/>
      <c r="M537" s="510"/>
      <c r="N537" s="3504"/>
      <c r="O537" s="3451"/>
      <c r="P537" s="3456"/>
      <c r="Q537" s="3507"/>
      <c r="R537" s="3245"/>
      <c r="S537" s="3488"/>
      <c r="T537" s="25" t="b">
        <f t="shared" si="46"/>
        <v>0</v>
      </c>
    </row>
    <row r="538" spans="2:21" ht="13.5" customHeight="1">
      <c r="B538" s="3590"/>
      <c r="C538" s="2625"/>
      <c r="D538" s="3221"/>
      <c r="E538" s="3245"/>
      <c r="F538" s="3488"/>
      <c r="G538" s="3494"/>
      <c r="H538" s="815" t="e">
        <f>IF(ISBLANK(H537),NA(),ROUNDDOWN($J538+($H537-$J537)*IF($H537&gt;$J537,($I538-$J538)/($I537-$J537),($K538-$J538)/($K537-$J537)),2))</f>
        <v>#N/A</v>
      </c>
      <c r="I538" s="814" t="e">
        <f>VLOOKUP($L$9,Ｓ６００型,10,0)</f>
        <v>#N/A</v>
      </c>
      <c r="J538" s="822" t="e">
        <f>VLOOKUP($L$9,Ｓ６００型,12,0)</f>
        <v>#N/A</v>
      </c>
      <c r="K538" s="831" t="e">
        <f>VLOOKUP($L$9,Ｓ６００型,14,0)</f>
        <v>#N/A</v>
      </c>
      <c r="L538" s="1612"/>
      <c r="M538" s="510"/>
      <c r="N538" s="3504"/>
      <c r="O538" s="3451"/>
      <c r="P538" s="3456"/>
      <c r="Q538" s="3507"/>
      <c r="R538" s="3245"/>
      <c r="S538" s="3488"/>
      <c r="T538" s="25" t="b">
        <f t="shared" si="46"/>
        <v>0</v>
      </c>
    </row>
    <row r="539" spans="2:21" ht="13.5" customHeight="1">
      <c r="B539" s="3590"/>
      <c r="C539" s="2625"/>
      <c r="D539" s="3221"/>
      <c r="E539" s="3245"/>
      <c r="F539" s="3488"/>
      <c r="G539" s="3530" t="s">
        <v>794</v>
      </c>
      <c r="H539" s="1706"/>
      <c r="I539" s="1705"/>
      <c r="J539" s="1705"/>
      <c r="K539" s="1705"/>
      <c r="L539" s="1603"/>
      <c r="M539" s="1697"/>
      <c r="N539" s="3504"/>
      <c r="O539" s="3451"/>
      <c r="P539" s="3456"/>
      <c r="Q539" s="3507"/>
      <c r="R539" s="3245"/>
      <c r="S539" s="3488"/>
      <c r="T539" s="25" t="b">
        <f>AND($T$534,ISNUMBER(H540))</f>
        <v>0</v>
      </c>
      <c r="U539" s="3499" t="s">
        <v>1631</v>
      </c>
    </row>
    <row r="540" spans="2:21" ht="13.5" customHeight="1">
      <c r="B540" s="3590"/>
      <c r="C540" s="2625"/>
      <c r="D540" s="3222"/>
      <c r="E540" s="3248"/>
      <c r="F540" s="3249"/>
      <c r="G540" s="3531"/>
      <c r="H540" s="1707"/>
      <c r="I540" s="1698"/>
      <c r="J540" s="1698"/>
      <c r="K540" s="1698"/>
      <c r="L540" s="1466"/>
      <c r="M540" s="1697"/>
      <c r="N540" s="3505"/>
      <c r="O540" s="3452"/>
      <c r="P540" s="3457"/>
      <c r="Q540" s="3508"/>
      <c r="R540" s="3248"/>
      <c r="S540" s="3249"/>
      <c r="T540" s="25" t="b">
        <f>+T539</f>
        <v>0</v>
      </c>
      <c r="U540" s="3499"/>
    </row>
    <row r="541" spans="2:21" ht="13.5" customHeight="1">
      <c r="B541" s="3590"/>
      <c r="C541" s="2625"/>
      <c r="D541" s="2276"/>
      <c r="E541" s="3497" t="s">
        <v>149</v>
      </c>
      <c r="F541" s="3498"/>
      <c r="G541" s="34" t="s">
        <v>150</v>
      </c>
      <c r="H541" s="32"/>
      <c r="I541" s="32"/>
      <c r="J541" s="32"/>
      <c r="K541" s="32"/>
      <c r="L541" s="32"/>
      <c r="M541" s="33"/>
      <c r="N541" s="536" t="s">
        <v>524</v>
      </c>
      <c r="O541" s="536" t="s">
        <v>151</v>
      </c>
      <c r="P541" s="844" t="s">
        <v>152</v>
      </c>
      <c r="Q541" s="845" t="s">
        <v>177</v>
      </c>
      <c r="R541" s="3313" t="s">
        <v>791</v>
      </c>
      <c r="S541" s="3313"/>
      <c r="T541" s="25" t="b">
        <f>COUNTA(H542,H544,P542)&lt;&gt;0</f>
        <v>0</v>
      </c>
      <c r="U541" s="2358" t="s">
        <v>1447</v>
      </c>
    </row>
    <row r="542" spans="2:21" ht="13.5" customHeight="1">
      <c r="B542" s="3590"/>
      <c r="C542" s="2625"/>
      <c r="D542" s="3221" t="s">
        <v>1385</v>
      </c>
      <c r="E542" s="3250" t="e">
        <f>VLOOKUP($L$9,Ｓ１０００型,2,0)</f>
        <v>#N/A</v>
      </c>
      <c r="F542" s="3252"/>
      <c r="G542" s="3494" t="s">
        <v>283</v>
      </c>
      <c r="H542" s="818"/>
      <c r="I542" s="819" t="e">
        <f>VLOOKUP($L$9,Ｓ１０００型,3,0)</f>
        <v>#N/A</v>
      </c>
      <c r="J542" s="820" t="e">
        <f>VLOOKUP($L$9,Ｓ１０００型,5,0)</f>
        <v>#N/A</v>
      </c>
      <c r="K542" s="821" t="e">
        <f>VLOOKUP($L$9,Ｓ１０００型,7,0)</f>
        <v>#N/A</v>
      </c>
      <c r="L542" s="505"/>
      <c r="M542" s="505"/>
      <c r="N542" s="3461" t="e">
        <f>ROUNDDOWN(H543*H545,2)</f>
        <v>#N/A</v>
      </c>
      <c r="O542" s="3450" t="e">
        <f>INT(E542*N542)</f>
        <v>#N/A</v>
      </c>
      <c r="P542" s="3455"/>
      <c r="Q542" s="3506" t="s">
        <v>178</v>
      </c>
      <c r="R542" s="3250">
        <f>IF(ISERROR(INT(O542*P542)),0,INT(O542*P542))</f>
        <v>0</v>
      </c>
      <c r="S542" s="3252"/>
      <c r="T542" s="25" t="b">
        <f>T541</f>
        <v>0</v>
      </c>
    </row>
    <row r="543" spans="2:21" ht="13.5" customHeight="1">
      <c r="B543" s="3590"/>
      <c r="C543" s="2625"/>
      <c r="D543" s="3221"/>
      <c r="E543" s="3245"/>
      <c r="F543" s="3247"/>
      <c r="G543" s="3494"/>
      <c r="H543" s="813" t="e">
        <f>HLOOKUP(H542,I542:M543,2,0)</f>
        <v>#N/A</v>
      </c>
      <c r="I543" s="814" t="e">
        <f>VLOOKUP($L$9,Ｓ１０００型,4,0)</f>
        <v>#N/A</v>
      </c>
      <c r="J543" s="822" t="e">
        <f>VLOOKUP($L$9,Ｓ１０００型,6,0)</f>
        <v>#N/A</v>
      </c>
      <c r="K543" s="831" t="e">
        <f>VLOOKUP($L$9,Ｓ１０００型,8,0)</f>
        <v>#N/A</v>
      </c>
      <c r="L543" s="1583"/>
      <c r="M543" s="1529"/>
      <c r="N543" s="3459"/>
      <c r="O543" s="3451"/>
      <c r="P543" s="3456"/>
      <c r="Q543" s="3459"/>
      <c r="R543" s="3245"/>
      <c r="S543" s="3247"/>
      <c r="T543" s="25" t="b">
        <f>T541</f>
        <v>0</v>
      </c>
    </row>
    <row r="544" spans="2:21" ht="13.5" customHeight="1">
      <c r="B544" s="3590"/>
      <c r="C544" s="2625"/>
      <c r="D544" s="3221"/>
      <c r="E544" s="3245"/>
      <c r="F544" s="3247"/>
      <c r="G544" s="3494" t="s">
        <v>284</v>
      </c>
      <c r="H544" s="1593"/>
      <c r="I544" s="942" t="e">
        <f>VLOOKUP($L$9,Ｓ１０００型,9,0)</f>
        <v>#N/A</v>
      </c>
      <c r="J544" s="943" t="e">
        <f>VLOOKUP($L$9,Ｓ１０００型,11,0)</f>
        <v>#N/A</v>
      </c>
      <c r="K544" s="1533" t="e">
        <f>VLOOKUP($L$9,Ｓ１０００型,13,0)</f>
        <v>#N/A</v>
      </c>
      <c r="L544" s="1534"/>
      <c r="M544" s="1529"/>
      <c r="N544" s="3459"/>
      <c r="O544" s="3451"/>
      <c r="P544" s="3456"/>
      <c r="Q544" s="3459"/>
      <c r="R544" s="3245"/>
      <c r="S544" s="3247"/>
      <c r="T544" s="25" t="b">
        <f>T541</f>
        <v>0</v>
      </c>
    </row>
    <row r="545" spans="2:20" ht="13.5" customHeight="1">
      <c r="B545" s="3590"/>
      <c r="C545" s="2625"/>
      <c r="D545" s="3221"/>
      <c r="E545" s="3245"/>
      <c r="F545" s="3247"/>
      <c r="G545" s="3494"/>
      <c r="H545" s="815" t="e">
        <f>IF(ISBLANK(H544),NA(),ROUNDDOWN($J545+($H544-$J544)*IF($H544&gt;$J544,($I545-$J545)/($I544-$J544),($K545-$J545)/($K544-$J544)),2))</f>
        <v>#N/A</v>
      </c>
      <c r="I545" s="814" t="e">
        <f>VLOOKUP($L$9,Ｓ１０００型,10,0)</f>
        <v>#N/A</v>
      </c>
      <c r="J545" s="822" t="e">
        <f>VLOOKUP($L$9,Ｓ１０００型,12,0)</f>
        <v>#N/A</v>
      </c>
      <c r="K545" s="831" t="e">
        <f>VLOOKUP($L$9,Ｓ１０００型,14,0)</f>
        <v>#N/A</v>
      </c>
      <c r="L545" s="1526"/>
      <c r="M545" s="503"/>
      <c r="N545" s="3459"/>
      <c r="O545" s="3451"/>
      <c r="P545" s="3456"/>
      <c r="Q545" s="3459"/>
      <c r="R545" s="3245"/>
      <c r="S545" s="3247"/>
      <c r="T545" s="25" t="b">
        <f>T541</f>
        <v>0</v>
      </c>
    </row>
    <row r="546" spans="2:20" ht="13.5" customHeight="1">
      <c r="B546" s="804"/>
      <c r="C546" s="879"/>
      <c r="D546" s="139"/>
      <c r="E546" s="3645" t="s">
        <v>149</v>
      </c>
      <c r="F546" s="3646"/>
      <c r="G546" s="103" t="s">
        <v>150</v>
      </c>
      <c r="H546" s="101"/>
      <c r="I546" s="101"/>
      <c r="J546" s="101"/>
      <c r="K546" s="101"/>
      <c r="L546" s="101"/>
      <c r="M546" s="102"/>
      <c r="N546" s="542" t="s">
        <v>524</v>
      </c>
      <c r="O546" s="542" t="s">
        <v>151</v>
      </c>
      <c r="P546" s="844" t="s">
        <v>152</v>
      </c>
      <c r="Q546" s="845" t="s">
        <v>177</v>
      </c>
      <c r="R546" s="3308" t="s">
        <v>791</v>
      </c>
      <c r="S546" s="3308"/>
      <c r="T546" s="25" t="b">
        <f>COUNTA(H547,H549,H551,H553,P547)&lt;&gt;0</f>
        <v>0</v>
      </c>
    </row>
    <row r="547" spans="2:20" ht="13.5" customHeight="1">
      <c r="B547" s="2625" t="s">
        <v>285</v>
      </c>
      <c r="C547" s="2681" t="s">
        <v>286</v>
      </c>
      <c r="D547" s="2682"/>
      <c r="E547" s="3250" t="e">
        <f>VLOOKUP($L$9,ゴンドラ,2,0)</f>
        <v>#N/A</v>
      </c>
      <c r="F547" s="3252"/>
      <c r="G547" s="3494" t="s">
        <v>287</v>
      </c>
      <c r="H547" s="944"/>
      <c r="I547" s="942" t="e">
        <f>VLOOKUP($L$9,ゴンドラ,3,0)</f>
        <v>#N/A</v>
      </c>
      <c r="J547" s="943" t="e">
        <f>VLOOKUP($L$9,ゴンドラ,5,0)</f>
        <v>#N/A</v>
      </c>
      <c r="K547" s="1533" t="e">
        <f>VLOOKUP($L$9,ゴンドラ,7,0)</f>
        <v>#N/A</v>
      </c>
      <c r="L547" s="125"/>
      <c r="M547" s="505"/>
      <c r="N547" s="3461" t="e">
        <f>ROUNDDOWN(H548*H550*H552*H554,2)</f>
        <v>#N/A</v>
      </c>
      <c r="O547" s="3450" t="e">
        <f>INT(E547*N547)</f>
        <v>#N/A</v>
      </c>
      <c r="P547" s="3455"/>
      <c r="Q547" s="3506" t="s">
        <v>178</v>
      </c>
      <c r="R547" s="3250">
        <f>IF(ISERROR(INT(O547*P547)),0,INT(O547*P547))</f>
        <v>0</v>
      </c>
      <c r="S547" s="3252"/>
      <c r="T547" s="25" t="b">
        <f>T546</f>
        <v>0</v>
      </c>
    </row>
    <row r="548" spans="2:20" ht="13.5" customHeight="1">
      <c r="B548" s="2625"/>
      <c r="C548" s="2681"/>
      <c r="D548" s="2682"/>
      <c r="E548" s="3245"/>
      <c r="F548" s="3247"/>
      <c r="G548" s="3494"/>
      <c r="H548" s="815" t="e">
        <f>IF(ISBLANK(H547),NA(),ROUNDDOWN($J548+($H547-$J547)*IF($H547&gt;$J547,($I548-$J548)/($I547-$J547),($K548-$J548)/($K547-$J547)),2))</f>
        <v>#N/A</v>
      </c>
      <c r="I548" s="814" t="e">
        <f>VLOOKUP($L$9,ゴンドラ,4,0)</f>
        <v>#N/A</v>
      </c>
      <c r="J548" s="822" t="e">
        <f>VLOOKUP($L$9,ゴンドラ,6,0)</f>
        <v>#N/A</v>
      </c>
      <c r="K548" s="831" t="e">
        <f>VLOOKUP($L$9,ゴンドラ,8,0)</f>
        <v>#N/A</v>
      </c>
      <c r="L548" s="823"/>
      <c r="M548" s="510"/>
      <c r="N548" s="3462"/>
      <c r="O548" s="3451"/>
      <c r="P548" s="3456"/>
      <c r="Q548" s="3459"/>
      <c r="R548" s="3245"/>
      <c r="S548" s="3247"/>
      <c r="T548" s="25" t="b">
        <f>T546</f>
        <v>0</v>
      </c>
    </row>
    <row r="549" spans="2:20" ht="13.5" customHeight="1">
      <c r="B549" s="2625"/>
      <c r="C549" s="2681"/>
      <c r="D549" s="2682"/>
      <c r="E549" s="3245"/>
      <c r="F549" s="3247"/>
      <c r="G549" s="3494" t="s">
        <v>288</v>
      </c>
      <c r="H549" s="818"/>
      <c r="I549" s="819" t="e">
        <f>VLOOKUP($L$9,ゴンドラ,9,0)</f>
        <v>#N/A</v>
      </c>
      <c r="J549" s="820" t="e">
        <f>VLOOKUP($L$9,ゴンドラ,11,0)</f>
        <v>#N/A</v>
      </c>
      <c r="K549" s="821" t="e">
        <f>VLOOKUP($L$9,ゴンドラ,13,0)</f>
        <v>#N/A</v>
      </c>
      <c r="L549" s="510"/>
      <c r="M549" s="510"/>
      <c r="N549" s="3462"/>
      <c r="O549" s="3451"/>
      <c r="P549" s="3456"/>
      <c r="Q549" s="3459"/>
      <c r="R549" s="3245"/>
      <c r="S549" s="3247"/>
      <c r="T549" s="25" t="b">
        <f>T546</f>
        <v>0</v>
      </c>
    </row>
    <row r="550" spans="2:20" ht="13.5" customHeight="1">
      <c r="B550" s="2625"/>
      <c r="C550" s="2681"/>
      <c r="D550" s="2682"/>
      <c r="E550" s="3245"/>
      <c r="F550" s="3247"/>
      <c r="G550" s="3494"/>
      <c r="H550" s="813" t="e">
        <f>HLOOKUP(H549,I549:M550,2,0)</f>
        <v>#N/A</v>
      </c>
      <c r="I550" s="814" t="e">
        <f>VLOOKUP($L$9,ゴンドラ,10,0)</f>
        <v>#N/A</v>
      </c>
      <c r="J550" s="822" t="e">
        <f>VLOOKUP($L$9,ゴンドラ,12,0)</f>
        <v>#N/A</v>
      </c>
      <c r="K550" s="815" t="e">
        <f>VLOOKUP($L$9,ゴンドラ,14,0)</f>
        <v>#N/A</v>
      </c>
      <c r="L550" s="510"/>
      <c r="M550" s="510"/>
      <c r="N550" s="3462"/>
      <c r="O550" s="3451"/>
      <c r="P550" s="3456"/>
      <c r="Q550" s="3459"/>
      <c r="R550" s="3245"/>
      <c r="S550" s="3247"/>
      <c r="T550" s="25" t="b">
        <f>T546</f>
        <v>0</v>
      </c>
    </row>
    <row r="551" spans="2:20" ht="13.5" customHeight="1">
      <c r="B551" s="2625"/>
      <c r="C551" s="2681"/>
      <c r="D551" s="2682"/>
      <c r="E551" s="3245"/>
      <c r="F551" s="3247"/>
      <c r="G551" s="3537" t="s">
        <v>289</v>
      </c>
      <c r="H551" s="963"/>
      <c r="I551" s="897" t="e">
        <f>VLOOKUP($L$9,ゴンドラ,15,0)</f>
        <v>#N/A</v>
      </c>
      <c r="J551" s="1591" t="e">
        <f>VLOOKUP($L$9,ゴンドラ,17,0)</f>
        <v>#N/A</v>
      </c>
      <c r="K551" s="1592"/>
      <c r="L551" s="1582"/>
      <c r="M551" s="510"/>
      <c r="N551" s="3462"/>
      <c r="O551" s="3451"/>
      <c r="P551" s="3456"/>
      <c r="Q551" s="3459"/>
      <c r="R551" s="3245"/>
      <c r="S551" s="3247"/>
      <c r="T551" s="25" t="b">
        <f>T546</f>
        <v>0</v>
      </c>
    </row>
    <row r="552" spans="2:20" ht="13.5" customHeight="1">
      <c r="B552" s="2625"/>
      <c r="C552" s="2681"/>
      <c r="D552" s="2682"/>
      <c r="E552" s="3245"/>
      <c r="F552" s="3247"/>
      <c r="G552" s="3494"/>
      <c r="H552" s="813" t="e">
        <f>HLOOKUP(H551,I551:M552,2,0)</f>
        <v>#N/A</v>
      </c>
      <c r="I552" s="814" t="e">
        <f>VLOOKUP($L$9,ゴンドラ,16,0)</f>
        <v>#N/A</v>
      </c>
      <c r="J552" s="831" t="e">
        <f>VLOOKUP($L$9,ゴンドラ,18,0)</f>
        <v>#N/A</v>
      </c>
      <c r="K552" s="823"/>
      <c r="L552" s="1582"/>
      <c r="M552" s="510"/>
      <c r="N552" s="3462"/>
      <c r="O552" s="3451"/>
      <c r="P552" s="3456"/>
      <c r="Q552" s="3459"/>
      <c r="R552" s="3245"/>
      <c r="S552" s="3247"/>
      <c r="T552" s="25" t="b">
        <f>T546</f>
        <v>0</v>
      </c>
    </row>
    <row r="553" spans="2:20" ht="13.5" customHeight="1">
      <c r="B553" s="2625"/>
      <c r="C553" s="2681"/>
      <c r="D553" s="2682"/>
      <c r="E553" s="3245"/>
      <c r="F553" s="3247"/>
      <c r="G553" s="3494" t="s">
        <v>290</v>
      </c>
      <c r="H553" s="818"/>
      <c r="I553" s="819" t="e">
        <f>VLOOKUP($L$9,ゴンドラ,23,0)</f>
        <v>#N/A</v>
      </c>
      <c r="J553" s="821" t="e">
        <f>VLOOKUP($L$9,ゴンドラ,25,0)</f>
        <v>#N/A</v>
      </c>
      <c r="K553" s="510"/>
      <c r="L553" s="510"/>
      <c r="M553" s="510"/>
      <c r="N553" s="3462"/>
      <c r="O553" s="3451"/>
      <c r="P553" s="3456"/>
      <c r="Q553" s="3459"/>
      <c r="R553" s="3245"/>
      <c r="S553" s="3247"/>
      <c r="T553" s="25" t="b">
        <f>T546</f>
        <v>0</v>
      </c>
    </row>
    <row r="554" spans="2:20" ht="13.5" customHeight="1" thickBot="1">
      <c r="B554" s="2625"/>
      <c r="C554" s="2681"/>
      <c r="D554" s="2682"/>
      <c r="E554" s="3245"/>
      <c r="F554" s="3247"/>
      <c r="G554" s="3538"/>
      <c r="H554" s="889" t="e">
        <f>HLOOKUP(H553,I553:M554,2,0)</f>
        <v>#N/A</v>
      </c>
      <c r="I554" s="890" t="e">
        <f>VLOOKUP($L$9,ゴンドラ,24,0)</f>
        <v>#N/A</v>
      </c>
      <c r="J554" s="892" t="e">
        <f>VLOOKUP($L$9,ゴンドラ,26,0)</f>
        <v>#N/A</v>
      </c>
      <c r="K554" s="510"/>
      <c r="L554" s="510"/>
      <c r="M554" s="510"/>
      <c r="N554" s="3462"/>
      <c r="O554" s="3451"/>
      <c r="P554" s="3456"/>
      <c r="Q554" s="3459"/>
      <c r="R554" s="3245"/>
      <c r="S554" s="3247"/>
      <c r="T554" s="25" t="b">
        <f>T546</f>
        <v>0</v>
      </c>
    </row>
    <row r="555" spans="2:20" ht="13.5" customHeight="1" thickTop="1">
      <c r="B555" s="964"/>
      <c r="C555" s="965"/>
      <c r="D555" s="965"/>
      <c r="E555" s="966"/>
      <c r="F555" s="966"/>
      <c r="G555" s="966"/>
      <c r="H555" s="966"/>
      <c r="I555" s="966"/>
      <c r="J555" s="966"/>
      <c r="K555" s="966"/>
      <c r="L555" s="966"/>
      <c r="M555" s="966"/>
      <c r="N555" s="967" t="s">
        <v>782</v>
      </c>
      <c r="O555" s="968"/>
      <c r="P555" s="969"/>
      <c r="Q555" s="3535">
        <f>SUM(R12,R26,R36:S554)</f>
        <v>0</v>
      </c>
      <c r="R555" s="3535"/>
      <c r="S555" s="3536"/>
      <c r="T555" s="25" t="b">
        <v>1</v>
      </c>
    </row>
  </sheetData>
  <autoFilter ref="T1:T555"/>
  <mergeCells count="977">
    <mergeCell ref="P190:P191"/>
    <mergeCell ref="Q190:Q191"/>
    <mergeCell ref="R189:S189"/>
    <mergeCell ref="O158:O161"/>
    <mergeCell ref="O180:O184"/>
    <mergeCell ref="R230:S230"/>
    <mergeCell ref="R167:S167"/>
    <mergeCell ref="Q168:Q174"/>
    <mergeCell ref="R179:S179"/>
    <mergeCell ref="P163:P166"/>
    <mergeCell ref="Q163:Q166"/>
    <mergeCell ref="O163:O166"/>
    <mergeCell ref="Q180:Q184"/>
    <mergeCell ref="O203:O207"/>
    <mergeCell ref="P203:P207"/>
    <mergeCell ref="Q203:Q207"/>
    <mergeCell ref="R203:S207"/>
    <mergeCell ref="P213:P218"/>
    <mergeCell ref="R212:S212"/>
    <mergeCell ref="R225:S225"/>
    <mergeCell ref="O226:O229"/>
    <mergeCell ref="P226:P229"/>
    <mergeCell ref="Q226:Q229"/>
    <mergeCell ref="O213:O218"/>
    <mergeCell ref="U300:U301"/>
    <mergeCell ref="G303:G305"/>
    <mergeCell ref="H303:H304"/>
    <mergeCell ref="I303:I304"/>
    <mergeCell ref="G253:G254"/>
    <mergeCell ref="G257:G258"/>
    <mergeCell ref="G255:G256"/>
    <mergeCell ref="Q158:Q161"/>
    <mergeCell ref="R158:S161"/>
    <mergeCell ref="P271:P286"/>
    <mergeCell ref="P234:P237"/>
    <mergeCell ref="Q234:Q237"/>
    <mergeCell ref="R234:S237"/>
    <mergeCell ref="P180:P184"/>
    <mergeCell ref="R213:S218"/>
    <mergeCell ref="R192:S192"/>
    <mergeCell ref="R193:S197"/>
    <mergeCell ref="Q193:Q197"/>
    <mergeCell ref="G298:G299"/>
    <mergeCell ref="G300:G301"/>
    <mergeCell ref="N158:N161"/>
    <mergeCell ref="G160:G161"/>
    <mergeCell ref="P193:P197"/>
    <mergeCell ref="G215:G216"/>
    <mergeCell ref="U313:U314"/>
    <mergeCell ref="U281:U282"/>
    <mergeCell ref="U330:U331"/>
    <mergeCell ref="U351:U352"/>
    <mergeCell ref="Q231:Q232"/>
    <mergeCell ref="R231:S232"/>
    <mergeCell ref="G231:G232"/>
    <mergeCell ref="R342:S342"/>
    <mergeCell ref="O321:O334"/>
    <mergeCell ref="P321:P334"/>
    <mergeCell ref="Q321:Q334"/>
    <mergeCell ref="R321:S334"/>
    <mergeCell ref="G323:G325"/>
    <mergeCell ref="N321:N334"/>
    <mergeCell ref="Q308:Q314"/>
    <mergeCell ref="R308:S314"/>
    <mergeCell ref="G316:G318"/>
    <mergeCell ref="R320:S320"/>
    <mergeCell ref="N231:N232"/>
    <mergeCell ref="G336:G338"/>
    <mergeCell ref="G249:G250"/>
    <mergeCell ref="N249:N258"/>
    <mergeCell ref="O249:O258"/>
    <mergeCell ref="G251:G252"/>
    <mergeCell ref="O409:O412"/>
    <mergeCell ref="N409:N412"/>
    <mergeCell ref="P409:P412"/>
    <mergeCell ref="P392:P393"/>
    <mergeCell ref="O392:O393"/>
    <mergeCell ref="R361:S361"/>
    <mergeCell ref="R343:S346"/>
    <mergeCell ref="R347:S347"/>
    <mergeCell ref="P343:P346"/>
    <mergeCell ref="R386:S387"/>
    <mergeCell ref="O389:O390"/>
    <mergeCell ref="R369:S372"/>
    <mergeCell ref="R348:S354"/>
    <mergeCell ref="R359:S360"/>
    <mergeCell ref="R358:S358"/>
    <mergeCell ref="R373:S373"/>
    <mergeCell ref="Q343:Q346"/>
    <mergeCell ref="P374:P377"/>
    <mergeCell ref="Q374:Q377"/>
    <mergeCell ref="R374:S377"/>
    <mergeCell ref="P389:P390"/>
    <mergeCell ref="R381:S382"/>
    <mergeCell ref="R388:S388"/>
    <mergeCell ref="R385:S385"/>
    <mergeCell ref="R413:S413"/>
    <mergeCell ref="R409:S412"/>
    <mergeCell ref="Q409:Q412"/>
    <mergeCell ref="R399:S399"/>
    <mergeCell ref="Q389:Q390"/>
    <mergeCell ref="R395:S398"/>
    <mergeCell ref="R391:S391"/>
    <mergeCell ref="R394:S394"/>
    <mergeCell ref="Q395:Q398"/>
    <mergeCell ref="R408:S408"/>
    <mergeCell ref="R400:S407"/>
    <mergeCell ref="Q400:Q407"/>
    <mergeCell ref="N386:N387"/>
    <mergeCell ref="R389:S390"/>
    <mergeCell ref="Q392:Q393"/>
    <mergeCell ref="Q386:Q387"/>
    <mergeCell ref="P386:P387"/>
    <mergeCell ref="P395:P398"/>
    <mergeCell ref="O400:O407"/>
    <mergeCell ref="P400:P407"/>
    <mergeCell ref="R392:S393"/>
    <mergeCell ref="O386:O387"/>
    <mergeCell ref="O395:O398"/>
    <mergeCell ref="N400:N407"/>
    <mergeCell ref="N389:N390"/>
    <mergeCell ref="E546:F546"/>
    <mergeCell ref="G379:G380"/>
    <mergeCell ref="N526:N533"/>
    <mergeCell ref="G532:G533"/>
    <mergeCell ref="E541:F541"/>
    <mergeCell ref="N481:N490"/>
    <mergeCell ref="G483:G484"/>
    <mergeCell ref="G485:G486"/>
    <mergeCell ref="G487:G488"/>
    <mergeCell ref="G489:G490"/>
    <mergeCell ref="E481:F490"/>
    <mergeCell ref="G409:G410"/>
    <mergeCell ref="E409:F412"/>
    <mergeCell ref="E385:F385"/>
    <mergeCell ref="N379:N380"/>
    <mergeCell ref="N392:N393"/>
    <mergeCell ref="E414:F415"/>
    <mergeCell ref="E408:F408"/>
    <mergeCell ref="E386:F387"/>
    <mergeCell ref="G386:G387"/>
    <mergeCell ref="G381:G382"/>
    <mergeCell ref="E379:F384"/>
    <mergeCell ref="E400:F407"/>
    <mergeCell ref="N417:N418"/>
    <mergeCell ref="R424:S424"/>
    <mergeCell ref="G501:G502"/>
    <mergeCell ref="E479:F479"/>
    <mergeCell ref="P481:P490"/>
    <mergeCell ref="Q481:Q490"/>
    <mergeCell ref="R479:S479"/>
    <mergeCell ref="R480:S480"/>
    <mergeCell ref="O481:O490"/>
    <mergeCell ref="R481:S490"/>
    <mergeCell ref="E480:F480"/>
    <mergeCell ref="E430:F430"/>
    <mergeCell ref="E436:F436"/>
    <mergeCell ref="E428:F429"/>
    <mergeCell ref="G441:G442"/>
    <mergeCell ref="G443:G444"/>
    <mergeCell ref="R445:S445"/>
    <mergeCell ref="O434:O435"/>
    <mergeCell ref="P434:P435"/>
    <mergeCell ref="Q434:Q435"/>
    <mergeCell ref="R434:S435"/>
    <mergeCell ref="R428:S429"/>
    <mergeCell ref="R430:S430"/>
    <mergeCell ref="O425:O426"/>
    <mergeCell ref="P425:P426"/>
    <mergeCell ref="N381:N382"/>
    <mergeCell ref="N383:N384"/>
    <mergeCell ref="O374:O377"/>
    <mergeCell ref="R368:S368"/>
    <mergeCell ref="O362:O367"/>
    <mergeCell ref="P362:P367"/>
    <mergeCell ref="Q362:Q367"/>
    <mergeCell ref="R362:S367"/>
    <mergeCell ref="Q369:Q372"/>
    <mergeCell ref="P381:P382"/>
    <mergeCell ref="Q381:Q382"/>
    <mergeCell ref="Q383:Q384"/>
    <mergeCell ref="R383:S384"/>
    <mergeCell ref="Q379:Q380"/>
    <mergeCell ref="O379:O380"/>
    <mergeCell ref="O381:O382"/>
    <mergeCell ref="O383:O384"/>
    <mergeCell ref="R378:S378"/>
    <mergeCell ref="R379:S380"/>
    <mergeCell ref="P379:P380"/>
    <mergeCell ref="P383:P384"/>
    <mergeCell ref="N369:N372"/>
    <mergeCell ref="O369:O372"/>
    <mergeCell ref="P369:P372"/>
    <mergeCell ref="Q359:Q360"/>
    <mergeCell ref="N359:N360"/>
    <mergeCell ref="O359:O360"/>
    <mergeCell ref="G345:G346"/>
    <mergeCell ref="N348:N354"/>
    <mergeCell ref="O348:O354"/>
    <mergeCell ref="P348:P354"/>
    <mergeCell ref="Q348:Q354"/>
    <mergeCell ref="G348:G350"/>
    <mergeCell ref="P359:P360"/>
    <mergeCell ref="O343:O346"/>
    <mergeCell ref="N362:N367"/>
    <mergeCell ref="G371:G372"/>
    <mergeCell ref="G369:G370"/>
    <mergeCell ref="H316:H317"/>
    <mergeCell ref="G170:G172"/>
    <mergeCell ref="N168:N174"/>
    <mergeCell ref="N180:N184"/>
    <mergeCell ref="G173:G174"/>
    <mergeCell ref="G176:G177"/>
    <mergeCell ref="G228:G229"/>
    <mergeCell ref="G226:G227"/>
    <mergeCell ref="N226:N229"/>
    <mergeCell ref="N234:N237"/>
    <mergeCell ref="G180:G182"/>
    <mergeCell ref="N343:N346"/>
    <mergeCell ref="N308:N314"/>
    <mergeCell ref="I316:I317"/>
    <mergeCell ref="G276:G278"/>
    <mergeCell ref="N213:N218"/>
    <mergeCell ref="G234:G235"/>
    <mergeCell ref="G236:G237"/>
    <mergeCell ref="I288:I289"/>
    <mergeCell ref="G333:G334"/>
    <mergeCell ref="N203:N207"/>
    <mergeCell ref="O295:O301"/>
    <mergeCell ref="P295:P301"/>
    <mergeCell ref="Q295:Q301"/>
    <mergeCell ref="R295:S301"/>
    <mergeCell ref="R239:S242"/>
    <mergeCell ref="R270:S270"/>
    <mergeCell ref="Q260:Q269"/>
    <mergeCell ref="R260:S269"/>
    <mergeCell ref="R238:S238"/>
    <mergeCell ref="Q249:Q258"/>
    <mergeCell ref="R249:S258"/>
    <mergeCell ref="Q271:Q286"/>
    <mergeCell ref="R271:S286"/>
    <mergeCell ref="Q213:Q218"/>
    <mergeCell ref="N91:N95"/>
    <mergeCell ref="N76:N77"/>
    <mergeCell ref="O76:O77"/>
    <mergeCell ref="N66:N70"/>
    <mergeCell ref="P91:P95"/>
    <mergeCell ref="O66:O70"/>
    <mergeCell ref="P66:P70"/>
    <mergeCell ref="R65:S65"/>
    <mergeCell ref="Q66:Q70"/>
    <mergeCell ref="R66:S70"/>
    <mergeCell ref="O91:O95"/>
    <mergeCell ref="R78:S78"/>
    <mergeCell ref="R79:S85"/>
    <mergeCell ref="O79:O85"/>
    <mergeCell ref="R90:S90"/>
    <mergeCell ref="Q91:Q95"/>
    <mergeCell ref="R75:S75"/>
    <mergeCell ref="R91:S95"/>
    <mergeCell ref="N79:N85"/>
    <mergeCell ref="Q76:Q77"/>
    <mergeCell ref="R76:S77"/>
    <mergeCell ref="Q79:Q85"/>
    <mergeCell ref="R138:S138"/>
    <mergeCell ref="R49:S49"/>
    <mergeCell ref="Q53:Q56"/>
    <mergeCell ref="P36:P37"/>
    <mergeCell ref="R53:S56"/>
    <mergeCell ref="R52:S52"/>
    <mergeCell ref="Q36:Q37"/>
    <mergeCell ref="O36:O37"/>
    <mergeCell ref="R36:S37"/>
    <mergeCell ref="O53:O56"/>
    <mergeCell ref="Q42:Q44"/>
    <mergeCell ref="P42:P44"/>
    <mergeCell ref="R9:S10"/>
    <mergeCell ref="P76:P77"/>
    <mergeCell ref="N58:N61"/>
    <mergeCell ref="O58:O61"/>
    <mergeCell ref="P58:P61"/>
    <mergeCell ref="Q60:Q61"/>
    <mergeCell ref="R58:S61"/>
    <mergeCell ref="R62:S62"/>
    <mergeCell ref="R63:S64"/>
    <mergeCell ref="R11:S11"/>
    <mergeCell ref="R39:S40"/>
    <mergeCell ref="R57:S57"/>
    <mergeCell ref="O42:O44"/>
    <mergeCell ref="N36:N37"/>
    <mergeCell ref="N50:N51"/>
    <mergeCell ref="O50:O51"/>
    <mergeCell ref="P50:P51"/>
    <mergeCell ref="Q50:Q51"/>
    <mergeCell ref="R12:S20"/>
    <mergeCell ref="Q12:Q20"/>
    <mergeCell ref="N63:N64"/>
    <mergeCell ref="O63:O64"/>
    <mergeCell ref="P63:P64"/>
    <mergeCell ref="Q63:Q64"/>
    <mergeCell ref="G60:G61"/>
    <mergeCell ref="G69:G70"/>
    <mergeCell ref="N53:N56"/>
    <mergeCell ref="Q26:Q30"/>
    <mergeCell ref="R26:S30"/>
    <mergeCell ref="R25:S25"/>
    <mergeCell ref="R42:S44"/>
    <mergeCell ref="N26:N30"/>
    <mergeCell ref="O26:O30"/>
    <mergeCell ref="G32:G33"/>
    <mergeCell ref="P53:P56"/>
    <mergeCell ref="P26:P30"/>
    <mergeCell ref="G29:G30"/>
    <mergeCell ref="R38:S38"/>
    <mergeCell ref="P39:P40"/>
    <mergeCell ref="Q39:Q40"/>
    <mergeCell ref="R35:S35"/>
    <mergeCell ref="R41:S41"/>
    <mergeCell ref="G46:G47"/>
    <mergeCell ref="G63:G64"/>
    <mergeCell ref="R50:S51"/>
    <mergeCell ref="N42:N44"/>
    <mergeCell ref="N39:N40"/>
    <mergeCell ref="O39:O40"/>
    <mergeCell ref="B547:B554"/>
    <mergeCell ref="C547:D554"/>
    <mergeCell ref="C535:C545"/>
    <mergeCell ref="D542:D545"/>
    <mergeCell ref="B437:B545"/>
    <mergeCell ref="C501:D510"/>
    <mergeCell ref="C512:D517"/>
    <mergeCell ref="C437:D444"/>
    <mergeCell ref="C526:D533"/>
    <mergeCell ref="C492:D499"/>
    <mergeCell ref="C469:D479"/>
    <mergeCell ref="C446:D455"/>
    <mergeCell ref="C481:D490"/>
    <mergeCell ref="C457:D467"/>
    <mergeCell ref="C519:D524"/>
    <mergeCell ref="D535:D540"/>
    <mergeCell ref="C193:D201"/>
    <mergeCell ref="C190:D191"/>
    <mergeCell ref="D271:D293"/>
    <mergeCell ref="D308:D319"/>
    <mergeCell ref="C234:D237"/>
    <mergeCell ref="C180:D188"/>
    <mergeCell ref="C124:D131"/>
    <mergeCell ref="C231:D232"/>
    <mergeCell ref="C158:D161"/>
    <mergeCell ref="C244:D247"/>
    <mergeCell ref="C168:D178"/>
    <mergeCell ref="C163:D166"/>
    <mergeCell ref="C226:D229"/>
    <mergeCell ref="C213:D224"/>
    <mergeCell ref="C139:D140"/>
    <mergeCell ref="C136:D137"/>
    <mergeCell ref="C133:D134"/>
    <mergeCell ref="C145:D146"/>
    <mergeCell ref="E100:F100"/>
    <mergeCell ref="B271:B398"/>
    <mergeCell ref="C420:D423"/>
    <mergeCell ref="C359:D360"/>
    <mergeCell ref="C417:D418"/>
    <mergeCell ref="D388:D390"/>
    <mergeCell ref="C400:D407"/>
    <mergeCell ref="B400:B435"/>
    <mergeCell ref="C431:D432"/>
    <mergeCell ref="C434:D435"/>
    <mergeCell ref="C425:D426"/>
    <mergeCell ref="C428:D429"/>
    <mergeCell ref="D414:D415"/>
    <mergeCell ref="D409:D412"/>
    <mergeCell ref="C409:C415"/>
    <mergeCell ref="D395:D398"/>
    <mergeCell ref="D295:D306"/>
    <mergeCell ref="D379:D384"/>
    <mergeCell ref="C362:C398"/>
    <mergeCell ref="D362:D367"/>
    <mergeCell ref="D392:D393"/>
    <mergeCell ref="D386:D387"/>
    <mergeCell ref="C271:C319"/>
    <mergeCell ref="C321:D341"/>
    <mergeCell ref="E91:F95"/>
    <mergeCell ref="E50:F51"/>
    <mergeCell ref="C50:D51"/>
    <mergeCell ref="E39:F40"/>
    <mergeCell ref="E62:F62"/>
    <mergeCell ref="E36:F37"/>
    <mergeCell ref="C35:D37"/>
    <mergeCell ref="C76:D77"/>
    <mergeCell ref="E76:F77"/>
    <mergeCell ref="C66:D74"/>
    <mergeCell ref="D79:D89"/>
    <mergeCell ref="D91:D99"/>
    <mergeCell ref="E49:F49"/>
    <mergeCell ref="E79:F85"/>
    <mergeCell ref="E57:F57"/>
    <mergeCell ref="C42:D48"/>
    <mergeCell ref="C63:D64"/>
    <mergeCell ref="E63:F64"/>
    <mergeCell ref="G383:G384"/>
    <mergeCell ref="G411:G412"/>
    <mergeCell ref="G404:G405"/>
    <mergeCell ref="G392:G393"/>
    <mergeCell ref="G389:G390"/>
    <mergeCell ref="G400:G401"/>
    <mergeCell ref="G406:G407"/>
    <mergeCell ref="G402:G403"/>
    <mergeCell ref="E427:F427"/>
    <mergeCell ref="E425:F426"/>
    <mergeCell ref="G425:G426"/>
    <mergeCell ref="E424:F424"/>
    <mergeCell ref="E374:F377"/>
    <mergeCell ref="D373:D377"/>
    <mergeCell ref="G359:G360"/>
    <mergeCell ref="G362:G363"/>
    <mergeCell ref="G364:G365"/>
    <mergeCell ref="G366:G367"/>
    <mergeCell ref="G343:G344"/>
    <mergeCell ref="G376:G377"/>
    <mergeCell ref="G374:G375"/>
    <mergeCell ref="D368:D372"/>
    <mergeCell ref="E369:F372"/>
    <mergeCell ref="C343:D346"/>
    <mergeCell ref="C348:D357"/>
    <mergeCell ref="C118:D119"/>
    <mergeCell ref="E118:F119"/>
    <mergeCell ref="C121:D122"/>
    <mergeCell ref="E121:F122"/>
    <mergeCell ref="G36:G37"/>
    <mergeCell ref="G66:G68"/>
    <mergeCell ref="C110:D113"/>
    <mergeCell ref="E110:F113"/>
    <mergeCell ref="C104:D105"/>
    <mergeCell ref="G101:G102"/>
    <mergeCell ref="G112:G113"/>
    <mergeCell ref="C107:D108"/>
    <mergeCell ref="C115:D116"/>
    <mergeCell ref="E115:F116"/>
    <mergeCell ref="C101:D102"/>
    <mergeCell ref="G79:G81"/>
    <mergeCell ref="G82:G83"/>
    <mergeCell ref="G58:G59"/>
    <mergeCell ref="G42:G44"/>
    <mergeCell ref="G39:G40"/>
    <mergeCell ref="C53:D56"/>
    <mergeCell ref="E42:F44"/>
    <mergeCell ref="C79:C95"/>
    <mergeCell ref="E65:F65"/>
    <mergeCell ref="B9:D10"/>
    <mergeCell ref="C12:D24"/>
    <mergeCell ref="C26:D34"/>
    <mergeCell ref="C38:D40"/>
    <mergeCell ref="B11:B99"/>
    <mergeCell ref="E58:F61"/>
    <mergeCell ref="G97:G98"/>
    <mergeCell ref="E109:F109"/>
    <mergeCell ref="E66:F70"/>
    <mergeCell ref="E53:F56"/>
    <mergeCell ref="E78:F78"/>
    <mergeCell ref="G84:G85"/>
    <mergeCell ref="G87:G88"/>
    <mergeCell ref="E52:F52"/>
    <mergeCell ref="E26:F30"/>
    <mergeCell ref="E38:F38"/>
    <mergeCell ref="E41:F41"/>
    <mergeCell ref="G55:G56"/>
    <mergeCell ref="G53:G54"/>
    <mergeCell ref="G72:G73"/>
    <mergeCell ref="E90:F90"/>
    <mergeCell ref="B101:B247"/>
    <mergeCell ref="C239:D242"/>
    <mergeCell ref="G115:G116"/>
    <mergeCell ref="N2:P2"/>
    <mergeCell ref="P9:Q10"/>
    <mergeCell ref="O9:O10"/>
    <mergeCell ref="L9:N10"/>
    <mergeCell ref="K9:K10"/>
    <mergeCell ref="F7:H7"/>
    <mergeCell ref="E35:F35"/>
    <mergeCell ref="E11:F11"/>
    <mergeCell ref="E25:F25"/>
    <mergeCell ref="E9:F10"/>
    <mergeCell ref="G19:G20"/>
    <mergeCell ref="G22:G23"/>
    <mergeCell ref="G26:G28"/>
    <mergeCell ref="G12:G13"/>
    <mergeCell ref="J2:M2"/>
    <mergeCell ref="F2:I2"/>
    <mergeCell ref="G16:G18"/>
    <mergeCell ref="E12:F20"/>
    <mergeCell ref="G9:J10"/>
    <mergeCell ref="G14:G15"/>
    <mergeCell ref="P12:P20"/>
    <mergeCell ref="N12:N20"/>
    <mergeCell ref="O12:O20"/>
    <mergeCell ref="N512:N517"/>
    <mergeCell ref="E399:F399"/>
    <mergeCell ref="E433:F433"/>
    <mergeCell ref="E468:F468"/>
    <mergeCell ref="G473:G474"/>
    <mergeCell ref="G475:G476"/>
    <mergeCell ref="G477:G478"/>
    <mergeCell ref="E413:F413"/>
    <mergeCell ref="E420:F423"/>
    <mergeCell ref="E416:F416"/>
    <mergeCell ref="E419:F419"/>
    <mergeCell ref="E446:F455"/>
    <mergeCell ref="G446:G447"/>
    <mergeCell ref="E434:F435"/>
    <mergeCell ref="G434:G435"/>
    <mergeCell ref="N434:N435"/>
    <mergeCell ref="E437:F444"/>
    <mergeCell ref="G437:G438"/>
    <mergeCell ref="G439:G440"/>
    <mergeCell ref="G422:G423"/>
    <mergeCell ref="E417:F418"/>
    <mergeCell ref="N425:N426"/>
    <mergeCell ref="E445:F445"/>
    <mergeCell ref="N437:N444"/>
    <mergeCell ref="E342:F342"/>
    <mergeCell ref="E431:F432"/>
    <mergeCell ref="N431:N432"/>
    <mergeCell ref="E343:F346"/>
    <mergeCell ref="E347:F347"/>
    <mergeCell ref="E391:F391"/>
    <mergeCell ref="E373:F373"/>
    <mergeCell ref="E388:F388"/>
    <mergeCell ref="E394:F394"/>
    <mergeCell ref="E389:F390"/>
    <mergeCell ref="E378:F378"/>
    <mergeCell ref="E368:F368"/>
    <mergeCell ref="E362:F367"/>
    <mergeCell ref="E348:F354"/>
    <mergeCell ref="E359:F360"/>
    <mergeCell ref="E358:F358"/>
    <mergeCell ref="E395:F398"/>
    <mergeCell ref="G351:G352"/>
    <mergeCell ref="G353:G354"/>
    <mergeCell ref="G397:G398"/>
    <mergeCell ref="G395:G396"/>
    <mergeCell ref="N395:N398"/>
    <mergeCell ref="N374:N377"/>
    <mergeCell ref="E361:F361"/>
    <mergeCell ref="P420:P423"/>
    <mergeCell ref="Q420:Q423"/>
    <mergeCell ref="R414:S415"/>
    <mergeCell ref="O417:O418"/>
    <mergeCell ref="R420:S423"/>
    <mergeCell ref="G420:G421"/>
    <mergeCell ref="N420:N423"/>
    <mergeCell ref="O420:O423"/>
    <mergeCell ref="Q414:Q415"/>
    <mergeCell ref="G417:G418"/>
    <mergeCell ref="P417:P418"/>
    <mergeCell ref="Q417:Q418"/>
    <mergeCell ref="R417:S418"/>
    <mergeCell ref="R419:S419"/>
    <mergeCell ref="O414:O415"/>
    <mergeCell ref="P414:P415"/>
    <mergeCell ref="N414:N415"/>
    <mergeCell ref="R416:S416"/>
    <mergeCell ref="Q425:Q426"/>
    <mergeCell ref="R425:S426"/>
    <mergeCell ref="E511:F511"/>
    <mergeCell ref="E491:F491"/>
    <mergeCell ref="R491:S491"/>
    <mergeCell ref="E501:F510"/>
    <mergeCell ref="R457:S466"/>
    <mergeCell ref="R456:S456"/>
    <mergeCell ref="N446:N455"/>
    <mergeCell ref="R433:S433"/>
    <mergeCell ref="O457:O466"/>
    <mergeCell ref="P457:P466"/>
    <mergeCell ref="Q457:Q466"/>
    <mergeCell ref="P446:P455"/>
    <mergeCell ref="Q446:Q455"/>
    <mergeCell ref="R446:S455"/>
    <mergeCell ref="R436:S436"/>
    <mergeCell ref="O446:O455"/>
    <mergeCell ref="G463:G464"/>
    <mergeCell ref="G465:G466"/>
    <mergeCell ref="G457:G458"/>
    <mergeCell ref="N457:N466"/>
    <mergeCell ref="O437:O444"/>
    <mergeCell ref="P437:P444"/>
    <mergeCell ref="Q437:Q444"/>
    <mergeCell ref="R437:S444"/>
    <mergeCell ref="E492:F499"/>
    <mergeCell ref="G492:G493"/>
    <mergeCell ref="G507:G508"/>
    <mergeCell ref="G509:G510"/>
    <mergeCell ref="O501:O510"/>
    <mergeCell ref="G505:G506"/>
    <mergeCell ref="P501:P510"/>
    <mergeCell ref="Q501:Q510"/>
    <mergeCell ref="E500:F500"/>
    <mergeCell ref="O547:O554"/>
    <mergeCell ref="R546:S546"/>
    <mergeCell ref="R541:S541"/>
    <mergeCell ref="G452:G453"/>
    <mergeCell ref="G428:G429"/>
    <mergeCell ref="G431:G432"/>
    <mergeCell ref="P428:P429"/>
    <mergeCell ref="R534:S534"/>
    <mergeCell ref="Q526:Q533"/>
    <mergeCell ref="R526:S533"/>
    <mergeCell ref="R518:S518"/>
    <mergeCell ref="Q492:Q499"/>
    <mergeCell ref="R501:S510"/>
    <mergeCell ref="G448:G449"/>
    <mergeCell ref="R519:S524"/>
    <mergeCell ref="G521:G522"/>
    <mergeCell ref="P526:P533"/>
    <mergeCell ref="G528:G529"/>
    <mergeCell ref="G530:G531"/>
    <mergeCell ref="O526:O533"/>
    <mergeCell ref="G526:G527"/>
    <mergeCell ref="O492:O499"/>
    <mergeCell ref="P492:P499"/>
    <mergeCell ref="O512:O517"/>
    <mergeCell ref="E534:F534"/>
    <mergeCell ref="G503:G504"/>
    <mergeCell ref="R307:S307"/>
    <mergeCell ref="G459:G460"/>
    <mergeCell ref="G461:G462"/>
    <mergeCell ref="R468:S468"/>
    <mergeCell ref="N519:N524"/>
    <mergeCell ref="E542:F545"/>
    <mergeCell ref="Q555:S555"/>
    <mergeCell ref="P547:P554"/>
    <mergeCell ref="Q547:Q554"/>
    <mergeCell ref="R547:S554"/>
    <mergeCell ref="G549:G550"/>
    <mergeCell ref="G551:G552"/>
    <mergeCell ref="G553:G554"/>
    <mergeCell ref="G542:G543"/>
    <mergeCell ref="P542:P545"/>
    <mergeCell ref="Q542:Q545"/>
    <mergeCell ref="R542:S545"/>
    <mergeCell ref="G544:G545"/>
    <mergeCell ref="N542:N545"/>
    <mergeCell ref="E547:F554"/>
    <mergeCell ref="G547:G548"/>
    <mergeCell ref="N547:N554"/>
    <mergeCell ref="E519:F524"/>
    <mergeCell ref="G519:G520"/>
    <mergeCell ref="N193:N197"/>
    <mergeCell ref="R226:S229"/>
    <mergeCell ref="E467:F467"/>
    <mergeCell ref="E518:F518"/>
    <mergeCell ref="E512:F517"/>
    <mergeCell ref="R511:S511"/>
    <mergeCell ref="R492:S499"/>
    <mergeCell ref="G494:G495"/>
    <mergeCell ref="N501:N510"/>
    <mergeCell ref="G514:G515"/>
    <mergeCell ref="G516:G517"/>
    <mergeCell ref="G512:G513"/>
    <mergeCell ref="G496:G497"/>
    <mergeCell ref="G498:G499"/>
    <mergeCell ref="N492:N499"/>
    <mergeCell ref="O519:O524"/>
    <mergeCell ref="G523:G524"/>
    <mergeCell ref="R467:S467"/>
    <mergeCell ref="R512:S517"/>
    <mergeCell ref="E469:F478"/>
    <mergeCell ref="G469:G470"/>
    <mergeCell ref="N469:N478"/>
    <mergeCell ref="R144:S144"/>
    <mergeCell ref="R157:S157"/>
    <mergeCell ref="R162:S162"/>
    <mergeCell ref="P158:P161"/>
    <mergeCell ref="O542:O545"/>
    <mergeCell ref="G535:G536"/>
    <mergeCell ref="G537:G538"/>
    <mergeCell ref="G539:G540"/>
    <mergeCell ref="O469:O478"/>
    <mergeCell ref="P469:P478"/>
    <mergeCell ref="Q469:Q478"/>
    <mergeCell ref="R469:S478"/>
    <mergeCell ref="G471:G472"/>
    <mergeCell ref="G481:G482"/>
    <mergeCell ref="R500:S500"/>
    <mergeCell ref="R427:S427"/>
    <mergeCell ref="Q428:Q429"/>
    <mergeCell ref="N428:N429"/>
    <mergeCell ref="O428:O429"/>
    <mergeCell ref="O431:O432"/>
    <mergeCell ref="P431:P432"/>
    <mergeCell ref="Q431:Q432"/>
    <mergeCell ref="R431:S432"/>
    <mergeCell ref="Q519:Q524"/>
    <mergeCell ref="R115:S116"/>
    <mergeCell ref="Q124:Q131"/>
    <mergeCell ref="R124:S131"/>
    <mergeCell ref="P110:P113"/>
    <mergeCell ref="O115:O116"/>
    <mergeCell ref="P115:P116"/>
    <mergeCell ref="P124:P131"/>
    <mergeCell ref="O110:O113"/>
    <mergeCell ref="R132:S132"/>
    <mergeCell ref="R117:S117"/>
    <mergeCell ref="O118:O119"/>
    <mergeCell ref="P118:P119"/>
    <mergeCell ref="Q118:Q119"/>
    <mergeCell ref="R118:S119"/>
    <mergeCell ref="R120:S120"/>
    <mergeCell ref="O121:O122"/>
    <mergeCell ref="P121:P122"/>
    <mergeCell ref="Q121:Q122"/>
    <mergeCell ref="R121:S122"/>
    <mergeCell ref="O124:O131"/>
    <mergeCell ref="E101:F102"/>
    <mergeCell ref="E104:F105"/>
    <mergeCell ref="E103:F103"/>
    <mergeCell ref="E106:F106"/>
    <mergeCell ref="E107:F108"/>
    <mergeCell ref="G107:G108"/>
    <mergeCell ref="N101:N102"/>
    <mergeCell ref="N115:N116"/>
    <mergeCell ref="R103:S103"/>
    <mergeCell ref="R106:S106"/>
    <mergeCell ref="Q101:Q102"/>
    <mergeCell ref="R101:S102"/>
    <mergeCell ref="R109:S109"/>
    <mergeCell ref="N107:N108"/>
    <mergeCell ref="O107:O108"/>
    <mergeCell ref="P107:P108"/>
    <mergeCell ref="Q107:Q108"/>
    <mergeCell ref="R107:S108"/>
    <mergeCell ref="P101:P102"/>
    <mergeCell ref="O101:O102"/>
    <mergeCell ref="Q110:Q113"/>
    <mergeCell ref="R110:S113"/>
    <mergeCell ref="R114:S114"/>
    <mergeCell ref="Q115:Q116"/>
    <mergeCell ref="N110:N113"/>
    <mergeCell ref="E123:F123"/>
    <mergeCell ref="E114:F114"/>
    <mergeCell ref="E132:F132"/>
    <mergeCell ref="E133:F134"/>
    <mergeCell ref="E138:F138"/>
    <mergeCell ref="E144:F144"/>
    <mergeCell ref="E157:F157"/>
    <mergeCell ref="E139:F140"/>
    <mergeCell ref="E141:F141"/>
    <mergeCell ref="G150:G151"/>
    <mergeCell ref="O153:O156"/>
    <mergeCell ref="O148:O151"/>
    <mergeCell ref="G118:G119"/>
    <mergeCell ref="N118:N119"/>
    <mergeCell ref="G121:G122"/>
    <mergeCell ref="N121:N122"/>
    <mergeCell ref="E117:F117"/>
    <mergeCell ref="E120:F120"/>
    <mergeCell ref="G193:G195"/>
    <mergeCell ref="G168:G169"/>
    <mergeCell ref="O145:O146"/>
    <mergeCell ref="G126:G127"/>
    <mergeCell ref="E167:F167"/>
    <mergeCell ref="E212:F212"/>
    <mergeCell ref="E192:F192"/>
    <mergeCell ref="E190:F191"/>
    <mergeCell ref="E193:F197"/>
    <mergeCell ref="E189:F189"/>
    <mergeCell ref="G124:G125"/>
    <mergeCell ref="G158:G159"/>
    <mergeCell ref="E145:F146"/>
    <mergeCell ref="G145:G146"/>
    <mergeCell ref="E124:F131"/>
    <mergeCell ref="G130:G131"/>
    <mergeCell ref="G94:G95"/>
    <mergeCell ref="E213:F218"/>
    <mergeCell ref="G196:G197"/>
    <mergeCell ref="U219:U224"/>
    <mergeCell ref="U215:U216"/>
    <mergeCell ref="E248:F248"/>
    <mergeCell ref="R248:S248"/>
    <mergeCell ref="E259:F259"/>
    <mergeCell ref="R259:S259"/>
    <mergeCell ref="E202:F202"/>
    <mergeCell ref="R202:S202"/>
    <mergeCell ref="E226:F229"/>
    <mergeCell ref="R139:S140"/>
    <mergeCell ref="R141:S141"/>
    <mergeCell ref="R133:S134"/>
    <mergeCell ref="E135:F135"/>
    <mergeCell ref="R135:S135"/>
    <mergeCell ref="E136:F137"/>
    <mergeCell ref="G136:G137"/>
    <mergeCell ref="N136:N137"/>
    <mergeCell ref="O136:O137"/>
    <mergeCell ref="P136:P137"/>
    <mergeCell ref="Q136:Q137"/>
    <mergeCell ref="R136:S137"/>
    <mergeCell ref="E238:F238"/>
    <mergeCell ref="Q239:Q242"/>
    <mergeCell ref="U233:U237"/>
    <mergeCell ref="O231:O232"/>
    <mergeCell ref="P231:P232"/>
    <mergeCell ref="E244:F247"/>
    <mergeCell ref="N244:N247"/>
    <mergeCell ref="O244:O247"/>
    <mergeCell ref="P244:P247"/>
    <mergeCell ref="Q244:Q247"/>
    <mergeCell ref="R244:S247"/>
    <mergeCell ref="P239:P242"/>
    <mergeCell ref="R233:S233"/>
    <mergeCell ref="U78:U89"/>
    <mergeCell ref="G273:G275"/>
    <mergeCell ref="O239:O242"/>
    <mergeCell ref="G199:G200"/>
    <mergeCell ref="G183:G184"/>
    <mergeCell ref="G163:G164"/>
    <mergeCell ref="G110:G111"/>
    <mergeCell ref="G104:G105"/>
    <mergeCell ref="G165:G166"/>
    <mergeCell ref="R123:S123"/>
    <mergeCell ref="R100:S100"/>
    <mergeCell ref="P79:P85"/>
    <mergeCell ref="G128:G129"/>
    <mergeCell ref="O193:O197"/>
    <mergeCell ref="O168:O174"/>
    <mergeCell ref="O190:O191"/>
    <mergeCell ref="N104:N105"/>
    <mergeCell ref="O104:O105"/>
    <mergeCell ref="P104:P105"/>
    <mergeCell ref="Q104:Q105"/>
    <mergeCell ref="R104:S105"/>
    <mergeCell ref="G91:G93"/>
    <mergeCell ref="G133:G134"/>
    <mergeCell ref="N124:N131"/>
    <mergeCell ref="R525:S525"/>
    <mergeCell ref="U57:U61"/>
    <mergeCell ref="C58:D61"/>
    <mergeCell ref="E75:F75"/>
    <mergeCell ref="E535:F540"/>
    <mergeCell ref="U362:U363"/>
    <mergeCell ref="U364:U365"/>
    <mergeCell ref="U368:U372"/>
    <mergeCell ref="N535:N540"/>
    <mergeCell ref="O535:O540"/>
    <mergeCell ref="P535:P540"/>
    <mergeCell ref="Q535:Q540"/>
    <mergeCell ref="R535:S540"/>
    <mergeCell ref="U539:U540"/>
    <mergeCell ref="E457:F466"/>
    <mergeCell ref="G450:G451"/>
    <mergeCell ref="G454:G455"/>
    <mergeCell ref="E456:F456"/>
    <mergeCell ref="E392:F393"/>
    <mergeCell ref="P512:P517"/>
    <mergeCell ref="Q512:Q517"/>
    <mergeCell ref="E525:F525"/>
    <mergeCell ref="E526:F533"/>
    <mergeCell ref="P519:P524"/>
    <mergeCell ref="Q133:Q134"/>
    <mergeCell ref="O139:O140"/>
    <mergeCell ref="P139:P140"/>
    <mergeCell ref="Q139:Q140"/>
    <mergeCell ref="N133:N134"/>
    <mergeCell ref="G139:G140"/>
    <mergeCell ref="N139:N140"/>
    <mergeCell ref="O133:O134"/>
    <mergeCell ref="P133:P134"/>
    <mergeCell ref="Q142:Q143"/>
    <mergeCell ref="R142:S143"/>
    <mergeCell ref="N295:N301"/>
    <mergeCell ref="C153:D156"/>
    <mergeCell ref="E153:F156"/>
    <mergeCell ref="G153:G154"/>
    <mergeCell ref="N153:N156"/>
    <mergeCell ref="G155:G156"/>
    <mergeCell ref="E243:F243"/>
    <mergeCell ref="E239:F242"/>
    <mergeCell ref="E230:F230"/>
    <mergeCell ref="E233:F233"/>
    <mergeCell ref="E225:F225"/>
    <mergeCell ref="E231:F232"/>
    <mergeCell ref="N271:N286"/>
    <mergeCell ref="N239:N242"/>
    <mergeCell ref="C203:D211"/>
    <mergeCell ref="E203:F207"/>
    <mergeCell ref="G285:G286"/>
    <mergeCell ref="G283:G284"/>
    <mergeCell ref="G244:G245"/>
    <mergeCell ref="G246:G247"/>
    <mergeCell ref="G271:G272"/>
    <mergeCell ref="G239:G240"/>
    <mergeCell ref="E294:F294"/>
    <mergeCell ref="E295:F301"/>
    <mergeCell ref="G295:G297"/>
    <mergeCell ref="C142:D143"/>
    <mergeCell ref="E142:F143"/>
    <mergeCell ref="G142:G143"/>
    <mergeCell ref="N142:N143"/>
    <mergeCell ref="O142:O143"/>
    <mergeCell ref="P142:P143"/>
    <mergeCell ref="G241:G242"/>
    <mergeCell ref="E158:F161"/>
    <mergeCell ref="E162:F162"/>
    <mergeCell ref="E163:F166"/>
    <mergeCell ref="E168:F174"/>
    <mergeCell ref="G186:G187"/>
    <mergeCell ref="G213:G214"/>
    <mergeCell ref="G203:G205"/>
    <mergeCell ref="G206:G207"/>
    <mergeCell ref="G217:G218"/>
    <mergeCell ref="E180:F184"/>
    <mergeCell ref="G190:G191"/>
    <mergeCell ref="E234:F237"/>
    <mergeCell ref="E179:F179"/>
    <mergeCell ref="N190:N191"/>
    <mergeCell ref="E308:F314"/>
    <mergeCell ref="E307:F307"/>
    <mergeCell ref="E270:F270"/>
    <mergeCell ref="G281:G282"/>
    <mergeCell ref="E271:F286"/>
    <mergeCell ref="E320:F320"/>
    <mergeCell ref="H336:H337"/>
    <mergeCell ref="I336:I337"/>
    <mergeCell ref="C249:D258"/>
    <mergeCell ref="E249:F258"/>
    <mergeCell ref="C260:D269"/>
    <mergeCell ref="E260:F269"/>
    <mergeCell ref="G260:G261"/>
    <mergeCell ref="G308:G310"/>
    <mergeCell ref="G311:G312"/>
    <mergeCell ref="G262:G263"/>
    <mergeCell ref="G264:G265"/>
    <mergeCell ref="G266:G267"/>
    <mergeCell ref="G268:G269"/>
    <mergeCell ref="G313:G314"/>
    <mergeCell ref="H288:H289"/>
    <mergeCell ref="E321:F334"/>
    <mergeCell ref="G331:G332"/>
    <mergeCell ref="G288:G290"/>
    <mergeCell ref="P145:P146"/>
    <mergeCell ref="Q145:Q146"/>
    <mergeCell ref="R145:S146"/>
    <mergeCell ref="E152:F152"/>
    <mergeCell ref="R152:S152"/>
    <mergeCell ref="E147:F147"/>
    <mergeCell ref="R147:S147"/>
    <mergeCell ref="C148:D151"/>
    <mergeCell ref="E148:F151"/>
    <mergeCell ref="G148:G149"/>
    <mergeCell ref="N148:N151"/>
    <mergeCell ref="P148:P151"/>
    <mergeCell ref="Q148:Q151"/>
    <mergeCell ref="R148:S151"/>
    <mergeCell ref="N145:N146"/>
    <mergeCell ref="G326:G328"/>
    <mergeCell ref="G329:G330"/>
    <mergeCell ref="G209:G210"/>
    <mergeCell ref="R294:S294"/>
    <mergeCell ref="O271:O286"/>
    <mergeCell ref="P260:P269"/>
    <mergeCell ref="P308:P314"/>
    <mergeCell ref="R243:S243"/>
    <mergeCell ref="P153:P156"/>
    <mergeCell ref="Q153:Q156"/>
    <mergeCell ref="R153:S156"/>
    <mergeCell ref="G321:G322"/>
    <mergeCell ref="N260:N269"/>
    <mergeCell ref="O260:O269"/>
    <mergeCell ref="O308:O314"/>
    <mergeCell ref="R168:S174"/>
    <mergeCell ref="P168:P174"/>
    <mergeCell ref="R163:S166"/>
    <mergeCell ref="P249:P258"/>
    <mergeCell ref="R180:S184"/>
    <mergeCell ref="R190:S191"/>
    <mergeCell ref="G279:G280"/>
    <mergeCell ref="O234:O237"/>
    <mergeCell ref="N163:N166"/>
  </mergeCells>
  <phoneticPr fontId="8"/>
  <conditionalFormatting sqref="H64">
    <cfRule type="cellIs" dxfId="27" priority="52" stopIfTrue="1" operator="notBetween">
      <formula>$J64</formula>
      <formula>#REF!</formula>
    </cfRule>
  </conditionalFormatting>
  <conditionalFormatting sqref="H18">
    <cfRule type="cellIs" dxfId="26" priority="43" operator="greaterThan">
      <formula>$I18</formula>
    </cfRule>
  </conditionalFormatting>
  <conditionalFormatting sqref="H20">
    <cfRule type="cellIs" dxfId="25" priority="42" operator="notBetween">
      <formula>$I20</formula>
      <formula>$K20</formula>
    </cfRule>
  </conditionalFormatting>
  <conditionalFormatting sqref="H28">
    <cfRule type="cellIs" dxfId="24" priority="41" operator="greaterThan">
      <formula>$I28</formula>
    </cfRule>
  </conditionalFormatting>
  <conditionalFormatting sqref="H44">
    <cfRule type="cellIs" dxfId="23" priority="36" operator="greaterThan">
      <formula>$I44</formula>
    </cfRule>
  </conditionalFormatting>
  <conditionalFormatting sqref="H59">
    <cfRule type="cellIs" dxfId="22" priority="33" operator="greaterThan">
      <formula>$I59</formula>
    </cfRule>
  </conditionalFormatting>
  <conditionalFormatting sqref="H68">
    <cfRule type="cellIs" dxfId="21" priority="32" operator="greaterThan">
      <formula>$I68</formula>
    </cfRule>
  </conditionalFormatting>
  <conditionalFormatting sqref="H81">
    <cfRule type="cellIs" dxfId="20" priority="30" operator="greaterThan">
      <formula>$I81</formula>
    </cfRule>
  </conditionalFormatting>
  <conditionalFormatting sqref="H247">
    <cfRule type="cellIs" dxfId="19" priority="25" operator="notBetween">
      <formula>$I$247</formula>
      <formula>$L$247</formula>
    </cfRule>
  </conditionalFormatting>
  <conditionalFormatting sqref="H275">
    <cfRule type="cellIs" dxfId="18" priority="24" operator="greaterThan">
      <formula>$K$275</formula>
    </cfRule>
  </conditionalFormatting>
  <conditionalFormatting sqref="H278">
    <cfRule type="cellIs" dxfId="17" priority="23" operator="notBetween">
      <formula>$J$278</formula>
      <formula>$I$278</formula>
    </cfRule>
  </conditionalFormatting>
  <conditionalFormatting sqref="H310">
    <cfRule type="cellIs" dxfId="16" priority="22" operator="greaterThan">
      <formula>$I$310</formula>
    </cfRule>
  </conditionalFormatting>
  <conditionalFormatting sqref="H325">
    <cfRule type="cellIs" dxfId="15" priority="21" operator="greaterThan">
      <formula>$K$325</formula>
    </cfRule>
  </conditionalFormatting>
  <conditionalFormatting sqref="H328">
    <cfRule type="cellIs" dxfId="14" priority="20" operator="notBetween">
      <formula>$J$328</formula>
      <formula>$I$328</formula>
    </cfRule>
  </conditionalFormatting>
  <conditionalFormatting sqref="H350">
    <cfRule type="cellIs" dxfId="13" priority="19" operator="notBetween">
      <formula>$J$350</formula>
      <formula>$I$350</formula>
    </cfRule>
  </conditionalFormatting>
  <conditionalFormatting sqref="H412">
    <cfRule type="cellIs" dxfId="12" priority="4" operator="greaterThan">
      <formula>$I$412</formula>
    </cfRule>
  </conditionalFormatting>
  <conditionalFormatting sqref="H297">
    <cfRule type="cellIs" dxfId="11" priority="12" operator="greaterThan">
      <formula>$I$297</formula>
    </cfRule>
  </conditionalFormatting>
  <conditionalFormatting sqref="H93">
    <cfRule type="cellIs" dxfId="10" priority="11" operator="greaterThan">
      <formula>$I$93</formula>
    </cfRule>
  </conditionalFormatting>
  <conditionalFormatting sqref="H111">
    <cfRule type="cellIs" dxfId="9" priority="10" operator="greaterThan">
      <formula>$I$111</formula>
    </cfRule>
  </conditionalFormatting>
  <conditionalFormatting sqref="H113">
    <cfRule type="cellIs" dxfId="8" priority="9" operator="greaterThan">
      <formula>$I$113</formula>
    </cfRule>
  </conditionalFormatting>
  <conditionalFormatting sqref="H122">
    <cfRule type="cellIs" dxfId="7" priority="8" operator="greaterThan">
      <formula>$I$122</formula>
    </cfRule>
  </conditionalFormatting>
  <conditionalFormatting sqref="H214">
    <cfRule type="cellIs" dxfId="6" priority="7" operator="greaterThan">
      <formula>$I$214</formula>
    </cfRule>
  </conditionalFormatting>
  <conditionalFormatting sqref="H227">
    <cfRule type="cellIs" dxfId="5" priority="5" operator="greaterThan">
      <formula>$I$227</formula>
    </cfRule>
  </conditionalFormatting>
  <conditionalFormatting sqref="H421">
    <cfRule type="cellIs" dxfId="4" priority="3" operator="greaterThan">
      <formula>$I$421</formula>
    </cfRule>
  </conditionalFormatting>
  <conditionalFormatting sqref="H250">
    <cfRule type="cellIs" dxfId="3" priority="2" operator="notBetween">
      <formula>$I$250</formula>
      <formula>$J$250</formula>
    </cfRule>
  </conditionalFormatting>
  <conditionalFormatting sqref="H261">
    <cfRule type="cellIs" dxfId="2" priority="1" operator="notBetween">
      <formula>$I$250</formula>
      <formula>$J$250</formula>
    </cfRule>
  </conditionalFormatting>
  <dataValidations count="132">
    <dataValidation type="list" allowBlank="1" showInputMessage="1" showErrorMessage="1" sqref="H309 H274 H241 H367 H341 H329 H357 H415 H277 H321 H319 H293 H296 H306">
      <formula1>$I241:$M241</formula1>
    </dataValidation>
    <dataValidation type="list" allowBlank="1" showInputMessage="1" showErrorMessage="1" sqref="H553">
      <formula1>$I$553:$J$553</formula1>
    </dataValidation>
    <dataValidation type="list" allowBlank="1" showInputMessage="1" showErrorMessage="1" sqref="H308 H295">
      <formula1>$I$308:$L$308</formula1>
    </dataValidation>
    <dataValidation type="list" allowBlank="1" showInputMessage="1" showErrorMessage="1" sqref="H323">
      <formula1>$I$323:$L$323</formula1>
    </dataValidation>
    <dataValidation type="list" allowBlank="1" showInputMessage="1" showErrorMessage="1" sqref="H326">
      <formula1>$I$326:$K$326</formula1>
    </dataValidation>
    <dataValidation type="list" allowBlank="1" showInputMessage="1" showErrorMessage="1" sqref="H331">
      <formula1>$I$331:$J$331</formula1>
    </dataValidation>
    <dataValidation type="list" allowBlank="1" showInputMessage="1" showErrorMessage="1" sqref="H343">
      <formula1>$I$343:$K$343</formula1>
    </dataValidation>
    <dataValidation type="list" allowBlank="1" showInputMessage="1" showErrorMessage="1" sqref="H348">
      <formula1>$I$348:$K$348</formula1>
    </dataValidation>
    <dataValidation type="list" allowBlank="1" showInputMessage="1" showErrorMessage="1" sqref="H351">
      <formula1>$I$351:$J$351</formula1>
    </dataValidation>
    <dataValidation type="list" allowBlank="1" showInputMessage="1" showErrorMessage="1" sqref="H366">
      <formula1>$I$366:$K$366</formula1>
    </dataValidation>
    <dataValidation type="list" allowBlank="1" showInputMessage="1" showErrorMessage="1" sqref="H386">
      <formula1>$I$386:$K$386</formula1>
    </dataValidation>
    <dataValidation type="list" allowBlank="1" showInputMessage="1" showErrorMessage="1" sqref="H389">
      <formula1>$I$389:$K$389</formula1>
    </dataValidation>
    <dataValidation type="list" allowBlank="1" showInputMessage="1" showErrorMessage="1" sqref="H392">
      <formula1>$I$392:$K$392</formula1>
    </dataValidation>
    <dataValidation type="list" allowBlank="1" showInputMessage="1" showErrorMessage="1" sqref="H397">
      <formula1>$I$397:$J$397</formula1>
    </dataValidation>
    <dataValidation type="list" allowBlank="1" showInputMessage="1" showErrorMessage="1" sqref="H273">
      <formula1>$I$273:$L$273</formula1>
    </dataValidation>
    <dataValidation type="list" allowBlank="1" showInputMessage="1" showErrorMessage="1" sqref="H276">
      <formula1>$I$276:$K$276</formula1>
    </dataValidation>
    <dataValidation type="list" allowBlank="1" showInputMessage="1" showErrorMessage="1" sqref="H283">
      <formula1>$I$283:$J$283</formula1>
    </dataValidation>
    <dataValidation type="list" allowBlank="1" showInputMessage="1" showErrorMessage="1" sqref="H246">
      <formula1>$I$246:$L$246</formula1>
    </dataValidation>
    <dataValidation type="list" allowBlank="1" showInputMessage="1" showErrorMessage="1" sqref="H532">
      <formula1>$I$532:$K$532</formula1>
    </dataValidation>
    <dataValidation type="list" allowBlank="1" showInputMessage="1" showErrorMessage="1" sqref="H523">
      <formula1>$I$523:$K$523</formula1>
    </dataValidation>
    <dataValidation type="list" allowBlank="1" showInputMessage="1" showErrorMessage="1" sqref="H516">
      <formula1>$I$516:$K$516</formula1>
    </dataValidation>
    <dataValidation type="list" allowBlank="1" showInputMessage="1" showErrorMessage="1" sqref="H509">
      <formula1>$I$509:$K$509</formula1>
    </dataValidation>
    <dataValidation type="list" allowBlank="1" showInputMessage="1" showErrorMessage="1" sqref="H498">
      <formula1>$I$498:$K$498</formula1>
    </dataValidation>
    <dataValidation type="list" allowBlank="1" showInputMessage="1" showErrorMessage="1" sqref="H489">
      <formula1>$I$489:$K$489</formula1>
    </dataValidation>
    <dataValidation type="list" allowBlank="1" showInputMessage="1" showErrorMessage="1" sqref="H454">
      <formula1>$I$454:$K$454</formula1>
    </dataValidation>
    <dataValidation type="list" allowBlank="1" showInputMessage="1" showErrorMessage="1" sqref="H417">
      <formula1>$I$417:$K$417</formula1>
    </dataValidation>
    <dataValidation type="list" allowBlank="1" showInputMessage="1" showErrorMessage="1" sqref="H63">
      <formula1>$J$63:$K$63</formula1>
    </dataValidation>
    <dataValidation type="list" allowBlank="1" showInputMessage="1" showErrorMessage="1" sqref="H60">
      <formula1>$J$60:$K$60</formula1>
    </dataValidation>
    <dataValidation type="list" allowBlank="1" showInputMessage="1" showErrorMessage="1" sqref="H215">
      <formula1>$I$215:$J$215</formula1>
    </dataValidation>
    <dataValidation type="list" allowBlank="1" showInputMessage="1" showErrorMessage="1" sqref="H226">
      <formula1>$I$226:$L$226</formula1>
    </dataValidation>
    <dataValidation type="list" allowBlank="1" showInputMessage="1" showErrorMessage="1" sqref="H234">
      <formula1>$I$234:$L$234</formula1>
    </dataValidation>
    <dataValidation type="list" allowBlank="1" showInputMessage="1" showErrorMessage="1" sqref="H236">
      <formula1>$I$236:$K$236</formula1>
    </dataValidation>
    <dataValidation type="list" allowBlank="1" showInputMessage="1" showErrorMessage="1" sqref="H228">
      <formula1>$I$228:$K$228</formula1>
    </dataValidation>
    <dataValidation type="list" allowBlank="1" showInputMessage="1" showErrorMessage="1" sqref="H271">
      <formula1>$I$271:$J$271</formula1>
    </dataValidation>
    <dataValidation type="list" allowBlank="1" showInputMessage="1" showErrorMessage="1" sqref="H279">
      <formula1>$I$279:$J$279</formula1>
    </dataValidation>
    <dataValidation type="list" allowBlank="1" showInputMessage="1" showErrorMessage="1" sqref="H281">
      <formula1>$I$281:$J$281</formula1>
    </dataValidation>
    <dataValidation type="list" allowBlank="1" showInputMessage="1" showErrorMessage="1" sqref="H311 H298">
      <formula1>$I$311:$J$311</formula1>
    </dataValidation>
    <dataValidation type="list" allowBlank="1" showInputMessage="1" showErrorMessage="1" sqref="H313 H300">
      <formula1>$I$313:$K$313</formula1>
    </dataValidation>
    <dataValidation type="list" allowBlank="1" showInputMessage="1" showErrorMessage="1" sqref="H359">
      <formula1>$I$359:$K$359</formula1>
    </dataValidation>
    <dataValidation type="list" allowBlank="1" showInputMessage="1" showErrorMessage="1" sqref="H362">
      <formula1>$I$362:$J$362</formula1>
    </dataValidation>
    <dataValidation type="list" allowBlank="1" showInputMessage="1" showErrorMessage="1" sqref="H364">
      <formula1>$I$364:$J$364</formula1>
    </dataValidation>
    <dataValidation type="list" allowBlank="1" showInputMessage="1" showErrorMessage="1" sqref="H369">
      <formula1>$I$369:$K$369</formula1>
    </dataValidation>
    <dataValidation type="list" allowBlank="1" showInputMessage="1" showErrorMessage="1" sqref="H371">
      <formula1>$I$371:$K$371</formula1>
    </dataValidation>
    <dataValidation type="list" allowBlank="1" showInputMessage="1" showErrorMessage="1" sqref="H374">
      <formula1>$I$374:$K$374</formula1>
    </dataValidation>
    <dataValidation type="list" allowBlank="1" showInputMessage="1" showErrorMessage="1" sqref="H376">
      <formula1>$I$376:$K$376</formula1>
    </dataValidation>
    <dataValidation type="list" allowBlank="1" showInputMessage="1" showErrorMessage="1" sqref="H400">
      <formula1>$I$400:$K$400</formula1>
    </dataValidation>
    <dataValidation type="list" allowBlank="1" showInputMessage="1" showErrorMessage="1" sqref="H402">
      <formula1>$I$402:$K$402</formula1>
    </dataValidation>
    <dataValidation type="list" allowBlank="1" showInputMessage="1" showErrorMessage="1" sqref="H404">
      <formula1>$I$404:$K$404</formula1>
    </dataValidation>
    <dataValidation type="list" allowBlank="1" showInputMessage="1" showErrorMessage="1" sqref="H409">
      <formula1>$I$409:$J$409</formula1>
    </dataValidation>
    <dataValidation type="list" allowBlank="1" showInputMessage="1" showErrorMessage="1" sqref="H551">
      <formula1>$I$551:$J$551</formula1>
    </dataValidation>
    <dataValidation type="list" allowBlank="1" showInputMessage="1" showErrorMessage="1" sqref="H549">
      <formula1>$I$549:$K$549</formula1>
    </dataValidation>
    <dataValidation type="whole" operator="greaterThanOrEqual" allowBlank="1" showInputMessage="1" showErrorMessage="1" sqref="H528 H483 H471 H459 H448">
      <formula1>2</formula1>
    </dataValidation>
    <dataValidation type="list" allowBlank="1" showInputMessage="1" showErrorMessage="1" sqref="H542">
      <formula1>$I$542:$J$542</formula1>
    </dataValidation>
    <dataValidation type="list" allowBlank="1" showInputMessage="1" showErrorMessage="1" sqref="H535">
      <formula1>$I$535:$J$535</formula1>
    </dataValidation>
    <dataValidation type="whole" operator="greaterThanOrEqual" allowBlank="1" showInputMessage="1" showErrorMessage="1" sqref="H521 H503">
      <formula1>J503</formula1>
    </dataValidation>
    <dataValidation type="list" allowBlank="1" showInputMessage="1" showErrorMessage="1" sqref="H507">
      <formula1>$I$507:$K$507</formula1>
    </dataValidation>
    <dataValidation type="whole" operator="greaterThanOrEqual" allowBlank="1" showInputMessage="1" showErrorMessage="1" sqref="H494">
      <formula1>K494</formula1>
    </dataValidation>
    <dataValidation type="list" allowBlank="1" showInputMessage="1" showErrorMessage="1" sqref="H487">
      <formula1>$I$487:$K$487</formula1>
    </dataValidation>
    <dataValidation type="list" allowBlank="1" showInputMessage="1" showErrorMessage="1" sqref="H477">
      <formula1>$I$477:$K$477</formula1>
    </dataValidation>
    <dataValidation type="list" allowBlank="1" showInputMessage="1" showErrorMessage="1" sqref="H475">
      <formula1>$I$475:$K$475</formula1>
    </dataValidation>
    <dataValidation type="list" allowBlank="1" showInputMessage="1" showErrorMessage="1" sqref="H467 H479">
      <formula1>"加算あり,加算なし"</formula1>
    </dataValidation>
    <dataValidation type="list" allowBlank="1" showInputMessage="1" showErrorMessage="1" sqref="H465">
      <formula1>$I$465:$K$465</formula1>
    </dataValidation>
    <dataValidation type="list" allowBlank="1" showInputMessage="1" showErrorMessage="1" sqref="H463">
      <formula1>$I$463:$K$463</formula1>
    </dataValidation>
    <dataValidation type="list" allowBlank="1" showInputMessage="1" showErrorMessage="1" sqref="H452">
      <formula1>$I$452:$K$452</formula1>
    </dataValidation>
    <dataValidation type="list" allowBlank="1" showInputMessage="1" showErrorMessage="1" sqref="H441">
      <formula1>$I$441:$J$441</formula1>
    </dataValidation>
    <dataValidation type="list" allowBlank="1" showInputMessage="1" showErrorMessage="1" sqref="H439">
      <formula1>$I$439:$K$439</formula1>
    </dataValidation>
    <dataValidation type="list" allowBlank="1" showInputMessage="1" showErrorMessage="1" sqref="H437">
      <formula1>$I$437:$J$437</formula1>
    </dataValidation>
    <dataValidation type="list" allowBlank="1" showInputMessage="1" showErrorMessage="1" sqref="H231">
      <formula1>$I$231:$K$231</formula1>
    </dataValidation>
    <dataValidation type="list" allowBlank="1" showInputMessage="1" showErrorMessage="1" sqref="H239">
      <formula1>$I239:$L239</formula1>
    </dataValidation>
    <dataValidation type="list" allowBlank="1" showInputMessage="1" showErrorMessage="1" sqref="H12">
      <formula1>$I$12:$K$12</formula1>
    </dataValidation>
    <dataValidation type="list" allowBlank="1" showInputMessage="1" showErrorMessage="1" sqref="H14">
      <formula1>$I$14:$K$14</formula1>
    </dataValidation>
    <dataValidation type="list" allowBlank="1" showInputMessage="1" showErrorMessage="1" sqref="H16">
      <formula1>$I$16:$L$16</formula1>
    </dataValidation>
    <dataValidation type="list" allowBlank="1" showInputMessage="1" showErrorMessage="1" sqref="H26">
      <formula1>$I$26:$L$26</formula1>
    </dataValidation>
    <dataValidation type="list" allowBlank="1" showInputMessage="1" showErrorMessage="1" sqref="H29">
      <formula1>$I$29:$K$29</formula1>
    </dataValidation>
    <dataValidation type="list" allowBlank="1" showInputMessage="1" showErrorMessage="1" sqref="H42">
      <formula1>$I$42:$L$42</formula1>
    </dataValidation>
    <dataValidation type="list" allowBlank="1" showInputMessage="1" showErrorMessage="1" sqref="H50 H76">
      <formula1>$I$50:$K$50</formula1>
    </dataValidation>
    <dataValidation type="list" allowBlank="1" showInputMessage="1" showErrorMessage="1" sqref="H55">
      <formula1>$I$55:$K$55</formula1>
    </dataValidation>
    <dataValidation type="list" allowBlank="1" showInputMessage="1" showErrorMessage="1" sqref="H58">
      <formula1>$I$58:$L$58</formula1>
    </dataValidation>
    <dataValidation type="list" allowBlank="1" showInputMessage="1" showErrorMessage="1" sqref="H66">
      <formula1>$I$66:$L$66</formula1>
    </dataValidation>
    <dataValidation type="list" allowBlank="1" showInputMessage="1" showErrorMessage="1" sqref="H69">
      <formula1>$I$69:$K$69</formula1>
    </dataValidation>
    <dataValidation type="list" allowBlank="1" showInputMessage="1" showErrorMessage="1" sqref="H79">
      <formula1>$I$79:$L$79</formula1>
    </dataValidation>
    <dataValidation type="list" allowBlank="1" showInputMessage="1" showErrorMessage="1" sqref="H82">
      <formula1>$I$82:$J$82</formula1>
    </dataValidation>
    <dataValidation type="list" allowBlank="1" showInputMessage="1" showErrorMessage="1" sqref="H91">
      <formula1>$I$91:$L$91</formula1>
    </dataValidation>
    <dataValidation type="list" allowBlank="1" showInputMessage="1" showErrorMessage="1" sqref="H94">
      <formula1>$I$94:$J$94</formula1>
    </dataValidation>
    <dataValidation type="list" allowBlank="1" showInputMessage="1" showErrorMessage="1" sqref="H101">
      <formula1>$I$101:$L$101</formula1>
    </dataValidation>
    <dataValidation type="list" allowBlank="1" showInputMessage="1" showErrorMessage="1" sqref="H124">
      <formula1>$I$124:$K$124</formula1>
    </dataValidation>
    <dataValidation type="list" allowBlank="1" showInputMessage="1" showErrorMessage="1" sqref="H126">
      <formula1>$I$126:$J$126</formula1>
    </dataValidation>
    <dataValidation type="list" allowBlank="1" showInputMessage="1" showErrorMessage="1" sqref="H128">
      <formula1>$I$128:$K$128</formula1>
    </dataValidation>
    <dataValidation type="list" allowBlank="1" showInputMessage="1" showErrorMessage="1" sqref="H133">
      <formula1>$I$133:$K$133</formula1>
    </dataValidation>
    <dataValidation type="list" allowBlank="1" showInputMessage="1" showErrorMessage="1" sqref="H158">
      <formula1>$I$158:$K$158</formula1>
    </dataValidation>
    <dataValidation type="list" allowBlank="1" showInputMessage="1" showErrorMessage="1" sqref="H160">
      <formula1>$I$160:$K$160</formula1>
    </dataValidation>
    <dataValidation type="list" allowBlank="1" showInputMessage="1" showErrorMessage="1" sqref="H163">
      <formula1>$I$163:$K$163</formula1>
    </dataValidation>
    <dataValidation type="list" allowBlank="1" showInputMessage="1" showErrorMessage="1" sqref="H165">
      <formula1>$I$165:$K$165</formula1>
    </dataValidation>
    <dataValidation type="list" allowBlank="1" showInputMessage="1" showErrorMessage="1" sqref="H168">
      <formula1>$I$168:$J$168</formula1>
    </dataValidation>
    <dataValidation type="list" allowBlank="1" showInputMessage="1" showErrorMessage="1" sqref="H170">
      <formula1>$I$170:$L$170</formula1>
    </dataValidation>
    <dataValidation type="list" allowBlank="1" showInputMessage="1" showErrorMessage="1" sqref="H173">
      <formula1>$I$173:$K$173</formula1>
    </dataValidation>
    <dataValidation type="list" allowBlank="1" showInputMessage="1" showErrorMessage="1" sqref="H180">
      <formula1>$I$180:$L$180</formula1>
    </dataValidation>
    <dataValidation type="list" allowBlank="1" showInputMessage="1" showErrorMessage="1" sqref="H183">
      <formula1>$I$183:$K$183</formula1>
    </dataValidation>
    <dataValidation type="list" allowBlank="1" showInputMessage="1" showErrorMessage="1" sqref="H190">
      <formula1>$I$190:$K$190</formula1>
    </dataValidation>
    <dataValidation type="list" allowBlank="1" showInputMessage="1" showErrorMessage="1" sqref="H193">
      <formula1>$I$193:$L$193</formula1>
    </dataValidation>
    <dataValidation type="list" allowBlank="1" showInputMessage="1" showErrorMessage="1" sqref="H196">
      <formula1>$I$196:$K$196</formula1>
    </dataValidation>
    <dataValidation type="list" allowBlank="1" showInputMessage="1" showErrorMessage="1" sqref="H213">
      <formula1>$I$213:$L$213</formula1>
    </dataValidation>
    <dataValidation type="list" allowBlank="1" showInputMessage="1" showErrorMessage="1" sqref="H217">
      <formula1>$I$217:$K$217</formula1>
    </dataValidation>
    <dataValidation type="list" allowBlank="1" showInputMessage="1" showErrorMessage="1" sqref="H244">
      <formula1>$I$244:$J$244</formula1>
    </dataValidation>
    <dataValidation type="list" allowBlank="1" showInputMessage="1" showErrorMessage="1" sqref="H104">
      <formula1>$I$104:$L$104</formula1>
    </dataValidation>
    <dataValidation type="list" allowBlank="1" showInputMessage="1" showErrorMessage="1" sqref="H107">
      <formula1>$I$107:$L$107</formula1>
    </dataValidation>
    <dataValidation type="list" allowBlank="1" showInputMessage="1" showErrorMessage="1" sqref="H110">
      <formula1>$I$110:$L$110</formula1>
    </dataValidation>
    <dataValidation type="list" allowBlank="1" showInputMessage="1" showErrorMessage="1" sqref="H112">
      <formula1>$I$112:$L$112</formula1>
    </dataValidation>
    <dataValidation type="list" allowBlank="1" showInputMessage="1" showErrorMessage="1" sqref="H115">
      <formula1>$I$115:$L$115</formula1>
    </dataValidation>
    <dataValidation type="list" allowBlank="1" showInputMessage="1" showErrorMessage="1" sqref="H118">
      <formula1>$I$118:$L$118</formula1>
    </dataValidation>
    <dataValidation type="list" allowBlank="1" showInputMessage="1" showErrorMessage="1" sqref="H121">
      <formula1>$I$121:$L$121</formula1>
    </dataValidation>
    <dataValidation type="list" allowBlank="1" showInputMessage="1" showErrorMessage="1" sqref="H136">
      <formula1>$I$136:$K$136</formula1>
    </dataValidation>
    <dataValidation type="list" allowBlank="1" showInputMessage="1" showErrorMessage="1" sqref="H139">
      <formula1>$I$139:$K$139</formula1>
    </dataValidation>
    <dataValidation type="list" allowBlank="1" showInputMessage="1" showErrorMessage="1" sqref="H142">
      <formula1>$I$142:$K$142</formula1>
    </dataValidation>
    <dataValidation type="list" allowBlank="1" showInputMessage="1" showErrorMessage="1" sqref="H145">
      <formula1>$I$145:$L$145</formula1>
    </dataValidation>
    <dataValidation type="list" allowBlank="1" showInputMessage="1" showErrorMessage="1" sqref="H153">
      <formula1>$I$153:$K$153</formula1>
    </dataValidation>
    <dataValidation type="list" allowBlank="1" showInputMessage="1" showErrorMessage="1" sqref="H155">
      <formula1>$I$155:$K$155</formula1>
    </dataValidation>
    <dataValidation type="list" allowBlank="1" showInputMessage="1" showErrorMessage="1" sqref="H148">
      <formula1>$I$148:$L$148</formula1>
    </dataValidation>
    <dataValidation type="list" allowBlank="1" showInputMessage="1" showErrorMessage="1" sqref="H150">
      <formula1>$I$150:$K$150</formula1>
    </dataValidation>
    <dataValidation type="list" allowBlank="1" showInputMessage="1" showErrorMessage="1" sqref="H249 H260">
      <formula1>$I$249:$L$249</formula1>
    </dataValidation>
    <dataValidation type="list" allowBlank="1" showInputMessage="1" showErrorMessage="1" sqref="H262">
      <formula1>$I$262:$L$262</formula1>
    </dataValidation>
    <dataValidation type="list" allowBlank="1" showInputMessage="1" showErrorMessage="1" sqref="H253">
      <formula1>$I$253:$K$253</formula1>
    </dataValidation>
    <dataValidation type="list" allowBlank="1" showInputMessage="1" showErrorMessage="1" sqref="H255">
      <formula1>$I$255:$J$255</formula1>
    </dataValidation>
    <dataValidation type="list" allowBlank="1" showInputMessage="1" showErrorMessage="1" sqref="H257">
      <formula1>$I$257:$K$257</formula1>
    </dataValidation>
    <dataValidation type="list" allowBlank="1" showInputMessage="1" showErrorMessage="1" sqref="H203">
      <formula1>$I$203:$L$203</formula1>
    </dataValidation>
    <dataValidation type="list" allowBlank="1" showInputMessage="1" showErrorMessage="1" sqref="H206">
      <formula1>$I$206:$K$206</formula1>
    </dataValidation>
    <dataValidation type="list" allowBlank="1" showInputMessage="1" showErrorMessage="1" sqref="H251">
      <formula1>$K$251</formula1>
    </dataValidation>
    <dataValidation type="list" allowBlank="1" showInputMessage="1" showErrorMessage="1" sqref="H39">
      <formula1>$I$39:$K$39</formula1>
    </dataValidation>
    <dataValidation type="list" allowBlank="1" showInputMessage="1" showErrorMessage="1" sqref="H434 H36">
      <formula1>$I$434</formula1>
    </dataValidation>
    <dataValidation type="list" allowBlank="1" showInputMessage="1" showErrorMessage="1" sqref="H264">
      <formula1>$I$264:$K$264</formula1>
    </dataValidation>
    <dataValidation type="list" allowBlank="1" showInputMessage="1" showErrorMessage="1" sqref="H266">
      <formula1>$I$266:$J$266</formula1>
    </dataValidation>
    <dataValidation type="list" allowBlank="1" showInputMessage="1" showErrorMessage="1" sqref="H268">
      <formula1>$I$268:$K$268</formula1>
    </dataValidation>
  </dataValidations>
  <pageMargins left="0.51181102362204722" right="0.19685039370078741" top="0.59055118110236227" bottom="0.35433070866141736" header="0.39370078740157483" footer="0.19685039370078741"/>
  <pageSetup paperSize="9" scale="69" fitToHeight="0" orientation="portrait" r:id="rId1"/>
  <headerFooter alignWithMargins="0">
    <oddHeader>&amp;L&amp;"HG創英角ｺﾞｼｯｸUB,標準"&amp;12様式第１号 別紙２その１　建築設備計算書</oddHeader>
    <oddFooter>&amp;R&amp;D　&amp;T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13"/>
    <pageSetUpPr fitToPage="1"/>
  </sheetPr>
  <dimension ref="A1:AD131"/>
  <sheetViews>
    <sheetView topLeftCell="A13" zoomScaleNormal="100" workbookViewId="0">
      <selection activeCell="Y22" sqref="Y22"/>
    </sheetView>
  </sheetViews>
  <sheetFormatPr defaultRowHeight="11.25"/>
  <cols>
    <col min="1" max="1" width="4" style="1003" customWidth="1"/>
    <col min="2" max="2" width="4.33203125" style="973" customWidth="1"/>
    <col min="3" max="3" width="5.5" style="973" customWidth="1"/>
    <col min="4" max="4" width="3.33203125" style="973" customWidth="1"/>
    <col min="5" max="5" width="7" style="973" bestFit="1" customWidth="1"/>
    <col min="6" max="9" width="6" style="973" customWidth="1"/>
    <col min="10" max="10" width="12.5" style="973" bestFit="1" customWidth="1"/>
    <col min="11" max="11" width="12.1640625" style="973" bestFit="1" customWidth="1"/>
    <col min="12" max="12" width="4.1640625" style="973" customWidth="1"/>
    <col min="13" max="13" width="2" style="973" customWidth="1"/>
    <col min="14" max="14" width="4.1640625" style="973" customWidth="1"/>
    <col min="15" max="18" width="10.33203125" style="973" customWidth="1"/>
    <col min="19" max="19" width="8" style="973" bestFit="1" customWidth="1"/>
    <col min="20" max="20" width="10.33203125" style="973" bestFit="1" customWidth="1"/>
    <col min="21" max="21" width="7.83203125" style="973" bestFit="1" customWidth="1"/>
    <col min="22" max="22" width="6" style="973" bestFit="1" customWidth="1"/>
    <col min="23" max="23" width="13.1640625" style="973" bestFit="1" customWidth="1"/>
    <col min="24" max="24" width="8.33203125" style="973" bestFit="1" customWidth="1"/>
    <col min="25" max="16384" width="9.33203125" style="1003"/>
  </cols>
  <sheetData>
    <row r="1" spans="1:25" ht="26.25" customHeight="1">
      <c r="A1" s="3845" t="s">
        <v>1595</v>
      </c>
      <c r="B1" s="3845"/>
      <c r="C1" s="3845"/>
      <c r="D1" s="3845"/>
      <c r="E1" s="3845"/>
      <c r="F1" s="3845"/>
      <c r="G1" s="3845"/>
      <c r="H1" s="3845"/>
      <c r="I1" s="3845"/>
      <c r="J1" s="3845"/>
      <c r="K1" s="3845"/>
      <c r="L1" s="3845"/>
      <c r="M1" s="3845"/>
      <c r="N1" s="3845"/>
      <c r="O1" s="3845"/>
      <c r="P1" s="3845"/>
      <c r="Q1" s="3845"/>
      <c r="R1" s="3845"/>
      <c r="S1" s="3845"/>
      <c r="T1" s="3845"/>
      <c r="U1" s="3845"/>
      <c r="V1" s="3845"/>
      <c r="W1" s="3845"/>
      <c r="Y1" s="1003" t="s">
        <v>1619</v>
      </c>
    </row>
    <row r="2" spans="1:25" s="977" customFormat="1" ht="13.5">
      <c r="A2" s="972" t="s">
        <v>1299</v>
      </c>
      <c r="B2" s="972"/>
      <c r="C2" s="972"/>
      <c r="D2" s="972"/>
      <c r="E2" s="973"/>
      <c r="F2" s="973"/>
      <c r="G2" s="973"/>
      <c r="H2" s="973"/>
      <c r="I2" s="974"/>
      <c r="J2" s="974"/>
      <c r="K2" s="974"/>
      <c r="L2" s="974"/>
      <c r="M2" s="974"/>
      <c r="N2" s="974"/>
      <c r="O2" s="974"/>
      <c r="P2" s="974"/>
      <c r="Q2" s="974"/>
      <c r="R2" s="974"/>
      <c r="S2" s="974"/>
      <c r="T2" s="974"/>
      <c r="U2" s="975"/>
      <c r="V2" s="975"/>
      <c r="W2" s="975" t="s">
        <v>2200</v>
      </c>
      <c r="X2" s="976"/>
    </row>
    <row r="3" spans="1:25" s="977" customFormat="1" ht="12">
      <c r="A3" s="3852" t="s">
        <v>825</v>
      </c>
      <c r="B3" s="3853"/>
      <c r="C3" s="3853"/>
      <c r="D3" s="3853"/>
      <c r="E3" s="3853"/>
      <c r="F3" s="3853"/>
      <c r="G3" s="3853"/>
      <c r="H3" s="3853"/>
      <c r="I3" s="3854"/>
      <c r="J3" s="3792" t="s">
        <v>760</v>
      </c>
      <c r="K3" s="3792" t="s">
        <v>935</v>
      </c>
      <c r="L3" s="3793" t="s">
        <v>765</v>
      </c>
      <c r="M3" s="3793"/>
      <c r="N3" s="3793"/>
      <c r="O3" s="978"/>
      <c r="P3" s="979"/>
      <c r="Q3" s="979"/>
      <c r="R3" s="980"/>
      <c r="S3" s="3792" t="s">
        <v>936</v>
      </c>
      <c r="T3" s="3792" t="s">
        <v>976</v>
      </c>
      <c r="U3" s="3795" t="s">
        <v>291</v>
      </c>
      <c r="V3" s="3796"/>
      <c r="W3" s="3790" t="s">
        <v>762</v>
      </c>
      <c r="X3" s="981" t="b">
        <v>1</v>
      </c>
    </row>
    <row r="4" spans="1:25" s="977" customFormat="1" ht="12">
      <c r="A4" s="3855"/>
      <c r="B4" s="3856"/>
      <c r="C4" s="3856"/>
      <c r="D4" s="3856"/>
      <c r="E4" s="3856"/>
      <c r="F4" s="3856"/>
      <c r="G4" s="3856"/>
      <c r="H4" s="3856"/>
      <c r="I4" s="3857"/>
      <c r="J4" s="3791"/>
      <c r="K4" s="3791"/>
      <c r="L4" s="3794"/>
      <c r="M4" s="3794"/>
      <c r="N4" s="3794"/>
      <c r="O4" s="982" t="s">
        <v>292</v>
      </c>
      <c r="P4" s="983"/>
      <c r="Q4" s="983"/>
      <c r="R4" s="984"/>
      <c r="S4" s="3791"/>
      <c r="T4" s="3791"/>
      <c r="U4" s="3797"/>
      <c r="V4" s="3798"/>
      <c r="W4" s="3791"/>
      <c r="X4" s="981" t="b">
        <v>1</v>
      </c>
    </row>
    <row r="5" spans="1:25" s="977" customFormat="1" ht="12">
      <c r="A5" s="3846" t="s">
        <v>1968</v>
      </c>
      <c r="B5" s="3848" t="s">
        <v>297</v>
      </c>
      <c r="C5" s="3657" t="s">
        <v>1967</v>
      </c>
      <c r="D5" s="3658"/>
      <c r="E5" s="1938" t="s">
        <v>293</v>
      </c>
      <c r="F5" s="1939" t="s">
        <v>294</v>
      </c>
      <c r="G5" s="1939" t="s">
        <v>295</v>
      </c>
      <c r="H5" s="1939" t="s">
        <v>296</v>
      </c>
      <c r="I5" s="1940" t="s">
        <v>572</v>
      </c>
      <c r="J5" s="3450">
        <f>ROUNDDOWN(IF(U5&gt;C7,I7+(I6-I7)/(C6-C7)*(U5-C7),IF(U5&gt;C8,I8+(I7-I8)/(C7-C8)*(U5-C8),I8-(I8-I9)/(C8-C9)*(C8-U5))),-1)</f>
        <v>7070</v>
      </c>
      <c r="K5" s="3666" t="s">
        <v>299</v>
      </c>
      <c r="L5" s="3671"/>
      <c r="M5" s="3672"/>
      <c r="N5" s="3673"/>
      <c r="O5" s="985" t="s">
        <v>300</v>
      </c>
      <c r="P5" s="986" t="s">
        <v>301</v>
      </c>
      <c r="Q5" s="986" t="s">
        <v>302</v>
      </c>
      <c r="R5" s="987" t="s">
        <v>780</v>
      </c>
      <c r="S5" s="3616">
        <f>ROUNDDOWN(L8*L10,2)</f>
        <v>0</v>
      </c>
      <c r="T5" s="3659">
        <f>INT(J5*S5)</f>
        <v>0</v>
      </c>
      <c r="U5" s="3509">
        <f>+調書!E11</f>
        <v>0</v>
      </c>
      <c r="V5" s="3679" t="s">
        <v>1480</v>
      </c>
      <c r="W5" s="3659">
        <f>INT(T5*U5)</f>
        <v>0</v>
      </c>
      <c r="X5" s="976" t="b">
        <f>COUNTA(L5,L7,L9)&lt;&gt;0</f>
        <v>0</v>
      </c>
    </row>
    <row r="6" spans="1:25" s="977" customFormat="1">
      <c r="A6" s="3846"/>
      <c r="B6" s="3849"/>
      <c r="C6" s="1931">
        <v>200</v>
      </c>
      <c r="D6" s="1937" t="s">
        <v>1966</v>
      </c>
      <c r="E6" s="2453">
        <v>3160</v>
      </c>
      <c r="F6" s="2454">
        <f>IF(L$5="有",160,0)</f>
        <v>0</v>
      </c>
      <c r="G6" s="2454">
        <v>230</v>
      </c>
      <c r="H6" s="2454">
        <v>240</v>
      </c>
      <c r="I6" s="2455">
        <f>SUM(E6:H6)</f>
        <v>3630</v>
      </c>
      <c r="J6" s="3451"/>
      <c r="K6" s="3667"/>
      <c r="L6" s="3799"/>
      <c r="M6" s="3800"/>
      <c r="N6" s="3801"/>
      <c r="O6" s="988"/>
      <c r="P6" s="989"/>
      <c r="Q6" s="822" t="s">
        <v>303</v>
      </c>
      <c r="R6" s="815" t="s">
        <v>780</v>
      </c>
      <c r="S6" s="3685"/>
      <c r="T6" s="3670"/>
      <c r="U6" s="2907"/>
      <c r="V6" s="3787"/>
      <c r="W6" s="3670"/>
      <c r="X6" s="976" t="b">
        <f>+$X$5</f>
        <v>0</v>
      </c>
    </row>
    <row r="7" spans="1:25" s="977" customFormat="1">
      <c r="A7" s="3846"/>
      <c r="B7" s="3849"/>
      <c r="C7" s="1931">
        <v>150</v>
      </c>
      <c r="D7" s="1930" t="s">
        <v>298</v>
      </c>
      <c r="E7" s="2453">
        <v>3380</v>
      </c>
      <c r="F7" s="2454">
        <f>IF(L$5="有",220,0)</f>
        <v>0</v>
      </c>
      <c r="G7" s="2454">
        <v>300</v>
      </c>
      <c r="H7" s="2454">
        <v>330</v>
      </c>
      <c r="I7" s="2455">
        <f>SUM(E7:H7)</f>
        <v>4010</v>
      </c>
      <c r="J7" s="3451"/>
      <c r="K7" s="3666" t="s">
        <v>305</v>
      </c>
      <c r="L7" s="3671"/>
      <c r="M7" s="3672"/>
      <c r="N7" s="3673"/>
      <c r="O7" s="985" t="s">
        <v>533</v>
      </c>
      <c r="P7" s="986" t="s">
        <v>866</v>
      </c>
      <c r="Q7" s="986" t="s">
        <v>538</v>
      </c>
      <c r="R7" s="987" t="s">
        <v>780</v>
      </c>
      <c r="S7" s="3685"/>
      <c r="T7" s="3670"/>
      <c r="U7" s="2907"/>
      <c r="V7" s="3787"/>
      <c r="W7" s="3670"/>
      <c r="X7" s="976" t="b">
        <f t="shared" ref="X7:X10" si="0">+$X$5</f>
        <v>0</v>
      </c>
    </row>
    <row r="8" spans="1:25" s="977" customFormat="1">
      <c r="A8" s="3846"/>
      <c r="B8" s="3849"/>
      <c r="C8" s="1931">
        <v>100</v>
      </c>
      <c r="D8" s="1930" t="s">
        <v>304</v>
      </c>
      <c r="E8" s="2453">
        <v>3790</v>
      </c>
      <c r="F8" s="2454">
        <f>IF(L$5="有",330,0)</f>
        <v>0</v>
      </c>
      <c r="G8" s="2454">
        <v>390</v>
      </c>
      <c r="H8" s="2454">
        <v>420</v>
      </c>
      <c r="I8" s="2455">
        <f>SUM(E8:H8)</f>
        <v>4600</v>
      </c>
      <c r="J8" s="3451"/>
      <c r="K8" s="3667"/>
      <c r="L8" s="3661">
        <f>IF(L7="",0,HLOOKUP(L7,O7:R8,2,0))</f>
        <v>0</v>
      </c>
      <c r="M8" s="3662"/>
      <c r="N8" s="3663"/>
      <c r="O8" s="814">
        <v>1.3</v>
      </c>
      <c r="P8" s="822">
        <v>1</v>
      </c>
      <c r="Q8" s="822">
        <v>0.8</v>
      </c>
      <c r="R8" s="815" t="s">
        <v>780</v>
      </c>
      <c r="S8" s="3685"/>
      <c r="T8" s="3670"/>
      <c r="U8" s="2907"/>
      <c r="V8" s="3787"/>
      <c r="W8" s="3670"/>
      <c r="X8" s="976" t="b">
        <f t="shared" si="0"/>
        <v>0</v>
      </c>
    </row>
    <row r="9" spans="1:25" s="977" customFormat="1">
      <c r="A9" s="3846"/>
      <c r="B9" s="3849"/>
      <c r="C9" s="1931">
        <v>66</v>
      </c>
      <c r="D9" s="1930" t="s">
        <v>70</v>
      </c>
      <c r="E9" s="2453">
        <v>4410</v>
      </c>
      <c r="F9" s="2454">
        <f>IF(L$5="有",300,0)</f>
        <v>0</v>
      </c>
      <c r="G9" s="2454">
        <v>500</v>
      </c>
      <c r="H9" s="2454">
        <v>530</v>
      </c>
      <c r="I9" s="2455">
        <f>SUM(E9:H9)</f>
        <v>5440</v>
      </c>
      <c r="J9" s="3451"/>
      <c r="K9" s="3666" t="s">
        <v>850</v>
      </c>
      <c r="L9" s="3671"/>
      <c r="M9" s="3672"/>
      <c r="N9" s="3673"/>
      <c r="O9" s="985" t="s">
        <v>865</v>
      </c>
      <c r="P9" s="986" t="s">
        <v>866</v>
      </c>
      <c r="Q9" s="986" t="s">
        <v>867</v>
      </c>
      <c r="R9" s="987" t="s">
        <v>780</v>
      </c>
      <c r="S9" s="3685"/>
      <c r="T9" s="3670"/>
      <c r="U9" s="2907"/>
      <c r="V9" s="3787"/>
      <c r="W9" s="3670"/>
      <c r="X9" s="976" t="b">
        <f t="shared" si="0"/>
        <v>0</v>
      </c>
    </row>
    <row r="10" spans="1:25" s="977" customFormat="1">
      <c r="A10" s="3846"/>
      <c r="B10" s="3850"/>
      <c r="C10" s="1935"/>
      <c r="D10" s="1936"/>
      <c r="E10" s="2456"/>
      <c r="F10" s="2456"/>
      <c r="G10" s="2456"/>
      <c r="H10" s="2456"/>
      <c r="I10" s="2457"/>
      <c r="J10" s="3452"/>
      <c r="K10" s="3667"/>
      <c r="L10" s="3661">
        <f>IF(L9="",0,HLOOKUP(L9,O9:R10,2,0))</f>
        <v>0</v>
      </c>
      <c r="M10" s="3662"/>
      <c r="N10" s="3663"/>
      <c r="O10" s="814">
        <v>1.5</v>
      </c>
      <c r="P10" s="822">
        <v>1</v>
      </c>
      <c r="Q10" s="822">
        <v>0.7</v>
      </c>
      <c r="R10" s="815" t="s">
        <v>780</v>
      </c>
      <c r="S10" s="3688"/>
      <c r="T10" s="3660"/>
      <c r="U10" s="2490"/>
      <c r="V10" s="3684"/>
      <c r="W10" s="3660"/>
      <c r="X10" s="976" t="b">
        <f t="shared" si="0"/>
        <v>0</v>
      </c>
    </row>
    <row r="11" spans="1:25" s="977" customFormat="1" ht="12">
      <c r="A11" s="3846"/>
      <c r="B11" s="3851" t="s">
        <v>306</v>
      </c>
      <c r="C11" s="3657" t="s">
        <v>1967</v>
      </c>
      <c r="D11" s="3658"/>
      <c r="E11" s="1938" t="s">
        <v>293</v>
      </c>
      <c r="F11" s="1939" t="s">
        <v>294</v>
      </c>
      <c r="G11" s="1939" t="s">
        <v>295</v>
      </c>
      <c r="H11" s="1939" t="s">
        <v>296</v>
      </c>
      <c r="I11" s="1940" t="s">
        <v>572</v>
      </c>
      <c r="J11" s="3450">
        <f>ROUNDDOWN(IF(U11&gt;C13,I13+(I12-I13)/(C12-C13)*(U11-C13),I13-(I13-I14)/(C13-C14)*(C13-U11)),-1)</f>
        <v>8320</v>
      </c>
      <c r="K11" s="3666" t="s">
        <v>299</v>
      </c>
      <c r="L11" s="3671"/>
      <c r="M11" s="3672"/>
      <c r="N11" s="3673"/>
      <c r="O11" s="985" t="s">
        <v>300</v>
      </c>
      <c r="P11" s="986" t="s">
        <v>301</v>
      </c>
      <c r="Q11" s="986" t="s">
        <v>302</v>
      </c>
      <c r="R11" s="987" t="s">
        <v>780</v>
      </c>
      <c r="S11" s="3616">
        <f>ROUNDDOWN(L14*L16,2)</f>
        <v>0</v>
      </c>
      <c r="T11" s="3659">
        <f>INT(J11*S11)</f>
        <v>0</v>
      </c>
      <c r="U11" s="3509">
        <f>+調書!E11</f>
        <v>0</v>
      </c>
      <c r="V11" s="3679" t="s">
        <v>1480</v>
      </c>
      <c r="W11" s="3659">
        <f>INT(T11*U11)</f>
        <v>0</v>
      </c>
      <c r="X11" s="976" t="b">
        <f>COUNTA(L11,L13,L15)&lt;&gt;0</f>
        <v>0</v>
      </c>
    </row>
    <row r="12" spans="1:25" s="977" customFormat="1">
      <c r="A12" s="3846"/>
      <c r="B12" s="3849"/>
      <c r="C12" s="1931">
        <v>330</v>
      </c>
      <c r="D12" s="1930" t="s">
        <v>307</v>
      </c>
      <c r="E12" s="2453">
        <v>4210</v>
      </c>
      <c r="F12" s="2454">
        <f>IF(L$11="有",100,0)</f>
        <v>0</v>
      </c>
      <c r="G12" s="2454">
        <v>260</v>
      </c>
      <c r="H12" s="2454">
        <v>230</v>
      </c>
      <c r="I12" s="2455">
        <f>SUM(E12:H12)</f>
        <v>4700</v>
      </c>
      <c r="J12" s="3451"/>
      <c r="K12" s="3667"/>
      <c r="L12" s="3799"/>
      <c r="M12" s="3800"/>
      <c r="N12" s="3801"/>
      <c r="O12" s="988"/>
      <c r="P12" s="989"/>
      <c r="Q12" s="822" t="s">
        <v>303</v>
      </c>
      <c r="R12" s="815" t="s">
        <v>780</v>
      </c>
      <c r="S12" s="3685"/>
      <c r="T12" s="3670"/>
      <c r="U12" s="2907"/>
      <c r="V12" s="3787"/>
      <c r="W12" s="3670"/>
      <c r="X12" s="976" t="b">
        <f>+$X$11</f>
        <v>0</v>
      </c>
    </row>
    <row r="13" spans="1:25" s="977" customFormat="1">
      <c r="A13" s="3846"/>
      <c r="B13" s="3849"/>
      <c r="C13" s="1931">
        <v>165</v>
      </c>
      <c r="D13" s="1930" t="s">
        <v>304</v>
      </c>
      <c r="E13" s="2453">
        <v>4660</v>
      </c>
      <c r="F13" s="2454">
        <f>IF(L$11="有",200,0)</f>
        <v>0</v>
      </c>
      <c r="G13" s="2454">
        <v>430</v>
      </c>
      <c r="H13" s="2454">
        <v>470</v>
      </c>
      <c r="I13" s="2455">
        <f>SUM(E13:H13)</f>
        <v>5560</v>
      </c>
      <c r="J13" s="3451"/>
      <c r="K13" s="3666" t="s">
        <v>305</v>
      </c>
      <c r="L13" s="3671"/>
      <c r="M13" s="3672"/>
      <c r="N13" s="3673"/>
      <c r="O13" s="985" t="s">
        <v>533</v>
      </c>
      <c r="P13" s="986" t="s">
        <v>866</v>
      </c>
      <c r="Q13" s="986" t="s">
        <v>538</v>
      </c>
      <c r="R13" s="987" t="s">
        <v>780</v>
      </c>
      <c r="S13" s="3685"/>
      <c r="T13" s="3670"/>
      <c r="U13" s="2907"/>
      <c r="V13" s="3787"/>
      <c r="W13" s="3670"/>
      <c r="X13" s="976" t="b">
        <f t="shared" ref="X13:X16" si="1">+$X$11</f>
        <v>0</v>
      </c>
    </row>
    <row r="14" spans="1:25" s="977" customFormat="1">
      <c r="A14" s="3846"/>
      <c r="B14" s="3849"/>
      <c r="C14" s="1931">
        <v>82.5</v>
      </c>
      <c r="D14" s="1930" t="s">
        <v>70</v>
      </c>
      <c r="E14" s="2453">
        <v>5140</v>
      </c>
      <c r="F14" s="2454">
        <f>IF(L$11="有",400,0)</f>
        <v>0</v>
      </c>
      <c r="G14" s="2454">
        <v>860</v>
      </c>
      <c r="H14" s="2454">
        <v>940</v>
      </c>
      <c r="I14" s="2455">
        <f>SUM(E14:H14)</f>
        <v>6940</v>
      </c>
      <c r="J14" s="3451"/>
      <c r="K14" s="3667"/>
      <c r="L14" s="3661">
        <f>IF(L13="",0,HLOOKUP(L13,O13:R14,2,0))</f>
        <v>0</v>
      </c>
      <c r="M14" s="3662"/>
      <c r="N14" s="3663"/>
      <c r="O14" s="814">
        <v>1.3</v>
      </c>
      <c r="P14" s="822">
        <v>1</v>
      </c>
      <c r="Q14" s="822">
        <v>0.8</v>
      </c>
      <c r="R14" s="815" t="s">
        <v>780</v>
      </c>
      <c r="S14" s="3685"/>
      <c r="T14" s="3670"/>
      <c r="U14" s="2907"/>
      <c r="V14" s="3787"/>
      <c r="W14" s="3670"/>
      <c r="X14" s="976" t="b">
        <f t="shared" si="1"/>
        <v>0</v>
      </c>
    </row>
    <row r="15" spans="1:25" s="977" customFormat="1">
      <c r="A15" s="3846"/>
      <c r="B15" s="3849"/>
      <c r="C15" s="1932"/>
      <c r="D15" s="1933"/>
      <c r="E15" s="1933"/>
      <c r="F15" s="1933"/>
      <c r="G15" s="1933"/>
      <c r="H15" s="1933"/>
      <c r="I15" s="1934"/>
      <c r="J15" s="3451"/>
      <c r="K15" s="3666" t="s">
        <v>850</v>
      </c>
      <c r="L15" s="3671"/>
      <c r="M15" s="3672"/>
      <c r="N15" s="3673"/>
      <c r="O15" s="1270" t="s">
        <v>865</v>
      </c>
      <c r="P15" s="1271" t="s">
        <v>866</v>
      </c>
      <c r="Q15" s="1271" t="s">
        <v>867</v>
      </c>
      <c r="R15" s="1272" t="s">
        <v>780</v>
      </c>
      <c r="S15" s="3685"/>
      <c r="T15" s="3670"/>
      <c r="U15" s="2907"/>
      <c r="V15" s="3787"/>
      <c r="W15" s="3670"/>
      <c r="X15" s="976" t="b">
        <f t="shared" si="1"/>
        <v>0</v>
      </c>
    </row>
    <row r="16" spans="1:25" s="977" customFormat="1">
      <c r="A16" s="3847"/>
      <c r="B16" s="3850"/>
      <c r="C16" s="1935"/>
      <c r="D16" s="1936"/>
      <c r="E16" s="2456"/>
      <c r="F16" s="2456"/>
      <c r="G16" s="2456"/>
      <c r="H16" s="2456"/>
      <c r="I16" s="2457"/>
      <c r="J16" s="3452"/>
      <c r="K16" s="3667"/>
      <c r="L16" s="3661">
        <f>IF(L15="",0,HLOOKUP(L15,O15:R16,2,0))</f>
        <v>0</v>
      </c>
      <c r="M16" s="3662"/>
      <c r="N16" s="3663"/>
      <c r="O16" s="991">
        <v>1.5</v>
      </c>
      <c r="P16" s="933">
        <v>1</v>
      </c>
      <c r="Q16" s="933">
        <v>0.7</v>
      </c>
      <c r="R16" s="832" t="s">
        <v>780</v>
      </c>
      <c r="S16" s="3688"/>
      <c r="T16" s="3660"/>
      <c r="U16" s="2490"/>
      <c r="V16" s="3684"/>
      <c r="W16" s="3660"/>
      <c r="X16" s="976" t="b">
        <f t="shared" si="1"/>
        <v>0</v>
      </c>
    </row>
    <row r="17" spans="1:25" s="977" customFormat="1">
      <c r="A17" s="3734" t="s">
        <v>308</v>
      </c>
      <c r="B17" s="3715" t="s">
        <v>1513</v>
      </c>
      <c r="C17" s="3737"/>
      <c r="D17" s="3738"/>
      <c r="E17" s="3691" t="s">
        <v>1907</v>
      </c>
      <c r="F17" s="3692"/>
      <c r="G17" s="3692"/>
      <c r="H17" s="3692"/>
      <c r="I17" s="3693"/>
      <c r="J17" s="3664">
        <v>5640</v>
      </c>
      <c r="K17" s="3666" t="s">
        <v>850</v>
      </c>
      <c r="L17" s="3671"/>
      <c r="M17" s="3672"/>
      <c r="N17" s="3673"/>
      <c r="O17" s="1270" t="s">
        <v>855</v>
      </c>
      <c r="P17" s="1271" t="s">
        <v>822</v>
      </c>
      <c r="Q17" s="1271" t="s">
        <v>857</v>
      </c>
      <c r="R17" s="1272" t="s">
        <v>780</v>
      </c>
      <c r="S17" s="3616">
        <f>L18</f>
        <v>0</v>
      </c>
      <c r="T17" s="3659">
        <f>INT(J17*S17)</f>
        <v>0</v>
      </c>
      <c r="U17" s="3682"/>
      <c r="V17" s="3668" t="s">
        <v>864</v>
      </c>
      <c r="W17" s="3659">
        <f>INT(T17*U17)</f>
        <v>0</v>
      </c>
      <c r="X17" s="990" t="b">
        <f>COUNTA($L17,$U17)&lt;&gt;0</f>
        <v>0</v>
      </c>
      <c r="Y17" s="977" t="s">
        <v>1469</v>
      </c>
    </row>
    <row r="18" spans="1:25" s="977" customFormat="1">
      <c r="A18" s="3735"/>
      <c r="B18" s="3718"/>
      <c r="C18" s="3719"/>
      <c r="D18" s="3720"/>
      <c r="E18" s="3697"/>
      <c r="F18" s="3698"/>
      <c r="G18" s="3698"/>
      <c r="H18" s="3698"/>
      <c r="I18" s="3699"/>
      <c r="J18" s="3687"/>
      <c r="K18" s="3667"/>
      <c r="L18" s="3661">
        <f>IF(L17="",0,HLOOKUP(L17,O17:R18,2,0))</f>
        <v>0</v>
      </c>
      <c r="M18" s="3662"/>
      <c r="N18" s="3663"/>
      <c r="O18" s="991">
        <v>1.5</v>
      </c>
      <c r="P18" s="933">
        <v>1</v>
      </c>
      <c r="Q18" s="933">
        <v>0.7</v>
      </c>
      <c r="R18" s="832" t="s">
        <v>780</v>
      </c>
      <c r="S18" s="3688"/>
      <c r="T18" s="3660"/>
      <c r="U18" s="3683"/>
      <c r="V18" s="3684"/>
      <c r="W18" s="3660"/>
      <c r="X18" s="990" t="b">
        <f t="shared" ref="X18" si="2">X$17</f>
        <v>0</v>
      </c>
      <c r="Y18" s="977" t="s">
        <v>1909</v>
      </c>
    </row>
    <row r="19" spans="1:25" s="977" customFormat="1">
      <c r="A19" s="3735"/>
      <c r="B19" s="3718"/>
      <c r="C19" s="3719"/>
      <c r="D19" s="3720"/>
      <c r="E19" s="3691" t="s">
        <v>1908</v>
      </c>
      <c r="F19" s="3692"/>
      <c r="G19" s="3692"/>
      <c r="H19" s="3692"/>
      <c r="I19" s="3693"/>
      <c r="J19" s="3664">
        <v>5570</v>
      </c>
      <c r="K19" s="3666" t="s">
        <v>850</v>
      </c>
      <c r="L19" s="3671"/>
      <c r="M19" s="3672"/>
      <c r="N19" s="3673"/>
      <c r="O19" s="1270" t="s">
        <v>855</v>
      </c>
      <c r="P19" s="1271" t="s">
        <v>822</v>
      </c>
      <c r="Q19" s="1271" t="s">
        <v>857</v>
      </c>
      <c r="R19" s="1272" t="s">
        <v>780</v>
      </c>
      <c r="S19" s="3616">
        <f>L20</f>
        <v>0</v>
      </c>
      <c r="T19" s="3659">
        <f>INT(J19*S19)</f>
        <v>0</v>
      </c>
      <c r="U19" s="3682"/>
      <c r="V19" s="3668" t="s">
        <v>864</v>
      </c>
      <c r="W19" s="3659">
        <f>INT(T19*U19)</f>
        <v>0</v>
      </c>
      <c r="X19" s="990" t="b">
        <f>COUNTA($L19,$U19)&lt;&gt;0</f>
        <v>0</v>
      </c>
    </row>
    <row r="20" spans="1:25" s="977" customFormat="1">
      <c r="A20" s="3735"/>
      <c r="B20" s="3718"/>
      <c r="C20" s="3719"/>
      <c r="D20" s="3720"/>
      <c r="E20" s="3697"/>
      <c r="F20" s="3698"/>
      <c r="G20" s="3698"/>
      <c r="H20" s="3698"/>
      <c r="I20" s="3699"/>
      <c r="J20" s="3687"/>
      <c r="K20" s="3667"/>
      <c r="L20" s="3661">
        <f>IF(L19="",0,HLOOKUP(L19,O19:R20,2,0))</f>
        <v>0</v>
      </c>
      <c r="M20" s="3662"/>
      <c r="N20" s="3663"/>
      <c r="O20" s="991">
        <v>1.5</v>
      </c>
      <c r="P20" s="933">
        <v>1</v>
      </c>
      <c r="Q20" s="933">
        <v>0.7</v>
      </c>
      <c r="R20" s="832" t="s">
        <v>780</v>
      </c>
      <c r="S20" s="3688"/>
      <c r="T20" s="3660"/>
      <c r="U20" s="3683"/>
      <c r="V20" s="3684"/>
      <c r="W20" s="3660"/>
      <c r="X20" s="990" t="b">
        <f>X$19</f>
        <v>0</v>
      </c>
    </row>
    <row r="21" spans="1:25" s="977" customFormat="1">
      <c r="A21" s="3735"/>
      <c r="B21" s="3718"/>
      <c r="C21" s="3719"/>
      <c r="D21" s="3720"/>
      <c r="E21" s="3691" t="s">
        <v>1512</v>
      </c>
      <c r="F21" s="3692"/>
      <c r="G21" s="3692"/>
      <c r="H21" s="3692"/>
      <c r="I21" s="3693"/>
      <c r="J21" s="3664">
        <v>8810</v>
      </c>
      <c r="K21" s="3666" t="s">
        <v>850</v>
      </c>
      <c r="L21" s="3671"/>
      <c r="M21" s="3672"/>
      <c r="N21" s="3673"/>
      <c r="O21" s="1270" t="s">
        <v>855</v>
      </c>
      <c r="P21" s="1271" t="s">
        <v>309</v>
      </c>
      <c r="Q21" s="1271" t="s">
        <v>822</v>
      </c>
      <c r="R21" s="1272" t="s">
        <v>857</v>
      </c>
      <c r="S21" s="3616">
        <f>L22</f>
        <v>0</v>
      </c>
      <c r="T21" s="3659">
        <f>INT(J21*S21)</f>
        <v>0</v>
      </c>
      <c r="U21" s="3818"/>
      <c r="V21" s="3668" t="s">
        <v>864</v>
      </c>
      <c r="W21" s="3659">
        <f>INT(T21*U21)</f>
        <v>0</v>
      </c>
      <c r="X21" s="990" t="b">
        <f>COUNTA($L21,$U21)&lt;&gt;0</f>
        <v>0</v>
      </c>
      <c r="Y21" s="977" t="s">
        <v>1470</v>
      </c>
    </row>
    <row r="22" spans="1:25" s="977" customFormat="1">
      <c r="A22" s="3735"/>
      <c r="B22" s="3751"/>
      <c r="C22" s="3752"/>
      <c r="D22" s="3753"/>
      <c r="E22" s="3697"/>
      <c r="F22" s="3698"/>
      <c r="G22" s="3698"/>
      <c r="H22" s="3698"/>
      <c r="I22" s="3699"/>
      <c r="J22" s="3687"/>
      <c r="K22" s="3667"/>
      <c r="L22" s="3661">
        <f>IF(L21="",0,HLOOKUP(L21,O21:R22,2,0))</f>
        <v>0</v>
      </c>
      <c r="M22" s="3662"/>
      <c r="N22" s="3663"/>
      <c r="O22" s="991">
        <v>1.5</v>
      </c>
      <c r="P22" s="933">
        <v>1.3</v>
      </c>
      <c r="Q22" s="933">
        <v>1</v>
      </c>
      <c r="R22" s="832">
        <v>0.7</v>
      </c>
      <c r="S22" s="3688"/>
      <c r="T22" s="3660"/>
      <c r="U22" s="3819"/>
      <c r="V22" s="3684"/>
      <c r="W22" s="3660"/>
      <c r="X22" s="990" t="b">
        <f>+$X$21</f>
        <v>0</v>
      </c>
      <c r="Y22" s="977" t="s">
        <v>2380</v>
      </c>
    </row>
    <row r="23" spans="1:25" s="977" customFormat="1" ht="12" customHeight="1">
      <c r="A23" s="3735"/>
      <c r="B23" s="3715" t="s">
        <v>1514</v>
      </c>
      <c r="C23" s="3737"/>
      <c r="D23" s="3738"/>
      <c r="E23" s="3754" t="s">
        <v>2287</v>
      </c>
      <c r="F23" s="3755"/>
      <c r="G23" s="3760" t="s">
        <v>1490</v>
      </c>
      <c r="H23" s="3761"/>
      <c r="I23" s="3766"/>
      <c r="J23" s="3831">
        <f>IF(ISBLANK(I23),0,+(I23-2)*(J26-J25)+J26)</f>
        <v>0</v>
      </c>
      <c r="K23" s="3839" t="s">
        <v>850</v>
      </c>
      <c r="L23" s="3671"/>
      <c r="M23" s="3672"/>
      <c r="N23" s="3673"/>
      <c r="O23" s="1270" t="s">
        <v>855</v>
      </c>
      <c r="P23" s="1271" t="s">
        <v>822</v>
      </c>
      <c r="Q23" s="1271" t="s">
        <v>857</v>
      </c>
      <c r="R23" s="1272" t="s">
        <v>780</v>
      </c>
      <c r="S23" s="3788">
        <f>L24</f>
        <v>0</v>
      </c>
      <c r="T23" s="3813">
        <f>INT(J23*S23)</f>
        <v>0</v>
      </c>
      <c r="U23" s="3858"/>
      <c r="V23" s="3825" t="s">
        <v>1126</v>
      </c>
      <c r="W23" s="3813">
        <f>INT(T23*U23)</f>
        <v>0</v>
      </c>
      <c r="X23" s="990" t="b">
        <f>COUNTA($I$23,$L$23,$U23)&lt;&gt;0</f>
        <v>0</v>
      </c>
      <c r="Y23" s="977" t="s">
        <v>1471</v>
      </c>
    </row>
    <row r="24" spans="1:25" s="977" customFormat="1" ht="12" customHeight="1">
      <c r="A24" s="3735"/>
      <c r="B24" s="3718"/>
      <c r="C24" s="3719"/>
      <c r="D24" s="3720"/>
      <c r="E24" s="3756"/>
      <c r="F24" s="3757"/>
      <c r="G24" s="3762"/>
      <c r="H24" s="3763"/>
      <c r="I24" s="3767"/>
      <c r="J24" s="3832"/>
      <c r="K24" s="3840"/>
      <c r="L24" s="3822">
        <f>IF(L23="",0,HLOOKUP(L23,O23:R24,2,0))</f>
        <v>0</v>
      </c>
      <c r="M24" s="3823"/>
      <c r="N24" s="3824"/>
      <c r="O24" s="1731">
        <v>1.5</v>
      </c>
      <c r="P24" s="1732">
        <v>1</v>
      </c>
      <c r="Q24" s="1732">
        <v>0.7</v>
      </c>
      <c r="R24" s="1733" t="s">
        <v>780</v>
      </c>
      <c r="S24" s="3828"/>
      <c r="T24" s="3814"/>
      <c r="U24" s="3859"/>
      <c r="V24" s="3826"/>
      <c r="W24" s="3814"/>
      <c r="X24" s="1806" t="b">
        <f>+$X$23</f>
        <v>0</v>
      </c>
    </row>
    <row r="25" spans="1:25" s="977" customFormat="1" ht="12" customHeight="1">
      <c r="A25" s="3735"/>
      <c r="B25" s="3718"/>
      <c r="C25" s="3719"/>
      <c r="D25" s="3720"/>
      <c r="E25" s="3756"/>
      <c r="F25" s="3757"/>
      <c r="G25" s="3762"/>
      <c r="H25" s="3763"/>
      <c r="I25" s="2458">
        <v>1</v>
      </c>
      <c r="J25" s="2459">
        <v>20240</v>
      </c>
      <c r="K25" s="3833" t="s">
        <v>1489</v>
      </c>
      <c r="L25" s="3834"/>
      <c r="M25" s="3834"/>
      <c r="N25" s="3834"/>
      <c r="O25" s="3834"/>
      <c r="P25" s="3834"/>
      <c r="Q25" s="3834"/>
      <c r="R25" s="3835"/>
      <c r="S25" s="3828"/>
      <c r="T25" s="3814"/>
      <c r="U25" s="3859"/>
      <c r="V25" s="3826"/>
      <c r="W25" s="3814"/>
      <c r="X25" s="1734" t="b">
        <v>0</v>
      </c>
    </row>
    <row r="26" spans="1:25" s="977" customFormat="1" ht="12" customHeight="1">
      <c r="A26" s="3735"/>
      <c r="B26" s="3739"/>
      <c r="C26" s="3740"/>
      <c r="D26" s="3741"/>
      <c r="E26" s="3758"/>
      <c r="F26" s="3759"/>
      <c r="G26" s="3764"/>
      <c r="H26" s="3765"/>
      <c r="I26" s="2460">
        <v>2</v>
      </c>
      <c r="J26" s="2461">
        <v>33150</v>
      </c>
      <c r="K26" s="3836"/>
      <c r="L26" s="3837"/>
      <c r="M26" s="3837"/>
      <c r="N26" s="3837"/>
      <c r="O26" s="3837"/>
      <c r="P26" s="3837"/>
      <c r="Q26" s="3837"/>
      <c r="R26" s="3838"/>
      <c r="S26" s="3829"/>
      <c r="T26" s="3815"/>
      <c r="U26" s="3860"/>
      <c r="V26" s="3827"/>
      <c r="W26" s="3815"/>
      <c r="X26" s="1734" t="b">
        <v>0</v>
      </c>
    </row>
    <row r="27" spans="1:25" s="977" customFormat="1" ht="11.25" customHeight="1">
      <c r="A27" s="3735"/>
      <c r="B27" s="3742" t="s">
        <v>1515</v>
      </c>
      <c r="C27" s="3743"/>
      <c r="D27" s="3744"/>
      <c r="E27" s="3724" t="s">
        <v>1509</v>
      </c>
      <c r="F27" s="3768"/>
      <c r="G27" s="3773" t="s">
        <v>1510</v>
      </c>
      <c r="H27" s="3774"/>
      <c r="I27" s="3775"/>
      <c r="J27" s="3841">
        <v>5730</v>
      </c>
      <c r="K27" s="3666" t="s">
        <v>850</v>
      </c>
      <c r="L27" s="3671"/>
      <c r="M27" s="3672"/>
      <c r="N27" s="3673"/>
      <c r="O27" s="1270" t="s">
        <v>855</v>
      </c>
      <c r="P27" s="1271" t="s">
        <v>822</v>
      </c>
      <c r="Q27" s="1271" t="s">
        <v>857</v>
      </c>
      <c r="R27" s="1272" t="s">
        <v>780</v>
      </c>
      <c r="S27" s="3788">
        <f>L28</f>
        <v>0</v>
      </c>
      <c r="T27" s="3816">
        <f>INT(J27*S27)</f>
        <v>0</v>
      </c>
      <c r="U27" s="3682"/>
      <c r="V27" s="3843" t="s">
        <v>310</v>
      </c>
      <c r="W27" s="3816">
        <f>INT(T27*U27)</f>
        <v>0</v>
      </c>
      <c r="X27" s="990" t="b">
        <f>COUNTA($L27,$U27)&lt;&gt;0</f>
        <v>0</v>
      </c>
      <c r="Y27" s="977" t="s">
        <v>1473</v>
      </c>
    </row>
    <row r="28" spans="1:25" s="977" customFormat="1" ht="11.25" customHeight="1">
      <c r="A28" s="3735"/>
      <c r="B28" s="3745"/>
      <c r="C28" s="3746"/>
      <c r="D28" s="3747"/>
      <c r="E28" s="3769"/>
      <c r="F28" s="3770"/>
      <c r="G28" s="3773"/>
      <c r="H28" s="3774"/>
      <c r="I28" s="3775"/>
      <c r="J28" s="3842"/>
      <c r="K28" s="3667"/>
      <c r="L28" s="3822">
        <f>IF(L27="",0,HLOOKUP(L27,O27:R28,2,0))</f>
        <v>0</v>
      </c>
      <c r="M28" s="3823"/>
      <c r="N28" s="3824"/>
      <c r="O28" s="1731">
        <v>1.5</v>
      </c>
      <c r="P28" s="1732">
        <v>1</v>
      </c>
      <c r="Q28" s="1732">
        <v>0.7</v>
      </c>
      <c r="R28" s="1733" t="s">
        <v>780</v>
      </c>
      <c r="S28" s="3789"/>
      <c r="T28" s="3817"/>
      <c r="U28" s="3683"/>
      <c r="V28" s="3844"/>
      <c r="W28" s="3817"/>
      <c r="X28" s="990" t="b">
        <f>+$X$27</f>
        <v>0</v>
      </c>
    </row>
    <row r="29" spans="1:25" s="977" customFormat="1" ht="11.25" customHeight="1">
      <c r="A29" s="3735"/>
      <c r="B29" s="3745"/>
      <c r="C29" s="3746"/>
      <c r="D29" s="3747"/>
      <c r="E29" s="3769"/>
      <c r="F29" s="3770"/>
      <c r="G29" s="3773" t="s">
        <v>1511</v>
      </c>
      <c r="H29" s="3774"/>
      <c r="I29" s="3775"/>
      <c r="J29" s="3841">
        <v>2600</v>
      </c>
      <c r="K29" s="3666" t="s">
        <v>850</v>
      </c>
      <c r="L29" s="3671"/>
      <c r="M29" s="3672"/>
      <c r="N29" s="3673"/>
      <c r="O29" s="1270" t="s">
        <v>855</v>
      </c>
      <c r="P29" s="1271" t="s">
        <v>822</v>
      </c>
      <c r="Q29" s="1271" t="s">
        <v>857</v>
      </c>
      <c r="R29" s="1272" t="s">
        <v>780</v>
      </c>
      <c r="S29" s="3788">
        <f>L30</f>
        <v>0</v>
      </c>
      <c r="T29" s="3816">
        <f>INT(J29*S29)</f>
        <v>0</v>
      </c>
      <c r="U29" s="3682"/>
      <c r="V29" s="3843" t="s">
        <v>310</v>
      </c>
      <c r="W29" s="3816">
        <f>INT(T29*U29)</f>
        <v>0</v>
      </c>
      <c r="X29" s="990" t="b">
        <f>COUNTA($L29,$U29)&lt;&gt;0</f>
        <v>0</v>
      </c>
    </row>
    <row r="30" spans="1:25" s="977" customFormat="1" ht="11.25" customHeight="1">
      <c r="A30" s="3735"/>
      <c r="B30" s="3745"/>
      <c r="C30" s="3746"/>
      <c r="D30" s="3747"/>
      <c r="E30" s="3771"/>
      <c r="F30" s="3772"/>
      <c r="G30" s="3773"/>
      <c r="H30" s="3774"/>
      <c r="I30" s="3775"/>
      <c r="J30" s="3842"/>
      <c r="K30" s="3667"/>
      <c r="L30" s="3822">
        <f>IF(L29="",0,HLOOKUP(L29,O29:R30,2,0))</f>
        <v>0</v>
      </c>
      <c r="M30" s="3823"/>
      <c r="N30" s="3824"/>
      <c r="O30" s="1731">
        <v>1.5</v>
      </c>
      <c r="P30" s="1732">
        <v>1</v>
      </c>
      <c r="Q30" s="1732">
        <v>0.7</v>
      </c>
      <c r="R30" s="1733" t="s">
        <v>780</v>
      </c>
      <c r="S30" s="3789"/>
      <c r="T30" s="3817"/>
      <c r="U30" s="3683"/>
      <c r="V30" s="3844"/>
      <c r="W30" s="3817"/>
      <c r="X30" s="990" t="b">
        <f>+$X$29</f>
        <v>0</v>
      </c>
    </row>
    <row r="31" spans="1:25" s="977" customFormat="1" ht="11.25" customHeight="1">
      <c r="A31" s="3735"/>
      <c r="B31" s="3745"/>
      <c r="C31" s="3746"/>
      <c r="D31" s="3747"/>
      <c r="E31" s="3691" t="s">
        <v>1508</v>
      </c>
      <c r="F31" s="3692"/>
      <c r="G31" s="3692"/>
      <c r="H31" s="3692"/>
      <c r="I31" s="3693"/>
      <c r="J31" s="3841">
        <v>1560</v>
      </c>
      <c r="K31" s="3666" t="s">
        <v>850</v>
      </c>
      <c r="L31" s="3671"/>
      <c r="M31" s="3672"/>
      <c r="N31" s="3673"/>
      <c r="O31" s="1270" t="s">
        <v>855</v>
      </c>
      <c r="P31" s="1271" t="s">
        <v>822</v>
      </c>
      <c r="Q31" s="1271" t="s">
        <v>857</v>
      </c>
      <c r="R31" s="1272" t="s">
        <v>780</v>
      </c>
      <c r="S31" s="3788">
        <f>L32</f>
        <v>0</v>
      </c>
      <c r="T31" s="3816">
        <f>INT(J31*S31)</f>
        <v>0</v>
      </c>
      <c r="U31" s="3682"/>
      <c r="V31" s="3820" t="s">
        <v>1488</v>
      </c>
      <c r="W31" s="3816">
        <f>INT(T31*U31)</f>
        <v>0</v>
      </c>
      <c r="X31" s="990" t="b">
        <f>OR(COUNTA($L31,$U31)&lt;&gt;0,X39,X45)</f>
        <v>0</v>
      </c>
      <c r="Y31" s="977" t="s">
        <v>1472</v>
      </c>
    </row>
    <row r="32" spans="1:25" s="977" customFormat="1" ht="11.25" customHeight="1">
      <c r="A32" s="3735"/>
      <c r="B32" s="3748"/>
      <c r="C32" s="3749"/>
      <c r="D32" s="3750"/>
      <c r="E32" s="3697"/>
      <c r="F32" s="3698"/>
      <c r="G32" s="3698"/>
      <c r="H32" s="3698"/>
      <c r="I32" s="3699"/>
      <c r="J32" s="3842"/>
      <c r="K32" s="3667"/>
      <c r="L32" s="3822">
        <f>IF(L31="",0,HLOOKUP(L31,O31:R32,2,0))</f>
        <v>0</v>
      </c>
      <c r="M32" s="3823"/>
      <c r="N32" s="3824"/>
      <c r="O32" s="1731">
        <v>1.5</v>
      </c>
      <c r="P32" s="1732">
        <v>1</v>
      </c>
      <c r="Q32" s="1732">
        <v>0.7</v>
      </c>
      <c r="R32" s="1733" t="s">
        <v>780</v>
      </c>
      <c r="S32" s="3789"/>
      <c r="T32" s="3817"/>
      <c r="U32" s="3683"/>
      <c r="V32" s="3821"/>
      <c r="W32" s="3817"/>
      <c r="X32" s="990" t="b">
        <f>+$X$31</f>
        <v>0</v>
      </c>
    </row>
    <row r="33" spans="1:30" s="977" customFormat="1">
      <c r="A33" s="3735"/>
      <c r="B33" s="3715" t="s">
        <v>1516</v>
      </c>
      <c r="C33" s="3737"/>
      <c r="D33" s="3738"/>
      <c r="E33" s="3715" t="s">
        <v>1507</v>
      </c>
      <c r="F33" s="3737"/>
      <c r="G33" s="3737"/>
      <c r="H33" s="3737"/>
      <c r="I33" s="3738"/>
      <c r="J33" s="3664">
        <v>7110</v>
      </c>
      <c r="K33" s="3666" t="s">
        <v>850</v>
      </c>
      <c r="L33" s="3671"/>
      <c r="M33" s="3672"/>
      <c r="N33" s="3673"/>
      <c r="O33" s="1270" t="s">
        <v>855</v>
      </c>
      <c r="P33" s="1271" t="s">
        <v>822</v>
      </c>
      <c r="Q33" s="1271" t="s">
        <v>857</v>
      </c>
      <c r="R33" s="1272" t="s">
        <v>780</v>
      </c>
      <c r="S33" s="3616">
        <f>L34</f>
        <v>0</v>
      </c>
      <c r="T33" s="3659">
        <f>INT(J33*S33)</f>
        <v>0</v>
      </c>
      <c r="U33" s="3682"/>
      <c r="V33" s="3668" t="s">
        <v>864</v>
      </c>
      <c r="W33" s="3659">
        <f>INT(T33*U33)</f>
        <v>0</v>
      </c>
      <c r="X33" s="990" t="b">
        <f>COUNTA($L33,$U33)&lt;&gt;0</f>
        <v>0</v>
      </c>
    </row>
    <row r="34" spans="1:30" s="977" customFormat="1">
      <c r="A34" s="3736"/>
      <c r="B34" s="3751"/>
      <c r="C34" s="3752"/>
      <c r="D34" s="3753"/>
      <c r="E34" s="3751"/>
      <c r="F34" s="3752"/>
      <c r="G34" s="3752"/>
      <c r="H34" s="3752"/>
      <c r="I34" s="3753"/>
      <c r="J34" s="3687"/>
      <c r="K34" s="3667"/>
      <c r="L34" s="3661">
        <f>IF(L33="",0,HLOOKUP(L33,O33:R34,2,0))</f>
        <v>0</v>
      </c>
      <c r="M34" s="3662"/>
      <c r="N34" s="3663"/>
      <c r="O34" s="991">
        <v>1.5</v>
      </c>
      <c r="P34" s="933">
        <v>1</v>
      </c>
      <c r="Q34" s="933">
        <v>0.7</v>
      </c>
      <c r="R34" s="832" t="s">
        <v>780</v>
      </c>
      <c r="S34" s="3688"/>
      <c r="T34" s="3660"/>
      <c r="U34" s="3683"/>
      <c r="V34" s="3684"/>
      <c r="W34" s="3660"/>
      <c r="X34" s="990" t="b">
        <f>+$X$33</f>
        <v>0</v>
      </c>
    </row>
    <row r="35" spans="1:30" s="977" customFormat="1">
      <c r="A35" s="3781" t="s">
        <v>311</v>
      </c>
      <c r="B35" s="3718" t="s">
        <v>1517</v>
      </c>
      <c r="C35" s="3719"/>
      <c r="D35" s="3720"/>
      <c r="E35" s="3694" t="s">
        <v>1506</v>
      </c>
      <c r="F35" s="3695"/>
      <c r="G35" s="3695"/>
      <c r="H35" s="3695"/>
      <c r="I35" s="3830"/>
      <c r="J35" s="3665">
        <v>46810</v>
      </c>
      <c r="K35" s="3674" t="s">
        <v>850</v>
      </c>
      <c r="L35" s="3802"/>
      <c r="M35" s="3803"/>
      <c r="N35" s="3804"/>
      <c r="O35" s="1273" t="s">
        <v>780</v>
      </c>
      <c r="P35" s="1274" t="s">
        <v>1143</v>
      </c>
      <c r="Q35" s="1274" t="s">
        <v>312</v>
      </c>
      <c r="R35" s="1275" t="s">
        <v>780</v>
      </c>
      <c r="S35" s="3685">
        <f>L36</f>
        <v>0</v>
      </c>
      <c r="T35" s="3670">
        <f>INT(J35*S35)</f>
        <v>0</v>
      </c>
      <c r="U35" s="3686"/>
      <c r="V35" s="3787" t="s">
        <v>313</v>
      </c>
      <c r="W35" s="3670">
        <f>INT(T35*U35)</f>
        <v>0</v>
      </c>
      <c r="X35" s="990" t="b">
        <f>COUNTA($L35,$U35)&lt;&gt;0</f>
        <v>0</v>
      </c>
    </row>
    <row r="36" spans="1:30" s="977" customFormat="1">
      <c r="A36" s="3782"/>
      <c r="B36" s="3751"/>
      <c r="C36" s="3752"/>
      <c r="D36" s="3753"/>
      <c r="E36" s="3697"/>
      <c r="F36" s="3698"/>
      <c r="G36" s="3698"/>
      <c r="H36" s="3698"/>
      <c r="I36" s="3699"/>
      <c r="J36" s="3687"/>
      <c r="K36" s="3667"/>
      <c r="L36" s="3661">
        <f>IF(L35="",0,HLOOKUP(L35,O35:R36,2,0))</f>
        <v>0</v>
      </c>
      <c r="M36" s="3662"/>
      <c r="N36" s="3663"/>
      <c r="O36" s="991" t="s">
        <v>780</v>
      </c>
      <c r="P36" s="933">
        <v>1</v>
      </c>
      <c r="Q36" s="933">
        <v>0.3</v>
      </c>
      <c r="R36" s="832" t="s">
        <v>780</v>
      </c>
      <c r="S36" s="3688"/>
      <c r="T36" s="3660"/>
      <c r="U36" s="3683"/>
      <c r="V36" s="3684"/>
      <c r="W36" s="3660"/>
      <c r="X36" s="990" t="b">
        <f>+$X35</f>
        <v>0</v>
      </c>
    </row>
    <row r="37" spans="1:30" s="977" customFormat="1" ht="11.25" customHeight="1">
      <c r="A37" s="3782"/>
      <c r="B37" s="3742" t="s">
        <v>1515</v>
      </c>
      <c r="C37" s="3776"/>
      <c r="D37" s="3777"/>
      <c r="E37" s="3691" t="s">
        <v>1505</v>
      </c>
      <c r="F37" s="3692"/>
      <c r="G37" s="3692"/>
      <c r="H37" s="3692"/>
      <c r="I37" s="3693"/>
      <c r="J37" s="3664">
        <v>960</v>
      </c>
      <c r="K37" s="3666" t="s">
        <v>850</v>
      </c>
      <c r="L37" s="3671"/>
      <c r="M37" s="3672"/>
      <c r="N37" s="3673"/>
      <c r="O37" s="1270" t="s">
        <v>855</v>
      </c>
      <c r="P37" s="1271" t="s">
        <v>822</v>
      </c>
      <c r="Q37" s="1271" t="s">
        <v>857</v>
      </c>
      <c r="R37" s="1272" t="s">
        <v>780</v>
      </c>
      <c r="S37" s="3616">
        <f>L38</f>
        <v>0</v>
      </c>
      <c r="T37" s="3659">
        <f>INT(J37*S37)</f>
        <v>0</v>
      </c>
      <c r="U37" s="3682"/>
      <c r="V37" s="3668" t="s">
        <v>864</v>
      </c>
      <c r="W37" s="3659">
        <f>INT(T37*U37)</f>
        <v>0</v>
      </c>
      <c r="X37" s="990" t="b">
        <f>COUNTA($L37,$U37)&lt;&gt;0</f>
        <v>0</v>
      </c>
      <c r="Y37" s="977" t="s">
        <v>1468</v>
      </c>
    </row>
    <row r="38" spans="1:30" s="977" customFormat="1" ht="11.25" customHeight="1">
      <c r="A38" s="3782"/>
      <c r="B38" s="3745"/>
      <c r="C38" s="3746"/>
      <c r="D38" s="3747"/>
      <c r="E38" s="3697"/>
      <c r="F38" s="3698"/>
      <c r="G38" s="3698"/>
      <c r="H38" s="3698"/>
      <c r="I38" s="3699"/>
      <c r="J38" s="3687"/>
      <c r="K38" s="3667"/>
      <c r="L38" s="3661">
        <f>IF(L37="",0,HLOOKUP(L37,O37:R38,2,0))</f>
        <v>0</v>
      </c>
      <c r="M38" s="3662"/>
      <c r="N38" s="3663"/>
      <c r="O38" s="991">
        <v>1.3</v>
      </c>
      <c r="P38" s="933">
        <v>1</v>
      </c>
      <c r="Q38" s="933">
        <v>0.7</v>
      </c>
      <c r="R38" s="832" t="s">
        <v>780</v>
      </c>
      <c r="S38" s="3688"/>
      <c r="T38" s="3660"/>
      <c r="U38" s="3683"/>
      <c r="V38" s="3684"/>
      <c r="W38" s="3660"/>
      <c r="X38" s="990" t="b">
        <f>+$X37</f>
        <v>0</v>
      </c>
    </row>
    <row r="39" spans="1:30" s="977" customFormat="1" ht="11.25" customHeight="1">
      <c r="A39" s="3782"/>
      <c r="B39" s="3745"/>
      <c r="C39" s="3746"/>
      <c r="D39" s="3747"/>
      <c r="E39" s="3691" t="s">
        <v>1423</v>
      </c>
      <c r="F39" s="3692"/>
      <c r="G39" s="3692"/>
      <c r="H39" s="3692"/>
      <c r="I39" s="3693"/>
      <c r="J39" s="3664">
        <v>223000</v>
      </c>
      <c r="K39" s="3666" t="s">
        <v>315</v>
      </c>
      <c r="L39" s="3784"/>
      <c r="M39" s="3785"/>
      <c r="N39" s="3786"/>
      <c r="O39" s="2295">
        <v>28</v>
      </c>
      <c r="P39" s="2296">
        <v>24</v>
      </c>
      <c r="Q39" s="2296">
        <v>20</v>
      </c>
      <c r="R39" s="1272" t="s">
        <v>780</v>
      </c>
      <c r="S39" s="3616">
        <f>ROUNDDOWN(L40*L42*L44,2)</f>
        <v>0</v>
      </c>
      <c r="T39" s="3659">
        <f>INT(J39*S39)</f>
        <v>0</v>
      </c>
      <c r="U39" s="3682"/>
      <c r="V39" s="3668" t="s">
        <v>864</v>
      </c>
      <c r="W39" s="3659">
        <f>INT(T39*U39)</f>
        <v>0</v>
      </c>
      <c r="X39" s="990" t="b">
        <f>COUNTA($L39,$L41,$L43,$U39)&lt;&gt;0</f>
        <v>0</v>
      </c>
      <c r="Y39" s="2450" t="s">
        <v>1474</v>
      </c>
      <c r="Z39" s="1603"/>
      <c r="AA39" s="1603"/>
      <c r="AB39" s="1603"/>
      <c r="AC39" s="1530"/>
      <c r="AD39" s="1530"/>
    </row>
    <row r="40" spans="1:30" s="977" customFormat="1" ht="11.25" customHeight="1">
      <c r="A40" s="3782"/>
      <c r="B40" s="3745"/>
      <c r="C40" s="3746"/>
      <c r="D40" s="3747"/>
      <c r="E40" s="3694"/>
      <c r="F40" s="3695"/>
      <c r="G40" s="3695"/>
      <c r="H40" s="3695"/>
      <c r="I40" s="3696"/>
      <c r="J40" s="3665"/>
      <c r="K40" s="3667"/>
      <c r="L40" s="3661">
        <f>IF(L39="",0,ROUNDDOWN(P40+(L39-P39)*IF(L39&gt;P39,(O40-P40)/(O39-P39),(Q40-P40)/(Q39-P39)),2))</f>
        <v>0</v>
      </c>
      <c r="M40" s="3662"/>
      <c r="N40" s="3663"/>
      <c r="O40" s="991">
        <v>1.1000000000000001</v>
      </c>
      <c r="P40" s="933">
        <v>1</v>
      </c>
      <c r="Q40" s="933">
        <v>0.9</v>
      </c>
      <c r="R40" s="832" t="s">
        <v>780</v>
      </c>
      <c r="S40" s="3685"/>
      <c r="T40" s="3670"/>
      <c r="U40" s="3686"/>
      <c r="V40" s="3669"/>
      <c r="W40" s="3670"/>
      <c r="X40" s="990" t="b">
        <f>+$X$39</f>
        <v>0</v>
      </c>
      <c r="Y40" s="2462" t="s">
        <v>202</v>
      </c>
      <c r="Z40" s="1671">
        <v>28</v>
      </c>
      <c r="AA40" s="1672">
        <v>24</v>
      </c>
      <c r="AB40" s="1672">
        <v>20</v>
      </c>
      <c r="AC40" s="1673">
        <v>16</v>
      </c>
    </row>
    <row r="41" spans="1:30" s="977" customFormat="1" ht="11.25" customHeight="1">
      <c r="A41" s="3782"/>
      <c r="B41" s="3745"/>
      <c r="C41" s="3746"/>
      <c r="D41" s="3747"/>
      <c r="E41" s="3694"/>
      <c r="F41" s="3695"/>
      <c r="G41" s="3695"/>
      <c r="H41" s="3695"/>
      <c r="I41" s="3696"/>
      <c r="J41" s="3665"/>
      <c r="K41" s="3666" t="s">
        <v>1415</v>
      </c>
      <c r="L41" s="3671"/>
      <c r="M41" s="3672"/>
      <c r="N41" s="3673"/>
      <c r="O41" s="1272" t="s">
        <v>780</v>
      </c>
      <c r="P41" s="1271" t="s">
        <v>1124</v>
      </c>
      <c r="Q41" s="1271" t="s">
        <v>1125</v>
      </c>
      <c r="R41" s="1272" t="s">
        <v>780</v>
      </c>
      <c r="S41" s="3685"/>
      <c r="T41" s="3670"/>
      <c r="U41" s="3686"/>
      <c r="V41" s="3669"/>
      <c r="W41" s="3670"/>
      <c r="X41" s="990" t="b">
        <f t="shared" ref="X41:X44" si="3">+$X$39</f>
        <v>0</v>
      </c>
      <c r="Y41" s="2462" t="s">
        <v>1420</v>
      </c>
      <c r="Z41" s="1676">
        <v>42000</v>
      </c>
      <c r="AA41" s="1677">
        <v>36000</v>
      </c>
      <c r="AB41" s="1677">
        <v>30000</v>
      </c>
      <c r="AC41" s="1678">
        <v>24000</v>
      </c>
      <c r="AD41" s="977" t="s">
        <v>1969</v>
      </c>
    </row>
    <row r="42" spans="1:30" s="977" customFormat="1" ht="11.25" customHeight="1">
      <c r="A42" s="3782"/>
      <c r="B42" s="3745"/>
      <c r="C42" s="3746"/>
      <c r="D42" s="3747"/>
      <c r="E42" s="3694"/>
      <c r="F42" s="3695"/>
      <c r="G42" s="3695"/>
      <c r="H42" s="3695"/>
      <c r="I42" s="3696"/>
      <c r="J42" s="3665"/>
      <c r="K42" s="3667"/>
      <c r="L42" s="3661">
        <f>IF(L41="",0,HLOOKUP(L41,O41:R42,2,0))</f>
        <v>0</v>
      </c>
      <c r="M42" s="3662"/>
      <c r="N42" s="3663"/>
      <c r="O42" s="832" t="s">
        <v>780</v>
      </c>
      <c r="P42" s="933">
        <v>1</v>
      </c>
      <c r="Q42" s="933">
        <v>0.6</v>
      </c>
      <c r="R42" s="832" t="s">
        <v>780</v>
      </c>
      <c r="S42" s="3685"/>
      <c r="T42" s="3670"/>
      <c r="U42" s="3686"/>
      <c r="V42" s="3669"/>
      <c r="W42" s="3670"/>
      <c r="X42" s="990" t="b">
        <f t="shared" si="3"/>
        <v>0</v>
      </c>
      <c r="Y42" s="2462" t="s">
        <v>1421</v>
      </c>
      <c r="Z42" s="1680">
        <v>48.83</v>
      </c>
      <c r="AA42" s="1681">
        <v>41.86</v>
      </c>
      <c r="AB42" s="1681">
        <v>34.880000000000003</v>
      </c>
      <c r="AC42" s="1682">
        <v>27.9</v>
      </c>
    </row>
    <row r="43" spans="1:30" s="977" customFormat="1" ht="11.25" customHeight="1">
      <c r="A43" s="3782"/>
      <c r="B43" s="3745"/>
      <c r="C43" s="3746"/>
      <c r="D43" s="3747"/>
      <c r="E43" s="3694"/>
      <c r="F43" s="3695"/>
      <c r="G43" s="3695"/>
      <c r="H43" s="3695"/>
      <c r="I43" s="3696"/>
      <c r="J43" s="3665"/>
      <c r="K43" s="3666" t="s">
        <v>850</v>
      </c>
      <c r="L43" s="3671"/>
      <c r="M43" s="3672"/>
      <c r="N43" s="3673"/>
      <c r="O43" s="1270" t="s">
        <v>855</v>
      </c>
      <c r="P43" s="1271" t="s">
        <v>822</v>
      </c>
      <c r="Q43" s="1271" t="s">
        <v>857</v>
      </c>
      <c r="R43" s="1272" t="s">
        <v>780</v>
      </c>
      <c r="S43" s="3685"/>
      <c r="T43" s="3670"/>
      <c r="U43" s="3686"/>
      <c r="V43" s="3669"/>
      <c r="W43" s="3670"/>
      <c r="X43" s="990" t="b">
        <f t="shared" si="3"/>
        <v>0</v>
      </c>
      <c r="Y43" s="977" t="s">
        <v>1475</v>
      </c>
    </row>
    <row r="44" spans="1:30" s="977" customFormat="1" ht="11.25" customHeight="1">
      <c r="A44" s="3782"/>
      <c r="B44" s="3745"/>
      <c r="C44" s="3746"/>
      <c r="D44" s="3747"/>
      <c r="E44" s="3697"/>
      <c r="F44" s="3698"/>
      <c r="G44" s="3698"/>
      <c r="H44" s="3698"/>
      <c r="I44" s="3699"/>
      <c r="J44" s="3687"/>
      <c r="K44" s="3667"/>
      <c r="L44" s="3661">
        <f>IF(L43="",0,HLOOKUP(L43,O43:R44,2,0))</f>
        <v>0</v>
      </c>
      <c r="M44" s="3662"/>
      <c r="N44" s="3663"/>
      <c r="O44" s="991">
        <v>1.3</v>
      </c>
      <c r="P44" s="933">
        <v>1</v>
      </c>
      <c r="Q44" s="933">
        <v>0.7</v>
      </c>
      <c r="R44" s="832" t="s">
        <v>780</v>
      </c>
      <c r="S44" s="3688"/>
      <c r="T44" s="3660"/>
      <c r="U44" s="3683"/>
      <c r="V44" s="3684"/>
      <c r="W44" s="3660"/>
      <c r="X44" s="990" t="b">
        <f t="shared" si="3"/>
        <v>0</v>
      </c>
    </row>
    <row r="45" spans="1:30" s="977" customFormat="1" ht="11.25" customHeight="1">
      <c r="A45" s="3782"/>
      <c r="B45" s="3745"/>
      <c r="C45" s="3746"/>
      <c r="D45" s="3747"/>
      <c r="E45" s="3691" t="s">
        <v>316</v>
      </c>
      <c r="F45" s="3692"/>
      <c r="G45" s="3692"/>
      <c r="H45" s="3692"/>
      <c r="I45" s="3693"/>
      <c r="J45" s="3664">
        <v>303100</v>
      </c>
      <c r="K45" s="3666" t="s">
        <v>317</v>
      </c>
      <c r="L45" s="3805"/>
      <c r="M45" s="3806"/>
      <c r="N45" s="3807"/>
      <c r="O45" s="1276">
        <v>460</v>
      </c>
      <c r="P45" s="1277">
        <v>370</v>
      </c>
      <c r="Q45" s="1277">
        <v>300</v>
      </c>
      <c r="R45" s="1272" t="s">
        <v>780</v>
      </c>
      <c r="S45" s="3616">
        <f>ROUNDDOWN(L46*L48,2)</f>
        <v>0</v>
      </c>
      <c r="T45" s="3659">
        <f>INT(J45*S45)</f>
        <v>0</v>
      </c>
      <c r="U45" s="3682"/>
      <c r="V45" s="3668" t="s">
        <v>864</v>
      </c>
      <c r="W45" s="3659">
        <f>INT(T45*U45)</f>
        <v>0</v>
      </c>
      <c r="X45" s="990" t="b">
        <f>COUNTA($L45,$L47,$U45)&lt;&gt;0</f>
        <v>0</v>
      </c>
    </row>
    <row r="46" spans="1:30" s="977" customFormat="1" ht="11.25" customHeight="1">
      <c r="A46" s="3782"/>
      <c r="B46" s="3745"/>
      <c r="C46" s="3746"/>
      <c r="D46" s="3747"/>
      <c r="E46" s="3694"/>
      <c r="F46" s="3695"/>
      <c r="G46" s="3695"/>
      <c r="H46" s="3695"/>
      <c r="I46" s="3696"/>
      <c r="J46" s="3665"/>
      <c r="K46" s="3667"/>
      <c r="L46" s="3661">
        <f>IF(L45="",0,ROUNDDOWN(IF(L45&gt;P45,P46+(O46-P46)/(O45-P45)*(L45-P45),P46-(P46-Q46)/(P45-Q45)*(P45-L45)),2))</f>
        <v>0</v>
      </c>
      <c r="M46" s="3662"/>
      <c r="N46" s="3663"/>
      <c r="O46" s="991">
        <v>1.1000000000000001</v>
      </c>
      <c r="P46" s="933">
        <v>1</v>
      </c>
      <c r="Q46" s="933">
        <v>0.85</v>
      </c>
      <c r="R46" s="832" t="s">
        <v>780</v>
      </c>
      <c r="S46" s="3685"/>
      <c r="T46" s="3670"/>
      <c r="U46" s="3686"/>
      <c r="V46" s="3669"/>
      <c r="W46" s="3670"/>
      <c r="X46" s="990" t="b">
        <f>+$X$45</f>
        <v>0</v>
      </c>
    </row>
    <row r="47" spans="1:30" s="977" customFormat="1" ht="11.25" customHeight="1">
      <c r="A47" s="3782"/>
      <c r="B47" s="3745"/>
      <c r="C47" s="3746"/>
      <c r="D47" s="3747"/>
      <c r="E47" s="3694"/>
      <c r="F47" s="3695"/>
      <c r="G47" s="3695"/>
      <c r="H47" s="3695"/>
      <c r="I47" s="3696"/>
      <c r="J47" s="3665"/>
      <c r="K47" s="3666" t="s">
        <v>850</v>
      </c>
      <c r="L47" s="3671"/>
      <c r="M47" s="3672"/>
      <c r="N47" s="3673"/>
      <c r="O47" s="1270" t="s">
        <v>855</v>
      </c>
      <c r="P47" s="1271" t="s">
        <v>822</v>
      </c>
      <c r="Q47" s="1271" t="s">
        <v>857</v>
      </c>
      <c r="R47" s="1272" t="s">
        <v>780</v>
      </c>
      <c r="S47" s="3685"/>
      <c r="T47" s="3670"/>
      <c r="U47" s="3686"/>
      <c r="V47" s="3669"/>
      <c r="W47" s="3670"/>
      <c r="X47" s="990" t="b">
        <f t="shared" ref="X47:X48" si="4">+$X$45</f>
        <v>0</v>
      </c>
    </row>
    <row r="48" spans="1:30" s="977" customFormat="1" ht="11.25" customHeight="1">
      <c r="A48" s="3782"/>
      <c r="B48" s="3778"/>
      <c r="C48" s="3779"/>
      <c r="D48" s="3780"/>
      <c r="E48" s="3697"/>
      <c r="F48" s="3698"/>
      <c r="G48" s="3698"/>
      <c r="H48" s="3698"/>
      <c r="I48" s="3699"/>
      <c r="J48" s="3687"/>
      <c r="K48" s="3667"/>
      <c r="L48" s="3661">
        <f>IF(L47="",0,HLOOKUP(L47,O47:R48,2,0))</f>
        <v>0</v>
      </c>
      <c r="M48" s="3662"/>
      <c r="N48" s="3663"/>
      <c r="O48" s="991">
        <v>1.3</v>
      </c>
      <c r="P48" s="933">
        <v>1</v>
      </c>
      <c r="Q48" s="933">
        <v>0.7</v>
      </c>
      <c r="R48" s="832" t="s">
        <v>780</v>
      </c>
      <c r="S48" s="3688"/>
      <c r="T48" s="3660"/>
      <c r="U48" s="3683"/>
      <c r="V48" s="3684"/>
      <c r="W48" s="3660"/>
      <c r="X48" s="990" t="b">
        <f t="shared" si="4"/>
        <v>0</v>
      </c>
    </row>
    <row r="49" spans="1:25" s="977" customFormat="1">
      <c r="A49" s="3782"/>
      <c r="B49" s="3691" t="s">
        <v>1518</v>
      </c>
      <c r="C49" s="3692"/>
      <c r="D49" s="3693"/>
      <c r="E49" s="3707" t="s">
        <v>1504</v>
      </c>
      <c r="F49" s="3691" t="s">
        <v>318</v>
      </c>
      <c r="G49" s="3693"/>
      <c r="H49" s="3691" t="s">
        <v>319</v>
      </c>
      <c r="I49" s="3693"/>
      <c r="J49" s="3664">
        <v>37800</v>
      </c>
      <c r="K49" s="3666" t="s">
        <v>850</v>
      </c>
      <c r="L49" s="3671"/>
      <c r="M49" s="3672"/>
      <c r="N49" s="3673"/>
      <c r="O49" s="1270" t="s">
        <v>855</v>
      </c>
      <c r="P49" s="1271" t="s">
        <v>822</v>
      </c>
      <c r="Q49" s="1271" t="s">
        <v>857</v>
      </c>
      <c r="R49" s="1272" t="s">
        <v>780</v>
      </c>
      <c r="S49" s="3616">
        <f>L50</f>
        <v>0</v>
      </c>
      <c r="T49" s="3659">
        <f>INT(J49*S49)</f>
        <v>0</v>
      </c>
      <c r="U49" s="3682"/>
      <c r="V49" s="3668" t="s">
        <v>864</v>
      </c>
      <c r="W49" s="3659">
        <f>INT(T49*U49)</f>
        <v>0</v>
      </c>
      <c r="X49" s="990" t="b">
        <f>COUNTA($L49,$U49)&lt;&gt;0</f>
        <v>0</v>
      </c>
    </row>
    <row r="50" spans="1:25" s="977" customFormat="1">
      <c r="A50" s="3782"/>
      <c r="B50" s="3694"/>
      <c r="C50" s="3695"/>
      <c r="D50" s="3696"/>
      <c r="E50" s="3708"/>
      <c r="F50" s="3694"/>
      <c r="G50" s="3696"/>
      <c r="H50" s="3697"/>
      <c r="I50" s="3699"/>
      <c r="J50" s="3687"/>
      <c r="K50" s="3667"/>
      <c r="L50" s="3661">
        <f>IF(L49="",0,HLOOKUP(L49,O49:R50,2,0))</f>
        <v>0</v>
      </c>
      <c r="M50" s="3662"/>
      <c r="N50" s="3663"/>
      <c r="O50" s="991">
        <v>1.5</v>
      </c>
      <c r="P50" s="933">
        <v>1</v>
      </c>
      <c r="Q50" s="933">
        <v>0.8</v>
      </c>
      <c r="R50" s="832" t="s">
        <v>780</v>
      </c>
      <c r="S50" s="3688"/>
      <c r="T50" s="3660"/>
      <c r="U50" s="3683"/>
      <c r="V50" s="3684"/>
      <c r="W50" s="3660"/>
      <c r="X50" s="990" t="b">
        <f>+$X49</f>
        <v>0</v>
      </c>
    </row>
    <row r="51" spans="1:25" s="977" customFormat="1">
      <c r="A51" s="3782"/>
      <c r="B51" s="3694"/>
      <c r="C51" s="3695"/>
      <c r="D51" s="3696"/>
      <c r="E51" s="3708"/>
      <c r="F51" s="3694"/>
      <c r="G51" s="3696"/>
      <c r="H51" s="3691" t="s">
        <v>320</v>
      </c>
      <c r="I51" s="3693"/>
      <c r="J51" s="3664">
        <v>45890</v>
      </c>
      <c r="K51" s="3666" t="s">
        <v>850</v>
      </c>
      <c r="L51" s="3671"/>
      <c r="M51" s="3672"/>
      <c r="N51" s="3673"/>
      <c r="O51" s="1270" t="s">
        <v>855</v>
      </c>
      <c r="P51" s="1271" t="s">
        <v>822</v>
      </c>
      <c r="Q51" s="1271" t="s">
        <v>857</v>
      </c>
      <c r="R51" s="1272" t="s">
        <v>780</v>
      </c>
      <c r="S51" s="3616">
        <f>L52</f>
        <v>0</v>
      </c>
      <c r="T51" s="3659">
        <f>INT(J51*S51)</f>
        <v>0</v>
      </c>
      <c r="U51" s="3682"/>
      <c r="V51" s="3668" t="s">
        <v>864</v>
      </c>
      <c r="W51" s="3659">
        <f>INT(T51*U51)</f>
        <v>0</v>
      </c>
      <c r="X51" s="990" t="b">
        <f>COUNTA($L51,$U51)&lt;&gt;0</f>
        <v>0</v>
      </c>
    </row>
    <row r="52" spans="1:25" s="977" customFormat="1">
      <c r="A52" s="3782"/>
      <c r="B52" s="3694"/>
      <c r="C52" s="3695"/>
      <c r="D52" s="3696"/>
      <c r="E52" s="3708"/>
      <c r="F52" s="3697"/>
      <c r="G52" s="3699"/>
      <c r="H52" s="3697"/>
      <c r="I52" s="3699"/>
      <c r="J52" s="3687"/>
      <c r="K52" s="3667"/>
      <c r="L52" s="3661">
        <f>IF(L51="",0,HLOOKUP(L51,O51:R52,2,0))</f>
        <v>0</v>
      </c>
      <c r="M52" s="3662"/>
      <c r="N52" s="3663"/>
      <c r="O52" s="991">
        <v>1.5</v>
      </c>
      <c r="P52" s="933">
        <v>1</v>
      </c>
      <c r="Q52" s="933">
        <v>0.8</v>
      </c>
      <c r="R52" s="832" t="s">
        <v>780</v>
      </c>
      <c r="S52" s="3688"/>
      <c r="T52" s="3660"/>
      <c r="U52" s="3683"/>
      <c r="V52" s="3684"/>
      <c r="W52" s="3660"/>
      <c r="X52" s="990" t="b">
        <f>+$X51</f>
        <v>0</v>
      </c>
    </row>
    <row r="53" spans="1:25" s="977" customFormat="1">
      <c r="A53" s="3782"/>
      <c r="B53" s="3694"/>
      <c r="C53" s="3695"/>
      <c r="D53" s="3696"/>
      <c r="E53" s="3708"/>
      <c r="F53" s="3691" t="s">
        <v>321</v>
      </c>
      <c r="G53" s="3693"/>
      <c r="H53" s="3691" t="s">
        <v>319</v>
      </c>
      <c r="I53" s="3693"/>
      <c r="J53" s="3664">
        <v>9800</v>
      </c>
      <c r="K53" s="3666" t="s">
        <v>850</v>
      </c>
      <c r="L53" s="3671"/>
      <c r="M53" s="3672"/>
      <c r="N53" s="3673"/>
      <c r="O53" s="1270" t="s">
        <v>855</v>
      </c>
      <c r="P53" s="1271" t="s">
        <v>822</v>
      </c>
      <c r="Q53" s="1271" t="s">
        <v>857</v>
      </c>
      <c r="R53" s="1272" t="s">
        <v>780</v>
      </c>
      <c r="S53" s="3616">
        <f>L54</f>
        <v>0</v>
      </c>
      <c r="T53" s="3659">
        <f>INT(J53*S53)</f>
        <v>0</v>
      </c>
      <c r="U53" s="3682"/>
      <c r="V53" s="3668" t="s">
        <v>864</v>
      </c>
      <c r="W53" s="3659">
        <f>INT(T53*U53)</f>
        <v>0</v>
      </c>
      <c r="X53" s="990" t="b">
        <f>COUNTA($L53,$U53)&lt;&gt;0</f>
        <v>0</v>
      </c>
    </row>
    <row r="54" spans="1:25" s="977" customFormat="1">
      <c r="A54" s="3782"/>
      <c r="B54" s="3694"/>
      <c r="C54" s="3695"/>
      <c r="D54" s="3696"/>
      <c r="E54" s="3708"/>
      <c r="F54" s="3694"/>
      <c r="G54" s="3696"/>
      <c r="H54" s="3697"/>
      <c r="I54" s="3699"/>
      <c r="J54" s="3687"/>
      <c r="K54" s="3667"/>
      <c r="L54" s="3661">
        <f>IF(L53="",0,HLOOKUP(L53,O53:R54,2,0))</f>
        <v>0</v>
      </c>
      <c r="M54" s="3662"/>
      <c r="N54" s="3663"/>
      <c r="O54" s="991">
        <v>1.5</v>
      </c>
      <c r="P54" s="933">
        <v>1</v>
      </c>
      <c r="Q54" s="933">
        <v>0.8</v>
      </c>
      <c r="R54" s="832" t="s">
        <v>780</v>
      </c>
      <c r="S54" s="3688"/>
      <c r="T54" s="3660"/>
      <c r="U54" s="3683"/>
      <c r="V54" s="3684"/>
      <c r="W54" s="3660"/>
      <c r="X54" s="990" t="b">
        <f>+$X53</f>
        <v>0</v>
      </c>
    </row>
    <row r="55" spans="1:25" s="977" customFormat="1">
      <c r="A55" s="3782"/>
      <c r="B55" s="3694"/>
      <c r="C55" s="3695"/>
      <c r="D55" s="3696"/>
      <c r="E55" s="3708"/>
      <c r="F55" s="3694"/>
      <c r="G55" s="3696"/>
      <c r="H55" s="3691" t="s">
        <v>320</v>
      </c>
      <c r="I55" s="3693"/>
      <c r="J55" s="3664">
        <v>37900</v>
      </c>
      <c r="K55" s="3666" t="s">
        <v>850</v>
      </c>
      <c r="L55" s="3671"/>
      <c r="M55" s="3672"/>
      <c r="N55" s="3673"/>
      <c r="O55" s="1270" t="s">
        <v>855</v>
      </c>
      <c r="P55" s="1271" t="s">
        <v>822</v>
      </c>
      <c r="Q55" s="1271" t="s">
        <v>857</v>
      </c>
      <c r="R55" s="1272" t="s">
        <v>780</v>
      </c>
      <c r="S55" s="3616">
        <f>L56</f>
        <v>0</v>
      </c>
      <c r="T55" s="3659">
        <f>INT(J55*S55)</f>
        <v>0</v>
      </c>
      <c r="U55" s="3682"/>
      <c r="V55" s="3668" t="s">
        <v>864</v>
      </c>
      <c r="W55" s="3659">
        <f>INT(T55*U55)</f>
        <v>0</v>
      </c>
      <c r="X55" s="990" t="b">
        <f>COUNTA($L55,$U55)&lt;&gt;0</f>
        <v>0</v>
      </c>
    </row>
    <row r="56" spans="1:25" s="977" customFormat="1">
      <c r="A56" s="3782"/>
      <c r="B56" s="3694"/>
      <c r="C56" s="3695"/>
      <c r="D56" s="3696"/>
      <c r="E56" s="3708"/>
      <c r="F56" s="3697"/>
      <c r="G56" s="3699"/>
      <c r="H56" s="3697"/>
      <c r="I56" s="3699"/>
      <c r="J56" s="3687"/>
      <c r="K56" s="3667"/>
      <c r="L56" s="3661">
        <f>IF(L55="",0,HLOOKUP(L55,O55:R56,2,0))</f>
        <v>0</v>
      </c>
      <c r="M56" s="3662"/>
      <c r="N56" s="3663"/>
      <c r="O56" s="991">
        <v>1.5</v>
      </c>
      <c r="P56" s="933">
        <v>1</v>
      </c>
      <c r="Q56" s="933">
        <v>0.8</v>
      </c>
      <c r="R56" s="832" t="s">
        <v>780</v>
      </c>
      <c r="S56" s="3688"/>
      <c r="T56" s="3660"/>
      <c r="U56" s="3683"/>
      <c r="V56" s="3684"/>
      <c r="W56" s="3660"/>
      <c r="X56" s="990" t="b">
        <f>+$X55</f>
        <v>0</v>
      </c>
    </row>
    <row r="57" spans="1:25" s="977" customFormat="1">
      <c r="A57" s="3782"/>
      <c r="B57" s="3694"/>
      <c r="C57" s="3695"/>
      <c r="D57" s="3696"/>
      <c r="E57" s="3708"/>
      <c r="F57" s="3691" t="s">
        <v>322</v>
      </c>
      <c r="G57" s="3693"/>
      <c r="H57" s="3691" t="s">
        <v>320</v>
      </c>
      <c r="I57" s="3693"/>
      <c r="J57" s="3664">
        <v>61900</v>
      </c>
      <c r="K57" s="3666" t="s">
        <v>850</v>
      </c>
      <c r="L57" s="3671"/>
      <c r="M57" s="3672"/>
      <c r="N57" s="3673"/>
      <c r="O57" s="1270" t="s">
        <v>855</v>
      </c>
      <c r="P57" s="1271" t="s">
        <v>822</v>
      </c>
      <c r="Q57" s="1271" t="s">
        <v>857</v>
      </c>
      <c r="R57" s="1272" t="s">
        <v>780</v>
      </c>
      <c r="S57" s="3616">
        <f>L58</f>
        <v>0</v>
      </c>
      <c r="T57" s="3659">
        <f>INT(J57*S57)</f>
        <v>0</v>
      </c>
      <c r="U57" s="3682"/>
      <c r="V57" s="3668" t="s">
        <v>864</v>
      </c>
      <c r="W57" s="3659">
        <f>INT(T57*U57)</f>
        <v>0</v>
      </c>
      <c r="X57" s="990" t="b">
        <f>COUNTA($L57,$U57)&lt;&gt;0</f>
        <v>0</v>
      </c>
    </row>
    <row r="58" spans="1:25" s="977" customFormat="1">
      <c r="A58" s="3782"/>
      <c r="B58" s="3694"/>
      <c r="C58" s="3695"/>
      <c r="D58" s="3696"/>
      <c r="E58" s="3709"/>
      <c r="F58" s="3697"/>
      <c r="G58" s="3699"/>
      <c r="H58" s="3697"/>
      <c r="I58" s="3699"/>
      <c r="J58" s="3687"/>
      <c r="K58" s="3667"/>
      <c r="L58" s="3661">
        <f>IF(L57="",0,HLOOKUP(L57,O57:R58,2,0))</f>
        <v>0</v>
      </c>
      <c r="M58" s="3662"/>
      <c r="N58" s="3663"/>
      <c r="O58" s="991">
        <v>1.5</v>
      </c>
      <c r="P58" s="933">
        <v>1</v>
      </c>
      <c r="Q58" s="933">
        <v>0.8</v>
      </c>
      <c r="R58" s="832" t="s">
        <v>780</v>
      </c>
      <c r="S58" s="3688"/>
      <c r="T58" s="3660"/>
      <c r="U58" s="3683"/>
      <c r="V58" s="3684"/>
      <c r="W58" s="3660"/>
      <c r="X58" s="990" t="b">
        <f>+$X57</f>
        <v>0</v>
      </c>
    </row>
    <row r="59" spans="1:25" s="977" customFormat="1">
      <c r="A59" s="3782"/>
      <c r="B59" s="3694"/>
      <c r="C59" s="3695"/>
      <c r="D59" s="3696"/>
      <c r="E59" s="3691" t="s">
        <v>1503</v>
      </c>
      <c r="F59" s="3692"/>
      <c r="G59" s="3692"/>
      <c r="H59" s="3692"/>
      <c r="I59" s="3693"/>
      <c r="J59" s="3664">
        <v>44600</v>
      </c>
      <c r="K59" s="3666" t="s">
        <v>850</v>
      </c>
      <c r="L59" s="3671"/>
      <c r="M59" s="3672"/>
      <c r="N59" s="3673"/>
      <c r="O59" s="1270" t="s">
        <v>855</v>
      </c>
      <c r="P59" s="1271" t="s">
        <v>822</v>
      </c>
      <c r="Q59" s="1271" t="s">
        <v>857</v>
      </c>
      <c r="R59" s="1272" t="s">
        <v>2279</v>
      </c>
      <c r="S59" s="3616">
        <f>L60</f>
        <v>0</v>
      </c>
      <c r="T59" s="3659">
        <f>INT(J59*S59)</f>
        <v>0</v>
      </c>
      <c r="U59" s="3682"/>
      <c r="V59" s="3668" t="s">
        <v>864</v>
      </c>
      <c r="W59" s="3659">
        <f>INT(T59*U59)</f>
        <v>0</v>
      </c>
      <c r="X59" s="990" t="b">
        <f>COUNTA($L59,$U59)&lt;&gt;0</f>
        <v>0</v>
      </c>
      <c r="Y59" s="977" t="s">
        <v>2280</v>
      </c>
    </row>
    <row r="60" spans="1:25" s="977" customFormat="1">
      <c r="A60" s="3782"/>
      <c r="B60" s="3694"/>
      <c r="C60" s="3695"/>
      <c r="D60" s="3696"/>
      <c r="E60" s="3697"/>
      <c r="F60" s="3698"/>
      <c r="G60" s="3698"/>
      <c r="H60" s="3698"/>
      <c r="I60" s="3699"/>
      <c r="J60" s="3687"/>
      <c r="K60" s="3667"/>
      <c r="L60" s="3661">
        <f>IF(L59="",0,HLOOKUP(L59,O59:R60,2,0))</f>
        <v>0</v>
      </c>
      <c r="M60" s="3662"/>
      <c r="N60" s="3663"/>
      <c r="O60" s="991">
        <v>1.5</v>
      </c>
      <c r="P60" s="933">
        <v>1</v>
      </c>
      <c r="Q60" s="933">
        <v>0.7</v>
      </c>
      <c r="R60" s="832">
        <v>0.55000000000000004</v>
      </c>
      <c r="S60" s="3688"/>
      <c r="T60" s="3660"/>
      <c r="U60" s="3683"/>
      <c r="V60" s="3684"/>
      <c r="W60" s="3660"/>
      <c r="X60" s="990" t="b">
        <f>+$X59</f>
        <v>0</v>
      </c>
    </row>
    <row r="61" spans="1:25" s="977" customFormat="1">
      <c r="A61" s="3782"/>
      <c r="B61" s="3694"/>
      <c r="C61" s="3695"/>
      <c r="D61" s="3696"/>
      <c r="E61" s="3691" t="s">
        <v>1502</v>
      </c>
      <c r="F61" s="3692"/>
      <c r="G61" s="3692"/>
      <c r="H61" s="3692"/>
      <c r="I61" s="3693"/>
      <c r="J61" s="3664">
        <v>62730</v>
      </c>
      <c r="K61" s="3666" t="s">
        <v>314</v>
      </c>
      <c r="L61" s="3808"/>
      <c r="M61" s="3809"/>
      <c r="N61" s="3810"/>
      <c r="O61" s="1278">
        <v>120</v>
      </c>
      <c r="P61" s="1279">
        <v>75</v>
      </c>
      <c r="Q61" s="1279">
        <v>60</v>
      </c>
      <c r="R61" s="1272" t="s">
        <v>780</v>
      </c>
      <c r="S61" s="3616">
        <f>ROUNDDOWN(L62*L64,2)</f>
        <v>0</v>
      </c>
      <c r="T61" s="3659">
        <f>INT(J61*S61)</f>
        <v>0</v>
      </c>
      <c r="U61" s="3682"/>
      <c r="V61" s="3668" t="s">
        <v>864</v>
      </c>
      <c r="W61" s="3659">
        <f>INT(T61*U61)</f>
        <v>0</v>
      </c>
      <c r="X61" s="990" t="b">
        <f>COUNTA($L61,$L63,$U61)&lt;&gt;0</f>
        <v>0</v>
      </c>
    </row>
    <row r="62" spans="1:25" s="977" customFormat="1">
      <c r="A62" s="3782"/>
      <c r="B62" s="3694"/>
      <c r="C62" s="3695"/>
      <c r="D62" s="3696"/>
      <c r="E62" s="3694"/>
      <c r="F62" s="3695"/>
      <c r="G62" s="3695"/>
      <c r="H62" s="3695"/>
      <c r="I62" s="3696"/>
      <c r="J62" s="3665"/>
      <c r="K62" s="3667"/>
      <c r="L62" s="3661">
        <f>IF(L61="",0,ROUNDDOWN(IF(L61&gt;P61,P62+(O62-P62)/(O61-P61)*(L61-P61),P62-(P62-Q62)/(P61-Q61)*(P61-L61)),2))</f>
        <v>0</v>
      </c>
      <c r="M62" s="3662"/>
      <c r="N62" s="3663"/>
      <c r="O62" s="991">
        <v>1.4</v>
      </c>
      <c r="P62" s="933">
        <v>1</v>
      </c>
      <c r="Q62" s="933">
        <v>0.9</v>
      </c>
      <c r="R62" s="832" t="s">
        <v>780</v>
      </c>
      <c r="S62" s="3685"/>
      <c r="T62" s="3670"/>
      <c r="U62" s="3686"/>
      <c r="V62" s="3669"/>
      <c r="W62" s="3670"/>
      <c r="X62" s="990" t="b">
        <f>+$X$61</f>
        <v>0</v>
      </c>
    </row>
    <row r="63" spans="1:25" s="977" customFormat="1">
      <c r="A63" s="3782"/>
      <c r="B63" s="3694"/>
      <c r="C63" s="3695"/>
      <c r="D63" s="3696"/>
      <c r="E63" s="3694"/>
      <c r="F63" s="3695"/>
      <c r="G63" s="3695"/>
      <c r="H63" s="3695"/>
      <c r="I63" s="3696"/>
      <c r="J63" s="3665"/>
      <c r="K63" s="3666" t="s">
        <v>850</v>
      </c>
      <c r="L63" s="3671"/>
      <c r="M63" s="3672"/>
      <c r="N63" s="3673"/>
      <c r="O63" s="1270" t="s">
        <v>855</v>
      </c>
      <c r="P63" s="1271" t="s">
        <v>323</v>
      </c>
      <c r="Q63" s="1271" t="s">
        <v>324</v>
      </c>
      <c r="R63" s="1272" t="s">
        <v>857</v>
      </c>
      <c r="S63" s="3685"/>
      <c r="T63" s="3670"/>
      <c r="U63" s="3686"/>
      <c r="V63" s="3669"/>
      <c r="W63" s="3670"/>
      <c r="X63" s="990" t="b">
        <f>+$X$61</f>
        <v>0</v>
      </c>
    </row>
    <row r="64" spans="1:25" s="977" customFormat="1">
      <c r="A64" s="3782"/>
      <c r="B64" s="3694"/>
      <c r="C64" s="3695"/>
      <c r="D64" s="3696"/>
      <c r="E64" s="3697"/>
      <c r="F64" s="3698"/>
      <c r="G64" s="3698"/>
      <c r="H64" s="3698"/>
      <c r="I64" s="3699"/>
      <c r="J64" s="3687"/>
      <c r="K64" s="3667"/>
      <c r="L64" s="3661">
        <f>IF(L63="",0,HLOOKUP(L63,O63:R64,2,0))</f>
        <v>0</v>
      </c>
      <c r="M64" s="3662"/>
      <c r="N64" s="3663"/>
      <c r="O64" s="991">
        <v>2</v>
      </c>
      <c r="P64" s="933">
        <v>1</v>
      </c>
      <c r="Q64" s="933">
        <v>0.9</v>
      </c>
      <c r="R64" s="832">
        <v>0.7</v>
      </c>
      <c r="S64" s="3688"/>
      <c r="T64" s="3660"/>
      <c r="U64" s="3683"/>
      <c r="V64" s="3684"/>
      <c r="W64" s="3660"/>
      <c r="X64" s="990" t="b">
        <f>+$X$61</f>
        <v>0</v>
      </c>
    </row>
    <row r="65" spans="1:26" s="977" customFormat="1">
      <c r="A65" s="3782"/>
      <c r="B65" s="3694"/>
      <c r="C65" s="3695"/>
      <c r="D65" s="3696"/>
      <c r="E65" s="3691" t="s">
        <v>2288</v>
      </c>
      <c r="F65" s="3692"/>
      <c r="G65" s="3692"/>
      <c r="H65" s="3692"/>
      <c r="I65" s="3693"/>
      <c r="J65" s="3664">
        <v>54140</v>
      </c>
      <c r="K65" s="3666" t="s">
        <v>314</v>
      </c>
      <c r="L65" s="3671"/>
      <c r="M65" s="3672"/>
      <c r="N65" s="3673"/>
      <c r="O65" s="1270" t="s">
        <v>325</v>
      </c>
      <c r="P65" s="1271" t="s">
        <v>326</v>
      </c>
      <c r="Q65" s="1271" t="s">
        <v>780</v>
      </c>
      <c r="R65" s="1272" t="s">
        <v>780</v>
      </c>
      <c r="S65" s="3616">
        <f>ROUNDDOWN(L66*L68,2)</f>
        <v>0</v>
      </c>
      <c r="T65" s="3659">
        <f>INT(J65*S65)</f>
        <v>0</v>
      </c>
      <c r="U65" s="3682"/>
      <c r="V65" s="3668" t="s">
        <v>864</v>
      </c>
      <c r="W65" s="3659">
        <f>INT(T65*U65)</f>
        <v>0</v>
      </c>
      <c r="X65" s="990" t="b">
        <f>COUNTA($L65,$L67,$U65)&lt;&gt;0</f>
        <v>0</v>
      </c>
    </row>
    <row r="66" spans="1:26" s="977" customFormat="1">
      <c r="A66" s="3782"/>
      <c r="B66" s="3694"/>
      <c r="C66" s="3695"/>
      <c r="D66" s="3696"/>
      <c r="E66" s="3694"/>
      <c r="F66" s="3695"/>
      <c r="G66" s="3695"/>
      <c r="H66" s="3695"/>
      <c r="I66" s="3696"/>
      <c r="J66" s="3665"/>
      <c r="K66" s="3667"/>
      <c r="L66" s="3661">
        <f>IF(L65="",0,HLOOKUP(L65,O65:R66,2,0))</f>
        <v>0</v>
      </c>
      <c r="M66" s="3662"/>
      <c r="N66" s="3663"/>
      <c r="O66" s="991">
        <v>1</v>
      </c>
      <c r="P66" s="933">
        <v>0.9</v>
      </c>
      <c r="Q66" s="933" t="s">
        <v>780</v>
      </c>
      <c r="R66" s="832" t="s">
        <v>780</v>
      </c>
      <c r="S66" s="3685"/>
      <c r="T66" s="3670"/>
      <c r="U66" s="3686"/>
      <c r="V66" s="3669"/>
      <c r="W66" s="3670"/>
      <c r="X66" s="990" t="b">
        <f>+$X$65</f>
        <v>0</v>
      </c>
    </row>
    <row r="67" spans="1:26" s="977" customFormat="1">
      <c r="A67" s="3782"/>
      <c r="B67" s="3694"/>
      <c r="C67" s="3695"/>
      <c r="D67" s="3696"/>
      <c r="E67" s="3694"/>
      <c r="F67" s="3695"/>
      <c r="G67" s="3695"/>
      <c r="H67" s="3695"/>
      <c r="I67" s="3696"/>
      <c r="J67" s="3665"/>
      <c r="K67" s="3666" t="s">
        <v>850</v>
      </c>
      <c r="L67" s="3671"/>
      <c r="M67" s="3672"/>
      <c r="N67" s="3673"/>
      <c r="O67" s="1270" t="s">
        <v>855</v>
      </c>
      <c r="P67" s="1271" t="s">
        <v>822</v>
      </c>
      <c r="Q67" s="1271" t="s">
        <v>857</v>
      </c>
      <c r="R67" s="1272" t="s">
        <v>780</v>
      </c>
      <c r="S67" s="3685"/>
      <c r="T67" s="3670"/>
      <c r="U67" s="3686"/>
      <c r="V67" s="3669"/>
      <c r="W67" s="3670"/>
      <c r="X67" s="990" t="b">
        <f>+$X$65</f>
        <v>0</v>
      </c>
    </row>
    <row r="68" spans="1:26" s="977" customFormat="1">
      <c r="A68" s="3782"/>
      <c r="B68" s="3694"/>
      <c r="C68" s="3695"/>
      <c r="D68" s="3696"/>
      <c r="E68" s="3697"/>
      <c r="F68" s="3698"/>
      <c r="G68" s="3698"/>
      <c r="H68" s="3698"/>
      <c r="I68" s="3699"/>
      <c r="J68" s="3687"/>
      <c r="K68" s="3667"/>
      <c r="L68" s="3661">
        <f>IF(L67="",0,HLOOKUP(L67,O67:R68,2,0))</f>
        <v>0</v>
      </c>
      <c r="M68" s="3662"/>
      <c r="N68" s="3663"/>
      <c r="O68" s="991">
        <v>1.3</v>
      </c>
      <c r="P68" s="933">
        <v>1</v>
      </c>
      <c r="Q68" s="933">
        <v>0.7</v>
      </c>
      <c r="R68" s="832" t="s">
        <v>780</v>
      </c>
      <c r="S68" s="3688"/>
      <c r="T68" s="3660"/>
      <c r="U68" s="3683"/>
      <c r="V68" s="3684"/>
      <c r="W68" s="3660"/>
      <c r="X68" s="990" t="b">
        <f>+$X$65</f>
        <v>0</v>
      </c>
    </row>
    <row r="69" spans="1:26" s="977" customFormat="1">
      <c r="A69" s="3782"/>
      <c r="B69" s="3694"/>
      <c r="C69" s="3695"/>
      <c r="D69" s="3696"/>
      <c r="E69" s="3724" t="s">
        <v>1995</v>
      </c>
      <c r="F69" s="3725"/>
      <c r="G69" s="3726"/>
      <c r="H69" s="3710" t="s">
        <v>327</v>
      </c>
      <c r="I69" s="3711"/>
      <c r="J69" s="3664">
        <v>314120</v>
      </c>
      <c r="K69" s="3666" t="s">
        <v>314</v>
      </c>
      <c r="L69" s="3671"/>
      <c r="M69" s="3672"/>
      <c r="N69" s="3673"/>
      <c r="O69" s="1270" t="s">
        <v>328</v>
      </c>
      <c r="P69" s="1271" t="s">
        <v>329</v>
      </c>
      <c r="Q69" s="1271" t="s">
        <v>330</v>
      </c>
      <c r="R69" s="1272" t="s">
        <v>780</v>
      </c>
      <c r="S69" s="3616">
        <f>ROUNDDOWN(L70*L72,2)</f>
        <v>0</v>
      </c>
      <c r="T69" s="3659">
        <f>INT(J69*S69)</f>
        <v>0</v>
      </c>
      <c r="U69" s="3682"/>
      <c r="V69" s="3668" t="s">
        <v>864</v>
      </c>
      <c r="W69" s="3659">
        <f>INT(T69*U69)</f>
        <v>0</v>
      </c>
      <c r="X69" s="990" t="b">
        <f>COUNTA($L69,$L71,$U69)&lt;&gt;0</f>
        <v>0</v>
      </c>
      <c r="Y69" s="977" t="s">
        <v>1996</v>
      </c>
    </row>
    <row r="70" spans="1:26" s="977" customFormat="1">
      <c r="A70" s="3782"/>
      <c r="B70" s="3694"/>
      <c r="C70" s="3695"/>
      <c r="D70" s="3696"/>
      <c r="E70" s="3727"/>
      <c r="F70" s="3728"/>
      <c r="G70" s="3729"/>
      <c r="H70" s="3712"/>
      <c r="I70" s="3713"/>
      <c r="J70" s="3665"/>
      <c r="K70" s="3667"/>
      <c r="L70" s="3661">
        <f>IF(L69="",0,HLOOKUP(L69,O69:R70,2,0))</f>
        <v>0</v>
      </c>
      <c r="M70" s="3662"/>
      <c r="N70" s="3663"/>
      <c r="O70" s="991">
        <v>1.5</v>
      </c>
      <c r="P70" s="933">
        <v>1</v>
      </c>
      <c r="Q70" s="933">
        <v>0.8</v>
      </c>
      <c r="R70" s="832" t="s">
        <v>780</v>
      </c>
      <c r="S70" s="3685"/>
      <c r="T70" s="3670"/>
      <c r="U70" s="3686"/>
      <c r="V70" s="3669"/>
      <c r="W70" s="3670"/>
      <c r="X70" s="990" t="b">
        <f>+$X$69</f>
        <v>0</v>
      </c>
      <c r="Y70" s="977" t="s">
        <v>1997</v>
      </c>
    </row>
    <row r="71" spans="1:26" s="977" customFormat="1">
      <c r="A71" s="3782"/>
      <c r="B71" s="3694"/>
      <c r="C71" s="3695"/>
      <c r="D71" s="3696"/>
      <c r="E71" s="3727"/>
      <c r="F71" s="3728"/>
      <c r="G71" s="3729"/>
      <c r="H71" s="3712"/>
      <c r="I71" s="3713"/>
      <c r="J71" s="3665"/>
      <c r="K71" s="3666" t="s">
        <v>850</v>
      </c>
      <c r="L71" s="3671"/>
      <c r="M71" s="3672"/>
      <c r="N71" s="3673"/>
      <c r="O71" s="1270" t="s">
        <v>855</v>
      </c>
      <c r="P71" s="1271" t="s">
        <v>822</v>
      </c>
      <c r="Q71" s="1271" t="s">
        <v>857</v>
      </c>
      <c r="R71" s="1272" t="s">
        <v>780</v>
      </c>
      <c r="S71" s="3685"/>
      <c r="T71" s="3670"/>
      <c r="U71" s="3686"/>
      <c r="V71" s="3669"/>
      <c r="W71" s="3670"/>
      <c r="X71" s="990" t="b">
        <f>+$X$69</f>
        <v>0</v>
      </c>
      <c r="Y71" s="977" t="s">
        <v>1998</v>
      </c>
    </row>
    <row r="72" spans="1:26" s="977" customFormat="1">
      <c r="A72" s="3782"/>
      <c r="B72" s="3694"/>
      <c r="C72" s="3695"/>
      <c r="D72" s="3696"/>
      <c r="E72" s="3727"/>
      <c r="F72" s="3728"/>
      <c r="G72" s="3729"/>
      <c r="H72" s="3531"/>
      <c r="I72" s="3714"/>
      <c r="J72" s="3687"/>
      <c r="K72" s="3667"/>
      <c r="L72" s="3661">
        <f>IF(L71="",0,HLOOKUP(L71,O71:R72,2,0))</f>
        <v>0</v>
      </c>
      <c r="M72" s="3662"/>
      <c r="N72" s="3663"/>
      <c r="O72" s="991">
        <v>1.5</v>
      </c>
      <c r="P72" s="933">
        <v>1</v>
      </c>
      <c r="Q72" s="933">
        <v>0.9</v>
      </c>
      <c r="R72" s="832" t="s">
        <v>780</v>
      </c>
      <c r="S72" s="3688"/>
      <c r="T72" s="3660"/>
      <c r="U72" s="3683"/>
      <c r="V72" s="3684"/>
      <c r="W72" s="3660"/>
      <c r="X72" s="990" t="b">
        <f>+$X$69</f>
        <v>0</v>
      </c>
    </row>
    <row r="73" spans="1:26" s="977" customFormat="1" ht="11.25" customHeight="1">
      <c r="A73" s="3782"/>
      <c r="B73" s="3694"/>
      <c r="C73" s="3695"/>
      <c r="D73" s="3696"/>
      <c r="E73" s="3727"/>
      <c r="F73" s="3730"/>
      <c r="G73" s="3729"/>
      <c r="H73" s="3710" t="s">
        <v>331</v>
      </c>
      <c r="I73" s="3711"/>
      <c r="J73" s="3664">
        <v>49520</v>
      </c>
      <c r="K73" s="3666" t="s">
        <v>314</v>
      </c>
      <c r="L73" s="3671"/>
      <c r="M73" s="3672"/>
      <c r="N73" s="3673"/>
      <c r="O73" s="1270" t="s">
        <v>328</v>
      </c>
      <c r="P73" s="1271" t="s">
        <v>329</v>
      </c>
      <c r="Q73" s="1271" t="s">
        <v>330</v>
      </c>
      <c r="R73" s="1272" t="s">
        <v>780</v>
      </c>
      <c r="S73" s="3616">
        <f>ROUNDDOWN(L74*L76,2)</f>
        <v>0</v>
      </c>
      <c r="T73" s="3659">
        <f>INT(J73*S73)</f>
        <v>0</v>
      </c>
      <c r="U73" s="3682"/>
      <c r="V73" s="3668" t="s">
        <v>864</v>
      </c>
      <c r="W73" s="3659">
        <f>INT(T73*U73)</f>
        <v>0</v>
      </c>
      <c r="X73" s="990" t="b">
        <f>COUNTA($L73,$L75,$U73)&lt;&gt;0</f>
        <v>0</v>
      </c>
      <c r="Y73" s="977" t="s">
        <v>1999</v>
      </c>
    </row>
    <row r="74" spans="1:26" s="977" customFormat="1" ht="11.25" customHeight="1">
      <c r="A74" s="3782"/>
      <c r="B74" s="3694"/>
      <c r="C74" s="3695"/>
      <c r="D74" s="3696"/>
      <c r="E74" s="3727"/>
      <c r="F74" s="3730"/>
      <c r="G74" s="3729"/>
      <c r="H74" s="3712"/>
      <c r="I74" s="3713"/>
      <c r="J74" s="3665"/>
      <c r="K74" s="3667"/>
      <c r="L74" s="3661">
        <f>IF(L73="",0,HLOOKUP(L73,O73:R74,2,0))</f>
        <v>0</v>
      </c>
      <c r="M74" s="3662"/>
      <c r="N74" s="3663"/>
      <c r="O74" s="991">
        <v>1.5</v>
      </c>
      <c r="P74" s="933">
        <v>1</v>
      </c>
      <c r="Q74" s="933">
        <v>0.8</v>
      </c>
      <c r="R74" s="832" t="s">
        <v>780</v>
      </c>
      <c r="S74" s="3685"/>
      <c r="T74" s="3670"/>
      <c r="U74" s="3686"/>
      <c r="V74" s="3669"/>
      <c r="W74" s="3670"/>
      <c r="X74" s="990" t="b">
        <f>+$X$73</f>
        <v>0</v>
      </c>
      <c r="Y74" s="977" t="s">
        <v>2000</v>
      </c>
    </row>
    <row r="75" spans="1:26" s="977" customFormat="1" ht="11.25" customHeight="1">
      <c r="A75" s="3782"/>
      <c r="B75" s="3694"/>
      <c r="C75" s="3695"/>
      <c r="D75" s="3696"/>
      <c r="E75" s="3727"/>
      <c r="F75" s="3730"/>
      <c r="G75" s="3729"/>
      <c r="H75" s="3712"/>
      <c r="I75" s="3713"/>
      <c r="J75" s="3665"/>
      <c r="K75" s="3666" t="s">
        <v>850</v>
      </c>
      <c r="L75" s="3671"/>
      <c r="M75" s="3672"/>
      <c r="N75" s="3673"/>
      <c r="O75" s="1270" t="s">
        <v>855</v>
      </c>
      <c r="P75" s="1271" t="s">
        <v>822</v>
      </c>
      <c r="Q75" s="1271" t="s">
        <v>857</v>
      </c>
      <c r="R75" s="1272" t="s">
        <v>780</v>
      </c>
      <c r="S75" s="3685"/>
      <c r="T75" s="3670"/>
      <c r="U75" s="3686"/>
      <c r="V75" s="3669"/>
      <c r="W75" s="3670"/>
      <c r="X75" s="990" t="b">
        <f>+$X$73</f>
        <v>0</v>
      </c>
      <c r="Z75" s="977" t="s">
        <v>2001</v>
      </c>
    </row>
    <row r="76" spans="1:26" s="977" customFormat="1" ht="11.25" customHeight="1">
      <c r="A76" s="3782"/>
      <c r="B76" s="3694"/>
      <c r="C76" s="3695"/>
      <c r="D76" s="3696"/>
      <c r="E76" s="3731"/>
      <c r="F76" s="3732"/>
      <c r="G76" s="3733"/>
      <c r="H76" s="3531"/>
      <c r="I76" s="3714"/>
      <c r="J76" s="3687"/>
      <c r="K76" s="3667"/>
      <c r="L76" s="3661">
        <f>IF(L75="",0,HLOOKUP(L75,O75:R76,2,0))</f>
        <v>0</v>
      </c>
      <c r="M76" s="3662"/>
      <c r="N76" s="3663"/>
      <c r="O76" s="991">
        <v>1.5</v>
      </c>
      <c r="P76" s="933">
        <v>1</v>
      </c>
      <c r="Q76" s="933">
        <v>0.9</v>
      </c>
      <c r="R76" s="832" t="s">
        <v>780</v>
      </c>
      <c r="S76" s="3688"/>
      <c r="T76" s="3660"/>
      <c r="U76" s="3683"/>
      <c r="V76" s="3684"/>
      <c r="W76" s="3660"/>
      <c r="X76" s="990" t="b">
        <f>+$X$73</f>
        <v>0</v>
      </c>
      <c r="Z76" s="977" t="s">
        <v>2002</v>
      </c>
    </row>
    <row r="77" spans="1:26" s="977" customFormat="1">
      <c r="A77" s="3782"/>
      <c r="B77" s="3694"/>
      <c r="C77" s="3695"/>
      <c r="D77" s="3696"/>
      <c r="E77" s="3691" t="s">
        <v>1501</v>
      </c>
      <c r="F77" s="3692"/>
      <c r="G77" s="3692"/>
      <c r="H77" s="3692"/>
      <c r="I77" s="3693"/>
      <c r="J77" s="3664">
        <v>379850</v>
      </c>
      <c r="K77" s="3666" t="s">
        <v>332</v>
      </c>
      <c r="L77" s="3671"/>
      <c r="M77" s="3672"/>
      <c r="N77" s="3673"/>
      <c r="O77" s="1270" t="s">
        <v>333</v>
      </c>
      <c r="P77" s="1271" t="s">
        <v>334</v>
      </c>
      <c r="Q77" s="1271" t="s">
        <v>780</v>
      </c>
      <c r="R77" s="1272" t="s">
        <v>780</v>
      </c>
      <c r="S77" s="3701">
        <f>ROUNDDOWN(L78*L81*L83,2)</f>
        <v>0</v>
      </c>
      <c r="T77" s="3659">
        <f>INT(J77*S77)</f>
        <v>0</v>
      </c>
      <c r="U77" s="3682"/>
      <c r="V77" s="3668" t="s">
        <v>864</v>
      </c>
      <c r="W77" s="3659">
        <f>INT(T77*U77)</f>
        <v>0</v>
      </c>
      <c r="X77" s="990" t="b">
        <f>COUNTA($L77,$L79,$N79,$L82,$U77)&lt;&gt;0</f>
        <v>0</v>
      </c>
    </row>
    <row r="78" spans="1:26" s="977" customFormat="1">
      <c r="A78" s="3782"/>
      <c r="B78" s="3694"/>
      <c r="C78" s="3695"/>
      <c r="D78" s="3696"/>
      <c r="E78" s="3694"/>
      <c r="F78" s="3695"/>
      <c r="G78" s="3695"/>
      <c r="H78" s="3695"/>
      <c r="I78" s="3696"/>
      <c r="J78" s="3665"/>
      <c r="K78" s="3667"/>
      <c r="L78" s="3661">
        <f>IF(L77="",0,HLOOKUP(L77,O77:R78,2,0))</f>
        <v>0</v>
      </c>
      <c r="M78" s="3662"/>
      <c r="N78" s="3663"/>
      <c r="O78" s="991">
        <v>1.3</v>
      </c>
      <c r="P78" s="933">
        <v>1</v>
      </c>
      <c r="Q78" s="933" t="s">
        <v>780</v>
      </c>
      <c r="R78" s="832" t="s">
        <v>780</v>
      </c>
      <c r="S78" s="3702"/>
      <c r="T78" s="3670"/>
      <c r="U78" s="3686"/>
      <c r="V78" s="3669"/>
      <c r="W78" s="3670"/>
      <c r="X78" s="990" t="b">
        <f>+$X$77</f>
        <v>0</v>
      </c>
    </row>
    <row r="79" spans="1:26" s="977" customFormat="1">
      <c r="A79" s="3782"/>
      <c r="B79" s="3694"/>
      <c r="C79" s="3695"/>
      <c r="D79" s="3696"/>
      <c r="E79" s="3694"/>
      <c r="F79" s="3695"/>
      <c r="G79" s="3695"/>
      <c r="H79" s="3695"/>
      <c r="I79" s="3696"/>
      <c r="J79" s="3665"/>
      <c r="K79" s="3700" t="s">
        <v>335</v>
      </c>
      <c r="L79" s="992"/>
      <c r="M79" s="993" t="s">
        <v>336</v>
      </c>
      <c r="N79" s="994"/>
      <c r="O79" s="1280" t="s">
        <v>2275</v>
      </c>
      <c r="P79" s="1281" t="s">
        <v>338</v>
      </c>
      <c r="Q79" s="1281" t="s">
        <v>339</v>
      </c>
      <c r="R79" s="1282"/>
      <c r="S79" s="3702"/>
      <c r="T79" s="3670"/>
      <c r="U79" s="3686"/>
      <c r="V79" s="3669"/>
      <c r="W79" s="3670"/>
      <c r="X79" s="990" t="b">
        <f t="shared" ref="X79:X83" si="5">+$X$77</f>
        <v>0</v>
      </c>
    </row>
    <row r="80" spans="1:26" s="977" customFormat="1">
      <c r="A80" s="3782"/>
      <c r="B80" s="3694"/>
      <c r="C80" s="3695"/>
      <c r="D80" s="3696"/>
      <c r="E80" s="3694"/>
      <c r="F80" s="3695"/>
      <c r="G80" s="3695"/>
      <c r="H80" s="3695"/>
      <c r="I80" s="3696"/>
      <c r="J80" s="3665"/>
      <c r="K80" s="3700"/>
      <c r="L80" s="3704">
        <f>L79*N79</f>
        <v>0</v>
      </c>
      <c r="M80" s="3705"/>
      <c r="N80" s="3706"/>
      <c r="O80" s="1283">
        <v>38400</v>
      </c>
      <c r="P80" s="1284">
        <v>25200</v>
      </c>
      <c r="Q80" s="1284">
        <v>19200</v>
      </c>
      <c r="R80" s="1285" t="s">
        <v>780</v>
      </c>
      <c r="S80" s="3702"/>
      <c r="T80" s="3670"/>
      <c r="U80" s="3686"/>
      <c r="V80" s="3669"/>
      <c r="W80" s="3670"/>
      <c r="X80" s="990" t="b">
        <f t="shared" si="5"/>
        <v>0</v>
      </c>
    </row>
    <row r="81" spans="1:25" s="977" customFormat="1">
      <c r="A81" s="3782"/>
      <c r="B81" s="3694"/>
      <c r="C81" s="3695"/>
      <c r="D81" s="3696"/>
      <c r="E81" s="3694"/>
      <c r="F81" s="3695"/>
      <c r="G81" s="3695"/>
      <c r="H81" s="3695"/>
      <c r="I81" s="3696"/>
      <c r="J81" s="3665"/>
      <c r="K81" s="3700"/>
      <c r="L81" s="3661">
        <f>IF(L80=0,0,ROUNDDOWN(IF(L80&gt;P80,P81+(O81-P81)/(O80-P80)*(L80-P80),P81-(P81-Q81)/(P80-Q80)*(P80-L80)),2))</f>
        <v>0</v>
      </c>
      <c r="M81" s="3662"/>
      <c r="N81" s="3663"/>
      <c r="O81" s="1731">
        <v>1.25</v>
      </c>
      <c r="P81" s="933">
        <v>1</v>
      </c>
      <c r="Q81" s="933">
        <v>0.9</v>
      </c>
      <c r="R81" s="832" t="s">
        <v>780</v>
      </c>
      <c r="S81" s="3702"/>
      <c r="T81" s="3670"/>
      <c r="U81" s="3686"/>
      <c r="V81" s="3669"/>
      <c r="W81" s="3670"/>
      <c r="X81" s="990" t="b">
        <f t="shared" si="5"/>
        <v>0</v>
      </c>
    </row>
    <row r="82" spans="1:25" s="977" customFormat="1">
      <c r="A82" s="3782"/>
      <c r="B82" s="3694"/>
      <c r="C82" s="3695"/>
      <c r="D82" s="3696"/>
      <c r="E82" s="3694"/>
      <c r="F82" s="3695"/>
      <c r="G82" s="3695"/>
      <c r="H82" s="3695"/>
      <c r="I82" s="3696"/>
      <c r="J82" s="3665"/>
      <c r="K82" s="3666" t="s">
        <v>850</v>
      </c>
      <c r="L82" s="3671"/>
      <c r="M82" s="3672"/>
      <c r="N82" s="3673"/>
      <c r="O82" s="1270" t="s">
        <v>855</v>
      </c>
      <c r="P82" s="1271" t="s">
        <v>822</v>
      </c>
      <c r="Q82" s="1271" t="s">
        <v>857</v>
      </c>
      <c r="R82" s="1272" t="s">
        <v>780</v>
      </c>
      <c r="S82" s="3702"/>
      <c r="T82" s="3670"/>
      <c r="U82" s="3686"/>
      <c r="V82" s="3669"/>
      <c r="W82" s="3670"/>
      <c r="X82" s="990" t="b">
        <f t="shared" si="5"/>
        <v>0</v>
      </c>
      <c r="Y82" s="977" t="s">
        <v>2376</v>
      </c>
    </row>
    <row r="83" spans="1:25" s="977" customFormat="1">
      <c r="A83" s="3782"/>
      <c r="B83" s="3694"/>
      <c r="C83" s="3695"/>
      <c r="D83" s="3696"/>
      <c r="E83" s="3697"/>
      <c r="F83" s="3698"/>
      <c r="G83" s="3698"/>
      <c r="H83" s="3698"/>
      <c r="I83" s="3699"/>
      <c r="J83" s="3687"/>
      <c r="K83" s="3667"/>
      <c r="L83" s="3661">
        <f>IF(L82="",0,HLOOKUP(L82,O82:R83,2,0))</f>
        <v>0</v>
      </c>
      <c r="M83" s="3662"/>
      <c r="N83" s="3663"/>
      <c r="O83" s="991">
        <v>1.2</v>
      </c>
      <c r="P83" s="933">
        <v>1</v>
      </c>
      <c r="Q83" s="933">
        <v>0.9</v>
      </c>
      <c r="R83" s="832" t="s">
        <v>780</v>
      </c>
      <c r="S83" s="3703"/>
      <c r="T83" s="3660"/>
      <c r="U83" s="3683"/>
      <c r="V83" s="3684"/>
      <c r="W83" s="3660"/>
      <c r="X83" s="990" t="b">
        <f t="shared" si="5"/>
        <v>0</v>
      </c>
    </row>
    <row r="84" spans="1:25" s="977" customFormat="1">
      <c r="A84" s="3782"/>
      <c r="B84" s="3694"/>
      <c r="C84" s="3695"/>
      <c r="D84" s="3696"/>
      <c r="E84" s="3691" t="s">
        <v>1500</v>
      </c>
      <c r="F84" s="3692"/>
      <c r="G84" s="3692"/>
      <c r="H84" s="3692"/>
      <c r="I84" s="3693"/>
      <c r="J84" s="3664">
        <v>248090</v>
      </c>
      <c r="K84" s="3700" t="s">
        <v>335</v>
      </c>
      <c r="L84" s="992"/>
      <c r="M84" s="993" t="s">
        <v>336</v>
      </c>
      <c r="N84" s="994"/>
      <c r="O84" s="1280" t="s">
        <v>337</v>
      </c>
      <c r="P84" s="1281" t="s">
        <v>340</v>
      </c>
      <c r="Q84" s="1281" t="s">
        <v>2359</v>
      </c>
      <c r="R84" s="1282"/>
      <c r="S84" s="3701">
        <f>ROUNDDOWN(L86*L88,2)</f>
        <v>0</v>
      </c>
      <c r="T84" s="3659">
        <f>INT(J84*S84)</f>
        <v>0</v>
      </c>
      <c r="U84" s="3682"/>
      <c r="V84" s="3668" t="s">
        <v>864</v>
      </c>
      <c r="W84" s="3659">
        <f>INT(T84*U84)</f>
        <v>0</v>
      </c>
      <c r="X84" s="990" t="b">
        <f>COUNTA($L84,$L87,$N84,$U84)&lt;&gt;0</f>
        <v>0</v>
      </c>
    </row>
    <row r="85" spans="1:25" s="977" customFormat="1">
      <c r="A85" s="3782"/>
      <c r="B85" s="3694"/>
      <c r="C85" s="3695"/>
      <c r="D85" s="3696"/>
      <c r="E85" s="3694"/>
      <c r="F85" s="3695"/>
      <c r="G85" s="3695"/>
      <c r="H85" s="3695"/>
      <c r="I85" s="3696"/>
      <c r="J85" s="3665"/>
      <c r="K85" s="3700"/>
      <c r="L85" s="3704">
        <f>L84*N84</f>
        <v>0</v>
      </c>
      <c r="M85" s="3705"/>
      <c r="N85" s="3706"/>
      <c r="O85" s="1283">
        <v>32000</v>
      </c>
      <c r="P85" s="1284">
        <v>25600</v>
      </c>
      <c r="Q85" s="1284" t="s">
        <v>780</v>
      </c>
      <c r="R85" s="1285" t="s">
        <v>780</v>
      </c>
      <c r="S85" s="3702"/>
      <c r="T85" s="3670"/>
      <c r="U85" s="3686"/>
      <c r="V85" s="3669"/>
      <c r="W85" s="3670"/>
      <c r="X85" s="990" t="b">
        <f>+$X$84</f>
        <v>0</v>
      </c>
    </row>
    <row r="86" spans="1:25" s="977" customFormat="1">
      <c r="A86" s="3782"/>
      <c r="B86" s="3694"/>
      <c r="C86" s="3695"/>
      <c r="D86" s="3696"/>
      <c r="E86" s="3694"/>
      <c r="F86" s="3695"/>
      <c r="G86" s="3695"/>
      <c r="H86" s="3695"/>
      <c r="I86" s="3696"/>
      <c r="J86" s="3665"/>
      <c r="K86" s="3700"/>
      <c r="L86" s="3661">
        <f>MAX(IF(L85=0,0,ROUNDDOWN(P86+(O86-P86)/(O85-P85)*(L85-P85),2)),P86)</f>
        <v>1</v>
      </c>
      <c r="M86" s="3662"/>
      <c r="N86" s="3663"/>
      <c r="O86" s="1731">
        <v>1.2</v>
      </c>
      <c r="P86" s="933">
        <v>1</v>
      </c>
      <c r="Q86" s="1732" t="s">
        <v>780</v>
      </c>
      <c r="R86" s="832" t="s">
        <v>780</v>
      </c>
      <c r="S86" s="3702"/>
      <c r="T86" s="3670"/>
      <c r="U86" s="3686"/>
      <c r="V86" s="3669"/>
      <c r="W86" s="3670"/>
      <c r="X86" s="990" t="b">
        <f t="shared" ref="X86:X88" si="6">+$X$84</f>
        <v>0</v>
      </c>
    </row>
    <row r="87" spans="1:25" s="977" customFormat="1">
      <c r="A87" s="3782"/>
      <c r="B87" s="3694"/>
      <c r="C87" s="3695"/>
      <c r="D87" s="3696"/>
      <c r="E87" s="3694"/>
      <c r="F87" s="3695"/>
      <c r="G87" s="3695"/>
      <c r="H87" s="3695"/>
      <c r="I87" s="3696"/>
      <c r="J87" s="3665"/>
      <c r="K87" s="3666" t="s">
        <v>850</v>
      </c>
      <c r="L87" s="3671"/>
      <c r="M87" s="3672"/>
      <c r="N87" s="3673"/>
      <c r="O87" s="1270" t="s">
        <v>855</v>
      </c>
      <c r="P87" s="1271" t="s">
        <v>822</v>
      </c>
      <c r="Q87" s="1271" t="s">
        <v>857</v>
      </c>
      <c r="R87" s="1272" t="s">
        <v>780</v>
      </c>
      <c r="S87" s="3702"/>
      <c r="T87" s="3670"/>
      <c r="U87" s="3686"/>
      <c r="V87" s="3669"/>
      <c r="W87" s="3670"/>
      <c r="X87" s="990" t="b">
        <f t="shared" si="6"/>
        <v>0</v>
      </c>
    </row>
    <row r="88" spans="1:25" s="977" customFormat="1">
      <c r="A88" s="3782"/>
      <c r="B88" s="3694"/>
      <c r="C88" s="3695"/>
      <c r="D88" s="3696"/>
      <c r="E88" s="3697"/>
      <c r="F88" s="3698"/>
      <c r="G88" s="3698"/>
      <c r="H88" s="3698"/>
      <c r="I88" s="3699"/>
      <c r="J88" s="3687"/>
      <c r="K88" s="3667"/>
      <c r="L88" s="3661">
        <f>IF(L87="",0,HLOOKUP(L87,O87:R88,2,0))</f>
        <v>0</v>
      </c>
      <c r="M88" s="3662"/>
      <c r="N88" s="3663"/>
      <c r="O88" s="991">
        <v>1.2</v>
      </c>
      <c r="P88" s="933">
        <v>1</v>
      </c>
      <c r="Q88" s="933">
        <v>0.9</v>
      </c>
      <c r="R88" s="832" t="s">
        <v>780</v>
      </c>
      <c r="S88" s="3703"/>
      <c r="T88" s="3660"/>
      <c r="U88" s="3683"/>
      <c r="V88" s="3684"/>
      <c r="W88" s="3660"/>
      <c r="X88" s="990" t="b">
        <f t="shared" si="6"/>
        <v>0</v>
      </c>
    </row>
    <row r="89" spans="1:25" s="977" customFormat="1">
      <c r="A89" s="3782"/>
      <c r="B89" s="3694"/>
      <c r="C89" s="3695"/>
      <c r="D89" s="3696"/>
      <c r="E89" s="3691" t="s">
        <v>341</v>
      </c>
      <c r="F89" s="3692"/>
      <c r="G89" s="3692"/>
      <c r="H89" s="3692"/>
      <c r="I89" s="3693"/>
      <c r="J89" s="3664">
        <v>51950</v>
      </c>
      <c r="K89" s="3666" t="s">
        <v>850</v>
      </c>
      <c r="L89" s="3671"/>
      <c r="M89" s="3672"/>
      <c r="N89" s="3673"/>
      <c r="O89" s="1270" t="s">
        <v>855</v>
      </c>
      <c r="P89" s="1271" t="s">
        <v>822</v>
      </c>
      <c r="Q89" s="1271" t="s">
        <v>857</v>
      </c>
      <c r="R89" s="1272" t="s">
        <v>780</v>
      </c>
      <c r="S89" s="3616">
        <f>L90</f>
        <v>0</v>
      </c>
      <c r="T89" s="3659">
        <f>INT(J89*S89)</f>
        <v>0</v>
      </c>
      <c r="U89" s="3682"/>
      <c r="V89" s="3668" t="s">
        <v>864</v>
      </c>
      <c r="W89" s="3659">
        <f>INT(T89*U89)</f>
        <v>0</v>
      </c>
      <c r="X89" s="990" t="b">
        <f>COUNTA($L89,$U89)&lt;&gt;0</f>
        <v>0</v>
      </c>
    </row>
    <row r="90" spans="1:25" s="977" customFormat="1">
      <c r="A90" s="3782"/>
      <c r="B90" s="3694"/>
      <c r="C90" s="3695"/>
      <c r="D90" s="3696"/>
      <c r="E90" s="3697"/>
      <c r="F90" s="3698"/>
      <c r="G90" s="3698"/>
      <c r="H90" s="3698"/>
      <c r="I90" s="3699"/>
      <c r="J90" s="3687"/>
      <c r="K90" s="3667"/>
      <c r="L90" s="3661">
        <f>IF(L89="",0,HLOOKUP(L89,O89:R90,2,0))</f>
        <v>0</v>
      </c>
      <c r="M90" s="3662"/>
      <c r="N90" s="3663"/>
      <c r="O90" s="991">
        <v>1.2</v>
      </c>
      <c r="P90" s="933">
        <v>1</v>
      </c>
      <c r="Q90" s="933">
        <v>0.9</v>
      </c>
      <c r="R90" s="832" t="s">
        <v>780</v>
      </c>
      <c r="S90" s="3688"/>
      <c r="T90" s="3660"/>
      <c r="U90" s="3683"/>
      <c r="V90" s="3684"/>
      <c r="W90" s="3660"/>
      <c r="X90" s="990" t="b">
        <f>+$X89</f>
        <v>0</v>
      </c>
    </row>
    <row r="91" spans="1:25" s="977" customFormat="1">
      <c r="A91" s="3782"/>
      <c r="B91" s="3694"/>
      <c r="C91" s="3695"/>
      <c r="D91" s="3696"/>
      <c r="E91" s="3691" t="s">
        <v>1499</v>
      </c>
      <c r="F91" s="3692"/>
      <c r="G91" s="3692"/>
      <c r="H91" s="3692"/>
      <c r="I91" s="3693"/>
      <c r="J91" s="3664">
        <v>185310</v>
      </c>
      <c r="K91" s="3700" t="s">
        <v>335</v>
      </c>
      <c r="L91" s="992"/>
      <c r="M91" s="993" t="s">
        <v>336</v>
      </c>
      <c r="N91" s="994"/>
      <c r="O91" s="1280" t="s">
        <v>342</v>
      </c>
      <c r="P91" s="1281" t="s">
        <v>343</v>
      </c>
      <c r="Q91" s="1281" t="s">
        <v>344</v>
      </c>
      <c r="R91" s="1282"/>
      <c r="S91" s="3701">
        <f>ROUNDDOWN(L93*L95,2)</f>
        <v>0</v>
      </c>
      <c r="T91" s="3659">
        <f>INT(J91*S91)</f>
        <v>0</v>
      </c>
      <c r="U91" s="3682"/>
      <c r="V91" s="3668" t="s">
        <v>864</v>
      </c>
      <c r="W91" s="3659">
        <f>INT(T91*U91)</f>
        <v>0</v>
      </c>
      <c r="X91" s="990" t="b">
        <f>COUNTA($L91,$L94,$N91,$U91)&lt;&gt;0</f>
        <v>0</v>
      </c>
    </row>
    <row r="92" spans="1:25" s="977" customFormat="1">
      <c r="A92" s="3782"/>
      <c r="B92" s="3694"/>
      <c r="C92" s="3695"/>
      <c r="D92" s="3696"/>
      <c r="E92" s="3694"/>
      <c r="F92" s="3695"/>
      <c r="G92" s="3695"/>
      <c r="H92" s="3695"/>
      <c r="I92" s="3696"/>
      <c r="J92" s="3665"/>
      <c r="K92" s="3700"/>
      <c r="L92" s="3704">
        <f>L91*N91</f>
        <v>0</v>
      </c>
      <c r="M92" s="3705"/>
      <c r="N92" s="3706"/>
      <c r="O92" s="1283">
        <v>12800</v>
      </c>
      <c r="P92" s="1284">
        <v>9600</v>
      </c>
      <c r="Q92" s="1284">
        <v>6400</v>
      </c>
      <c r="R92" s="1285" t="s">
        <v>780</v>
      </c>
      <c r="S92" s="3702"/>
      <c r="T92" s="3670"/>
      <c r="U92" s="3686"/>
      <c r="V92" s="3669"/>
      <c r="W92" s="3670"/>
      <c r="X92" s="990" t="b">
        <f>+$X$91</f>
        <v>0</v>
      </c>
    </row>
    <row r="93" spans="1:25" s="977" customFormat="1">
      <c r="A93" s="3782"/>
      <c r="B93" s="3694"/>
      <c r="C93" s="3695"/>
      <c r="D93" s="3696"/>
      <c r="E93" s="3694"/>
      <c r="F93" s="3695"/>
      <c r="G93" s="3695"/>
      <c r="H93" s="3695"/>
      <c r="I93" s="3696"/>
      <c r="J93" s="3665"/>
      <c r="K93" s="3700"/>
      <c r="L93" s="3661">
        <f>IF(L92=0,0,ROUNDDOWN(IF(L92&gt;P92,P93+(O93-P93)/(O92-P92)*(L92-P92),P93-(P93-Q93)/(P92-Q92)*(P92-L92)),2))</f>
        <v>0</v>
      </c>
      <c r="M93" s="3662"/>
      <c r="N93" s="3663"/>
      <c r="O93" s="1731">
        <v>1.1000000000000001</v>
      </c>
      <c r="P93" s="933">
        <v>1</v>
      </c>
      <c r="Q93" s="933">
        <v>0.8</v>
      </c>
      <c r="R93" s="832" t="s">
        <v>780</v>
      </c>
      <c r="S93" s="3702"/>
      <c r="T93" s="3670"/>
      <c r="U93" s="3686"/>
      <c r="V93" s="3669"/>
      <c r="W93" s="3670"/>
      <c r="X93" s="990" t="b">
        <f t="shared" ref="X93:X95" si="7">+$X$91</f>
        <v>0</v>
      </c>
    </row>
    <row r="94" spans="1:25" s="977" customFormat="1">
      <c r="A94" s="3782"/>
      <c r="B94" s="3694"/>
      <c r="C94" s="3695"/>
      <c r="D94" s="3696"/>
      <c r="E94" s="3694"/>
      <c r="F94" s="3695"/>
      <c r="G94" s="3695"/>
      <c r="H94" s="3695"/>
      <c r="I94" s="3696"/>
      <c r="J94" s="3665"/>
      <c r="K94" s="3666" t="s">
        <v>850</v>
      </c>
      <c r="L94" s="3671"/>
      <c r="M94" s="3672"/>
      <c r="N94" s="3673"/>
      <c r="O94" s="1270" t="s">
        <v>855</v>
      </c>
      <c r="P94" s="1271" t="s">
        <v>822</v>
      </c>
      <c r="Q94" s="1271" t="s">
        <v>857</v>
      </c>
      <c r="R94" s="1272" t="s">
        <v>780</v>
      </c>
      <c r="S94" s="3702"/>
      <c r="T94" s="3670"/>
      <c r="U94" s="3686"/>
      <c r="V94" s="3669"/>
      <c r="W94" s="3670"/>
      <c r="X94" s="990" t="b">
        <f t="shared" si="7"/>
        <v>0</v>
      </c>
    </row>
    <row r="95" spans="1:25" s="977" customFormat="1">
      <c r="A95" s="3782"/>
      <c r="B95" s="3694"/>
      <c r="C95" s="3695"/>
      <c r="D95" s="3696"/>
      <c r="E95" s="3697"/>
      <c r="F95" s="3698"/>
      <c r="G95" s="3698"/>
      <c r="H95" s="3698"/>
      <c r="I95" s="3699"/>
      <c r="J95" s="3687"/>
      <c r="K95" s="3667"/>
      <c r="L95" s="3661">
        <f>IF(L94="",0,HLOOKUP(L94,O94:R95,2,0))</f>
        <v>0</v>
      </c>
      <c r="M95" s="3662"/>
      <c r="N95" s="3663"/>
      <c r="O95" s="991">
        <v>1.2</v>
      </c>
      <c r="P95" s="933">
        <v>1</v>
      </c>
      <c r="Q95" s="933">
        <v>0.9</v>
      </c>
      <c r="R95" s="832" t="s">
        <v>780</v>
      </c>
      <c r="S95" s="3703"/>
      <c r="T95" s="3660"/>
      <c r="U95" s="3683"/>
      <c r="V95" s="3684"/>
      <c r="W95" s="3660"/>
      <c r="X95" s="990" t="b">
        <f t="shared" si="7"/>
        <v>0</v>
      </c>
    </row>
    <row r="96" spans="1:25" s="977" customFormat="1">
      <c r="A96" s="3782"/>
      <c r="B96" s="3694"/>
      <c r="C96" s="3695"/>
      <c r="D96" s="3696"/>
      <c r="E96" s="3691" t="s">
        <v>1498</v>
      </c>
      <c r="F96" s="3692"/>
      <c r="G96" s="3692"/>
      <c r="H96" s="3692"/>
      <c r="I96" s="3693"/>
      <c r="J96" s="3664">
        <v>48200</v>
      </c>
      <c r="K96" s="3666" t="s">
        <v>314</v>
      </c>
      <c r="L96" s="3671"/>
      <c r="M96" s="3672"/>
      <c r="N96" s="3673"/>
      <c r="O96" s="1278" t="s">
        <v>345</v>
      </c>
      <c r="P96" s="1279" t="s">
        <v>346</v>
      </c>
      <c r="Q96" s="1279" t="s">
        <v>2276</v>
      </c>
      <c r="R96" s="1272" t="s">
        <v>780</v>
      </c>
      <c r="S96" s="3616">
        <f>ROUNDDOWN(L97*L99,2)</f>
        <v>0</v>
      </c>
      <c r="T96" s="3659">
        <f>INT(J96*S96)</f>
        <v>0</v>
      </c>
      <c r="U96" s="3682"/>
      <c r="V96" s="3668" t="s">
        <v>864</v>
      </c>
      <c r="W96" s="3659">
        <f>INT(T96*U96)</f>
        <v>0</v>
      </c>
      <c r="X96" s="990" t="b">
        <f>COUNTA($L96,$L98,$U96)&lt;&gt;0</f>
        <v>0</v>
      </c>
    </row>
    <row r="97" spans="1:25" s="977" customFormat="1">
      <c r="A97" s="3782"/>
      <c r="B97" s="3694"/>
      <c r="C97" s="3695"/>
      <c r="D97" s="3696"/>
      <c r="E97" s="3694"/>
      <c r="F97" s="3695"/>
      <c r="G97" s="3695"/>
      <c r="H97" s="3695"/>
      <c r="I97" s="3696"/>
      <c r="J97" s="3665"/>
      <c r="K97" s="3667"/>
      <c r="L97" s="3661">
        <f>IF(L96="",0,HLOOKUP(L96,O96:R97,2,0))</f>
        <v>0</v>
      </c>
      <c r="M97" s="3662"/>
      <c r="N97" s="3663"/>
      <c r="O97" s="991">
        <v>1.1000000000000001</v>
      </c>
      <c r="P97" s="933">
        <v>1</v>
      </c>
      <c r="Q97" s="933">
        <v>0.96</v>
      </c>
      <c r="R97" s="832" t="s">
        <v>780</v>
      </c>
      <c r="S97" s="3685"/>
      <c r="T97" s="3670"/>
      <c r="U97" s="3686"/>
      <c r="V97" s="3669"/>
      <c r="W97" s="3670"/>
      <c r="X97" s="990" t="b">
        <f>+$X$96</f>
        <v>0</v>
      </c>
    </row>
    <row r="98" spans="1:25" s="977" customFormat="1">
      <c r="A98" s="3782"/>
      <c r="B98" s="3694"/>
      <c r="C98" s="3695"/>
      <c r="D98" s="3696"/>
      <c r="E98" s="3694"/>
      <c r="F98" s="3695"/>
      <c r="G98" s="3695"/>
      <c r="H98" s="3695"/>
      <c r="I98" s="3696"/>
      <c r="J98" s="3665"/>
      <c r="K98" s="3666" t="s">
        <v>850</v>
      </c>
      <c r="L98" s="3671"/>
      <c r="M98" s="3672"/>
      <c r="N98" s="3673"/>
      <c r="O98" s="1270" t="s">
        <v>855</v>
      </c>
      <c r="P98" s="1271" t="s">
        <v>822</v>
      </c>
      <c r="Q98" s="1271" t="s">
        <v>857</v>
      </c>
      <c r="R98" s="1272" t="s">
        <v>780</v>
      </c>
      <c r="S98" s="3685"/>
      <c r="T98" s="3670"/>
      <c r="U98" s="3686"/>
      <c r="V98" s="3669"/>
      <c r="W98" s="3670"/>
      <c r="X98" s="990" t="b">
        <f t="shared" ref="X98:X99" si="8">+$X$96</f>
        <v>0</v>
      </c>
    </row>
    <row r="99" spans="1:25" s="977" customFormat="1">
      <c r="A99" s="3782"/>
      <c r="B99" s="3694"/>
      <c r="C99" s="3695"/>
      <c r="D99" s="3696"/>
      <c r="E99" s="3697"/>
      <c r="F99" s="3698"/>
      <c r="G99" s="3698"/>
      <c r="H99" s="3698"/>
      <c r="I99" s="3699"/>
      <c r="J99" s="3687"/>
      <c r="K99" s="3667"/>
      <c r="L99" s="3661">
        <f>IF(L98="",0,HLOOKUP(L98,O98:R99,2,0))</f>
        <v>0</v>
      </c>
      <c r="M99" s="3662"/>
      <c r="N99" s="3663"/>
      <c r="O99" s="991">
        <v>1.4</v>
      </c>
      <c r="P99" s="933">
        <v>1</v>
      </c>
      <c r="Q99" s="933">
        <v>0.7</v>
      </c>
      <c r="R99" s="832" t="s">
        <v>780</v>
      </c>
      <c r="S99" s="3688"/>
      <c r="T99" s="3660"/>
      <c r="U99" s="3683"/>
      <c r="V99" s="3684"/>
      <c r="W99" s="3660"/>
      <c r="X99" s="990" t="b">
        <f t="shared" si="8"/>
        <v>0</v>
      </c>
    </row>
    <row r="100" spans="1:25" s="977" customFormat="1">
      <c r="A100" s="3782"/>
      <c r="B100" s="3694"/>
      <c r="C100" s="3695"/>
      <c r="D100" s="3696"/>
      <c r="E100" s="3691" t="s">
        <v>1497</v>
      </c>
      <c r="F100" s="3692"/>
      <c r="G100" s="3692"/>
      <c r="H100" s="3692"/>
      <c r="I100" s="3693"/>
      <c r="J100" s="3664">
        <v>108000</v>
      </c>
      <c r="K100" s="3666" t="s">
        <v>314</v>
      </c>
      <c r="L100" s="3808"/>
      <c r="M100" s="3809"/>
      <c r="N100" s="3810"/>
      <c r="O100" s="1278">
        <v>150</v>
      </c>
      <c r="P100" s="1279">
        <v>120</v>
      </c>
      <c r="Q100" s="1279">
        <v>90</v>
      </c>
      <c r="R100" s="1272" t="s">
        <v>780</v>
      </c>
      <c r="S100" s="3616">
        <f>ROUNDDOWN(L101*L103,2)</f>
        <v>0</v>
      </c>
      <c r="T100" s="3659">
        <f>INT(J100*S100)</f>
        <v>0</v>
      </c>
      <c r="U100" s="3682"/>
      <c r="V100" s="3668" t="s">
        <v>864</v>
      </c>
      <c r="W100" s="3659">
        <f>INT(T100*U100)</f>
        <v>0</v>
      </c>
      <c r="X100" s="990" t="b">
        <f>COUNTA($L100,$L102,$U100)&lt;&gt;0</f>
        <v>0</v>
      </c>
      <c r="Y100" s="977" t="s">
        <v>1483</v>
      </c>
    </row>
    <row r="101" spans="1:25" s="977" customFormat="1">
      <c r="A101" s="3782"/>
      <c r="B101" s="3694"/>
      <c r="C101" s="3695"/>
      <c r="D101" s="3696"/>
      <c r="E101" s="3694"/>
      <c r="F101" s="3695"/>
      <c r="G101" s="3695"/>
      <c r="H101" s="3695"/>
      <c r="I101" s="3696"/>
      <c r="J101" s="3665"/>
      <c r="K101" s="3667"/>
      <c r="L101" s="3661">
        <f>IF(L100="",0,ROUNDDOWN(IF(L100&gt;P100,P101+(O101-P101)/(O100-P100)*(L100-P100),P101-(P101-Q101)/(P100-Q100)*(P100-L100)),2))</f>
        <v>0</v>
      </c>
      <c r="M101" s="3662"/>
      <c r="N101" s="3663"/>
      <c r="O101" s="991">
        <v>1.1499999999999999</v>
      </c>
      <c r="P101" s="933">
        <v>1</v>
      </c>
      <c r="Q101" s="933">
        <v>0.9</v>
      </c>
      <c r="R101" s="832" t="s">
        <v>780</v>
      </c>
      <c r="S101" s="3685"/>
      <c r="T101" s="3670"/>
      <c r="U101" s="3686"/>
      <c r="V101" s="3669"/>
      <c r="W101" s="3670"/>
      <c r="X101" s="990" t="b">
        <f>+$X$100</f>
        <v>0</v>
      </c>
      <c r="Y101" s="977" t="s">
        <v>2375</v>
      </c>
    </row>
    <row r="102" spans="1:25" s="977" customFormat="1">
      <c r="A102" s="3782"/>
      <c r="B102" s="3694"/>
      <c r="C102" s="3695"/>
      <c r="D102" s="3696"/>
      <c r="E102" s="3694"/>
      <c r="F102" s="3695"/>
      <c r="G102" s="3695"/>
      <c r="H102" s="3695"/>
      <c r="I102" s="3696"/>
      <c r="J102" s="3665"/>
      <c r="K102" s="3666" t="s">
        <v>850</v>
      </c>
      <c r="L102" s="3671"/>
      <c r="M102" s="3672"/>
      <c r="N102" s="3673"/>
      <c r="O102" s="1270" t="s">
        <v>855</v>
      </c>
      <c r="P102" s="1271" t="s">
        <v>822</v>
      </c>
      <c r="Q102" s="1271" t="s">
        <v>857</v>
      </c>
      <c r="R102" s="1272" t="s">
        <v>780</v>
      </c>
      <c r="S102" s="3685"/>
      <c r="T102" s="3670"/>
      <c r="U102" s="3686"/>
      <c r="V102" s="3669"/>
      <c r="W102" s="3670"/>
      <c r="X102" s="990" t="b">
        <f t="shared" ref="X102:X103" si="9">+$X$100</f>
        <v>0</v>
      </c>
    </row>
    <row r="103" spans="1:25" s="977" customFormat="1">
      <c r="A103" s="3782"/>
      <c r="B103" s="3694"/>
      <c r="C103" s="3695"/>
      <c r="D103" s="3696"/>
      <c r="E103" s="3697"/>
      <c r="F103" s="3698"/>
      <c r="G103" s="3698"/>
      <c r="H103" s="3698"/>
      <c r="I103" s="3699"/>
      <c r="J103" s="3687"/>
      <c r="K103" s="3667"/>
      <c r="L103" s="3661">
        <f>IF(L102="",0,HLOOKUP(L102,O102:R103,2,0))</f>
        <v>0</v>
      </c>
      <c r="M103" s="3662"/>
      <c r="N103" s="3663"/>
      <c r="O103" s="991">
        <v>1.5</v>
      </c>
      <c r="P103" s="933">
        <v>1</v>
      </c>
      <c r="Q103" s="933">
        <v>0.5</v>
      </c>
      <c r="R103" s="832" t="s">
        <v>780</v>
      </c>
      <c r="S103" s="3688"/>
      <c r="T103" s="3660"/>
      <c r="U103" s="3683"/>
      <c r="V103" s="3684"/>
      <c r="W103" s="3660"/>
      <c r="X103" s="990" t="b">
        <f t="shared" si="9"/>
        <v>0</v>
      </c>
    </row>
    <row r="104" spans="1:25" s="977" customFormat="1">
      <c r="A104" s="3782"/>
      <c r="B104" s="3694"/>
      <c r="C104" s="3695"/>
      <c r="D104" s="3696"/>
      <c r="E104" s="3691" t="s">
        <v>1496</v>
      </c>
      <c r="F104" s="3692"/>
      <c r="G104" s="3692"/>
      <c r="H104" s="3692"/>
      <c r="I104" s="3693"/>
      <c r="J104" s="3664">
        <v>297800</v>
      </c>
      <c r="K104" s="3666" t="s">
        <v>314</v>
      </c>
      <c r="L104" s="3808"/>
      <c r="M104" s="3809"/>
      <c r="N104" s="3810"/>
      <c r="O104" s="1278">
        <v>300</v>
      </c>
      <c r="P104" s="1279">
        <v>255</v>
      </c>
      <c r="Q104" s="1279">
        <v>180</v>
      </c>
      <c r="R104" s="1272" t="s">
        <v>780</v>
      </c>
      <c r="S104" s="3616">
        <f>ROUNDDOWN(L105*L107,2)</f>
        <v>0</v>
      </c>
      <c r="T104" s="3659">
        <f>INT(J104*S104)</f>
        <v>0</v>
      </c>
      <c r="U104" s="3682"/>
      <c r="V104" s="3668" t="s">
        <v>864</v>
      </c>
      <c r="W104" s="3659">
        <f>INT(T104*U104)</f>
        <v>0</v>
      </c>
      <c r="X104" s="990" t="b">
        <f>COUNTA($L104,$L106,$U104)&lt;&gt;0</f>
        <v>0</v>
      </c>
      <c r="Y104" s="977" t="s">
        <v>1477</v>
      </c>
    </row>
    <row r="105" spans="1:25" s="977" customFormat="1">
      <c r="A105" s="3782"/>
      <c r="B105" s="3694"/>
      <c r="C105" s="3695"/>
      <c r="D105" s="3696"/>
      <c r="E105" s="3694"/>
      <c r="F105" s="3695"/>
      <c r="G105" s="3695"/>
      <c r="H105" s="3695"/>
      <c r="I105" s="3696"/>
      <c r="J105" s="3665"/>
      <c r="K105" s="3667"/>
      <c r="L105" s="3661">
        <f>IF(L104="",0,ROUNDDOWN(IF(L104&gt;P104,P105+(O105-P105)/(O104-P104)*(L104-P104),P105-(P105-Q105)/(P104-Q104)*(P104-L104)),2))</f>
        <v>0</v>
      </c>
      <c r="M105" s="3662"/>
      <c r="N105" s="3663"/>
      <c r="O105" s="991">
        <v>1.1499999999999999</v>
      </c>
      <c r="P105" s="933">
        <v>1</v>
      </c>
      <c r="Q105" s="933">
        <v>0.8</v>
      </c>
      <c r="R105" s="832" t="s">
        <v>780</v>
      </c>
      <c r="S105" s="3685"/>
      <c r="T105" s="3670"/>
      <c r="U105" s="3686"/>
      <c r="V105" s="3669"/>
      <c r="W105" s="3670"/>
      <c r="X105" s="990" t="b">
        <f>+$X$104</f>
        <v>0</v>
      </c>
    </row>
    <row r="106" spans="1:25" s="977" customFormat="1">
      <c r="A106" s="3782"/>
      <c r="B106" s="3694"/>
      <c r="C106" s="3695"/>
      <c r="D106" s="3696"/>
      <c r="E106" s="3694"/>
      <c r="F106" s="3695"/>
      <c r="G106" s="3695"/>
      <c r="H106" s="3695"/>
      <c r="I106" s="3696"/>
      <c r="J106" s="3665"/>
      <c r="K106" s="3666" t="s">
        <v>850</v>
      </c>
      <c r="L106" s="3671"/>
      <c r="M106" s="3672"/>
      <c r="N106" s="3673"/>
      <c r="O106" s="1270" t="s">
        <v>855</v>
      </c>
      <c r="P106" s="1271" t="s">
        <v>822</v>
      </c>
      <c r="Q106" s="1271" t="s">
        <v>857</v>
      </c>
      <c r="R106" s="1272" t="s">
        <v>780</v>
      </c>
      <c r="S106" s="3685"/>
      <c r="T106" s="3670"/>
      <c r="U106" s="3686"/>
      <c r="V106" s="3669"/>
      <c r="W106" s="3670"/>
      <c r="X106" s="990" t="b">
        <f t="shared" ref="X106:X107" si="10">+$X$104</f>
        <v>0</v>
      </c>
    </row>
    <row r="107" spans="1:25" s="977" customFormat="1">
      <c r="A107" s="3782"/>
      <c r="B107" s="3694"/>
      <c r="C107" s="3695"/>
      <c r="D107" s="3696"/>
      <c r="E107" s="3697"/>
      <c r="F107" s="3698"/>
      <c r="G107" s="3698"/>
      <c r="H107" s="3698"/>
      <c r="I107" s="3699"/>
      <c r="J107" s="3687"/>
      <c r="K107" s="3667"/>
      <c r="L107" s="3661">
        <f>IF(L106="",0,HLOOKUP(L106,O106:R107,2,0))</f>
        <v>0</v>
      </c>
      <c r="M107" s="3662"/>
      <c r="N107" s="3663"/>
      <c r="O107" s="991">
        <v>1.5</v>
      </c>
      <c r="P107" s="933">
        <v>1</v>
      </c>
      <c r="Q107" s="933">
        <v>0.5</v>
      </c>
      <c r="R107" s="832" t="s">
        <v>780</v>
      </c>
      <c r="S107" s="3688"/>
      <c r="T107" s="3660"/>
      <c r="U107" s="3683"/>
      <c r="V107" s="3684"/>
      <c r="W107" s="3660"/>
      <c r="X107" s="990" t="b">
        <f t="shared" si="10"/>
        <v>0</v>
      </c>
    </row>
    <row r="108" spans="1:25" s="977" customFormat="1">
      <c r="A108" s="3782"/>
      <c r="B108" s="3694"/>
      <c r="C108" s="3695"/>
      <c r="D108" s="3696"/>
      <c r="E108" s="3691" t="s">
        <v>1495</v>
      </c>
      <c r="F108" s="3692"/>
      <c r="G108" s="3692"/>
      <c r="H108" s="3692"/>
      <c r="I108" s="3693"/>
      <c r="J108" s="3664">
        <v>31090</v>
      </c>
      <c r="K108" s="3666" t="s">
        <v>850</v>
      </c>
      <c r="L108" s="3671"/>
      <c r="M108" s="3672"/>
      <c r="N108" s="3673"/>
      <c r="O108" s="1270" t="s">
        <v>855</v>
      </c>
      <c r="P108" s="1271" t="s">
        <v>822</v>
      </c>
      <c r="Q108" s="1271" t="s">
        <v>857</v>
      </c>
      <c r="R108" s="1272" t="s">
        <v>780</v>
      </c>
      <c r="S108" s="3616">
        <f>L109</f>
        <v>0</v>
      </c>
      <c r="T108" s="3659">
        <f>INT(J108*S108)</f>
        <v>0</v>
      </c>
      <c r="U108" s="3682"/>
      <c r="V108" s="3668" t="s">
        <v>864</v>
      </c>
      <c r="W108" s="3659">
        <f>INT(T108*U108)</f>
        <v>0</v>
      </c>
      <c r="X108" s="990" t="b">
        <f>COUNTA($L108,$U108)&lt;&gt;0</f>
        <v>0</v>
      </c>
      <c r="Y108" s="977" t="s">
        <v>1478</v>
      </c>
    </row>
    <row r="109" spans="1:25" s="977" customFormat="1">
      <c r="A109" s="3782"/>
      <c r="B109" s="3697"/>
      <c r="C109" s="3698"/>
      <c r="D109" s="3699"/>
      <c r="E109" s="3697"/>
      <c r="F109" s="3698"/>
      <c r="G109" s="3698"/>
      <c r="H109" s="3698"/>
      <c r="I109" s="3699"/>
      <c r="J109" s="3687"/>
      <c r="K109" s="3667"/>
      <c r="L109" s="3661">
        <f>IF(L108="",0,HLOOKUP(L108,O108:R109,2,0))</f>
        <v>0</v>
      </c>
      <c r="M109" s="3662"/>
      <c r="N109" s="3663"/>
      <c r="O109" s="991">
        <v>1.1000000000000001</v>
      </c>
      <c r="P109" s="933">
        <v>1</v>
      </c>
      <c r="Q109" s="933">
        <v>0.9</v>
      </c>
      <c r="R109" s="832" t="s">
        <v>780</v>
      </c>
      <c r="S109" s="3688"/>
      <c r="T109" s="3660"/>
      <c r="U109" s="3683"/>
      <c r="V109" s="3684"/>
      <c r="W109" s="3660"/>
      <c r="X109" s="990" t="b">
        <f>+$X$108</f>
        <v>0</v>
      </c>
      <c r="Y109" s="977" t="s">
        <v>1479</v>
      </c>
    </row>
    <row r="110" spans="1:25" s="977" customFormat="1">
      <c r="A110" s="3782"/>
      <c r="B110" s="3691" t="s">
        <v>1519</v>
      </c>
      <c r="C110" s="3692"/>
      <c r="D110" s="3693"/>
      <c r="E110" s="3691" t="s">
        <v>1494</v>
      </c>
      <c r="F110" s="3692"/>
      <c r="G110" s="3692"/>
      <c r="H110" s="3692"/>
      <c r="I110" s="3693"/>
      <c r="J110" s="3664">
        <v>8430</v>
      </c>
      <c r="K110" s="3666" t="s">
        <v>850</v>
      </c>
      <c r="L110" s="3671"/>
      <c r="M110" s="3672"/>
      <c r="N110" s="3673"/>
      <c r="O110" s="1270" t="s">
        <v>855</v>
      </c>
      <c r="P110" s="1271" t="s">
        <v>822</v>
      </c>
      <c r="Q110" s="1271" t="s">
        <v>857</v>
      </c>
      <c r="R110" s="1272" t="s">
        <v>780</v>
      </c>
      <c r="S110" s="3616">
        <f>L111</f>
        <v>0</v>
      </c>
      <c r="T110" s="3659">
        <f>INT(J110*S110)</f>
        <v>0</v>
      </c>
      <c r="U110" s="3539"/>
      <c r="V110" s="3689" t="s">
        <v>347</v>
      </c>
      <c r="W110" s="3659">
        <f>INT(T110*U110)</f>
        <v>0</v>
      </c>
      <c r="X110" s="990" t="b">
        <f>COUNTA($L110,$U110)&lt;&gt;0</f>
        <v>0</v>
      </c>
      <c r="Y110" s="977" t="s">
        <v>1482</v>
      </c>
    </row>
    <row r="111" spans="1:25" s="977" customFormat="1">
      <c r="A111" s="3782"/>
      <c r="B111" s="3694"/>
      <c r="C111" s="3695"/>
      <c r="D111" s="3696"/>
      <c r="E111" s="3697"/>
      <c r="F111" s="3698"/>
      <c r="G111" s="3698"/>
      <c r="H111" s="3698"/>
      <c r="I111" s="3699"/>
      <c r="J111" s="3687"/>
      <c r="K111" s="3667"/>
      <c r="L111" s="3661">
        <f>IF(L110="",0,HLOOKUP(L110,O110:R111,2,0))</f>
        <v>0</v>
      </c>
      <c r="M111" s="3662"/>
      <c r="N111" s="3663"/>
      <c r="O111" s="991">
        <v>1.2</v>
      </c>
      <c r="P111" s="933">
        <v>1</v>
      </c>
      <c r="Q111" s="933">
        <v>0.8</v>
      </c>
      <c r="R111" s="832" t="s">
        <v>780</v>
      </c>
      <c r="S111" s="3688"/>
      <c r="T111" s="3660"/>
      <c r="U111" s="3540"/>
      <c r="V111" s="3690"/>
      <c r="W111" s="3660"/>
      <c r="X111" s="990" t="b">
        <f>+$X$110</f>
        <v>0</v>
      </c>
    </row>
    <row r="112" spans="1:25" s="977" customFormat="1">
      <c r="A112" s="3782"/>
      <c r="B112" s="3694"/>
      <c r="C112" s="3695"/>
      <c r="D112" s="3696"/>
      <c r="E112" s="3691" t="s">
        <v>1493</v>
      </c>
      <c r="F112" s="3692"/>
      <c r="G112" s="3692"/>
      <c r="H112" s="3692"/>
      <c r="I112" s="3693"/>
      <c r="J112" s="3664">
        <v>14260</v>
      </c>
      <c r="K112" s="3666" t="s">
        <v>850</v>
      </c>
      <c r="L112" s="3671"/>
      <c r="M112" s="3672"/>
      <c r="N112" s="3673"/>
      <c r="O112" s="1270" t="s">
        <v>855</v>
      </c>
      <c r="P112" s="1271" t="s">
        <v>822</v>
      </c>
      <c r="Q112" s="1271" t="s">
        <v>857</v>
      </c>
      <c r="R112" s="1272" t="s">
        <v>780</v>
      </c>
      <c r="S112" s="3616">
        <f>ROUNDDOWN(L113,2)</f>
        <v>0</v>
      </c>
      <c r="T112" s="3659">
        <f>INT(J112*S112)</f>
        <v>0</v>
      </c>
      <c r="U112" s="3539"/>
      <c r="V112" s="3811" t="s">
        <v>347</v>
      </c>
      <c r="W112" s="3659">
        <f>INT(T112*U112)</f>
        <v>0</v>
      </c>
      <c r="X112" s="990" t="b">
        <f>COUNTA($L112,$U112)&lt;&gt;0</f>
        <v>0</v>
      </c>
      <c r="Y112" s="977" t="s">
        <v>1484</v>
      </c>
    </row>
    <row r="113" spans="1:25" s="977" customFormat="1">
      <c r="A113" s="3782"/>
      <c r="B113" s="3694"/>
      <c r="C113" s="3695"/>
      <c r="D113" s="3696"/>
      <c r="E113" s="3694"/>
      <c r="F113" s="3695"/>
      <c r="G113" s="3695"/>
      <c r="H113" s="3695"/>
      <c r="I113" s="3696"/>
      <c r="J113" s="3665"/>
      <c r="K113" s="3667"/>
      <c r="L113" s="3661">
        <f>IF(L112="",0,HLOOKUP(L112,O112:R113,2,0))</f>
        <v>0</v>
      </c>
      <c r="M113" s="3662"/>
      <c r="N113" s="3663"/>
      <c r="O113" s="991">
        <v>1.2</v>
      </c>
      <c r="P113" s="933">
        <v>1</v>
      </c>
      <c r="Q113" s="933">
        <v>0.8</v>
      </c>
      <c r="R113" s="832" t="s">
        <v>780</v>
      </c>
      <c r="S113" s="3685"/>
      <c r="T113" s="3670"/>
      <c r="U113" s="3678"/>
      <c r="V113" s="3812"/>
      <c r="W113" s="3670"/>
      <c r="X113" s="990" t="b">
        <f>+$X$112</f>
        <v>0</v>
      </c>
      <c r="Y113" s="977" t="s">
        <v>1485</v>
      </c>
    </row>
    <row r="114" spans="1:25" s="977" customFormat="1" ht="12">
      <c r="A114" s="3782"/>
      <c r="B114" s="3715" t="s">
        <v>1520</v>
      </c>
      <c r="C114" s="3716"/>
      <c r="D114" s="3717"/>
      <c r="E114" s="3691" t="s">
        <v>1492</v>
      </c>
      <c r="F114" s="3692"/>
      <c r="G114" s="3692"/>
      <c r="H114" s="3692"/>
      <c r="I114" s="2451"/>
      <c r="J114" s="3664">
        <v>12270</v>
      </c>
      <c r="K114" s="3666" t="s">
        <v>850</v>
      </c>
      <c r="L114" s="3671"/>
      <c r="M114" s="3672"/>
      <c r="N114" s="3673"/>
      <c r="O114" s="1270" t="s">
        <v>855</v>
      </c>
      <c r="P114" s="1271" t="s">
        <v>822</v>
      </c>
      <c r="Q114" s="1271" t="s">
        <v>857</v>
      </c>
      <c r="R114" s="1272" t="s">
        <v>780</v>
      </c>
      <c r="S114" s="3616">
        <f>L115</f>
        <v>0</v>
      </c>
      <c r="T114" s="3659">
        <f>INT(J114*S114)</f>
        <v>0</v>
      </c>
      <c r="U114" s="3682"/>
      <c r="V114" s="3668" t="s">
        <v>348</v>
      </c>
      <c r="W114" s="3659">
        <f>INT(T114*U114)</f>
        <v>0</v>
      </c>
      <c r="X114" s="990" t="b">
        <f>COUNTA($L114,$U114)&lt;&gt;0</f>
        <v>0</v>
      </c>
      <c r="Y114" s="977" t="s">
        <v>2202</v>
      </c>
    </row>
    <row r="115" spans="1:25" s="977" customFormat="1" ht="12">
      <c r="A115" s="3782"/>
      <c r="B115" s="3718"/>
      <c r="C115" s="3719"/>
      <c r="D115" s="3720"/>
      <c r="E115" s="3697"/>
      <c r="F115" s="3698"/>
      <c r="G115" s="3698"/>
      <c r="H115" s="3698"/>
      <c r="I115" s="2452"/>
      <c r="J115" s="3687"/>
      <c r="K115" s="3667"/>
      <c r="L115" s="3661">
        <f>IF(L114="",0,HLOOKUP(L114,O114:R115,2,0))</f>
        <v>0</v>
      </c>
      <c r="M115" s="3662"/>
      <c r="N115" s="3663"/>
      <c r="O115" s="991">
        <v>1.1000000000000001</v>
      </c>
      <c r="P115" s="933">
        <v>1</v>
      </c>
      <c r="Q115" s="933">
        <v>0.9</v>
      </c>
      <c r="R115" s="832" t="s">
        <v>780</v>
      </c>
      <c r="S115" s="3688"/>
      <c r="T115" s="3660"/>
      <c r="U115" s="3683"/>
      <c r="V115" s="3684"/>
      <c r="W115" s="3660"/>
      <c r="X115" s="990" t="b">
        <f>+$X$114</f>
        <v>0</v>
      </c>
      <c r="Y115" s="977" t="s">
        <v>2203</v>
      </c>
    </row>
    <row r="116" spans="1:25" s="977" customFormat="1" ht="11.25" customHeight="1">
      <c r="A116" s="3782"/>
      <c r="B116" s="3718"/>
      <c r="C116" s="3719"/>
      <c r="D116" s="3720"/>
      <c r="E116" s="3861" t="s">
        <v>2262</v>
      </c>
      <c r="F116" s="3716"/>
      <c r="G116" s="3716"/>
      <c r="H116" s="3716"/>
      <c r="I116" s="3717"/>
      <c r="J116" s="3664">
        <v>630</v>
      </c>
      <c r="K116" s="3666" t="s">
        <v>349</v>
      </c>
      <c r="L116" s="3671"/>
      <c r="M116" s="3672"/>
      <c r="N116" s="3673"/>
      <c r="O116" s="1270" t="s">
        <v>2204</v>
      </c>
      <c r="P116" s="1271" t="s">
        <v>2205</v>
      </c>
      <c r="Q116" s="1272" t="s">
        <v>2206</v>
      </c>
      <c r="R116" s="2099"/>
      <c r="S116" s="3616">
        <f>ROUNDDOWN(L117*L119,2)</f>
        <v>0</v>
      </c>
      <c r="T116" s="3659">
        <f>INT(J116*S116)</f>
        <v>0</v>
      </c>
      <c r="U116" s="3539"/>
      <c r="V116" s="3679" t="s">
        <v>1480</v>
      </c>
      <c r="W116" s="3659">
        <f>INT(T116*U116)</f>
        <v>0</v>
      </c>
      <c r="X116" s="990" t="b">
        <f>COUNTA($L116,$L118,$U116)&lt;&gt;0</f>
        <v>0</v>
      </c>
      <c r="Y116" s="977" t="s">
        <v>2208</v>
      </c>
    </row>
    <row r="117" spans="1:25" s="977" customFormat="1" ht="11.25" customHeight="1">
      <c r="A117" s="3782"/>
      <c r="B117" s="3718"/>
      <c r="C117" s="3719"/>
      <c r="D117" s="3720"/>
      <c r="E117" s="3718"/>
      <c r="F117" s="3719"/>
      <c r="G117" s="3719"/>
      <c r="H117" s="3719"/>
      <c r="I117" s="3720"/>
      <c r="J117" s="3665"/>
      <c r="K117" s="3667"/>
      <c r="L117" s="3661">
        <f>IF(L116="",0,HLOOKUP(L116,O116:R117,2,0))</f>
        <v>0</v>
      </c>
      <c r="M117" s="3662"/>
      <c r="N117" s="3663"/>
      <c r="O117" s="991">
        <v>3</v>
      </c>
      <c r="P117" s="933">
        <v>1.7</v>
      </c>
      <c r="Q117" s="832">
        <v>1</v>
      </c>
      <c r="R117" s="914"/>
      <c r="S117" s="3685"/>
      <c r="T117" s="3670"/>
      <c r="U117" s="3678"/>
      <c r="V117" s="3680"/>
      <c r="W117" s="3670"/>
      <c r="X117" s="990" t="b">
        <f>+$X$116</f>
        <v>0</v>
      </c>
      <c r="Y117" s="977" t="s">
        <v>1486</v>
      </c>
    </row>
    <row r="118" spans="1:25" s="977" customFormat="1" ht="11.25" customHeight="1">
      <c r="A118" s="3782"/>
      <c r="B118" s="3718"/>
      <c r="C118" s="3719"/>
      <c r="D118" s="3720"/>
      <c r="E118" s="3718"/>
      <c r="F118" s="3719"/>
      <c r="G118" s="3719"/>
      <c r="H118" s="3719"/>
      <c r="I118" s="3720"/>
      <c r="J118" s="3665"/>
      <c r="K118" s="3666" t="s">
        <v>850</v>
      </c>
      <c r="L118" s="3671"/>
      <c r="M118" s="3672"/>
      <c r="N118" s="3673"/>
      <c r="O118" s="1270" t="s">
        <v>855</v>
      </c>
      <c r="P118" s="1271" t="s">
        <v>822</v>
      </c>
      <c r="Q118" s="1272" t="s">
        <v>857</v>
      </c>
      <c r="R118" s="2074"/>
      <c r="S118" s="3685"/>
      <c r="T118" s="3670"/>
      <c r="U118" s="3678"/>
      <c r="V118" s="3680"/>
      <c r="W118" s="3670"/>
      <c r="X118" s="990" t="b">
        <f>+$X$116</f>
        <v>0</v>
      </c>
      <c r="Y118" s="977" t="s">
        <v>2370</v>
      </c>
    </row>
    <row r="119" spans="1:25" s="977" customFormat="1" ht="11.25" customHeight="1">
      <c r="A119" s="3782"/>
      <c r="B119" s="3718"/>
      <c r="C119" s="3719"/>
      <c r="D119" s="3720"/>
      <c r="E119" s="3721"/>
      <c r="F119" s="3722"/>
      <c r="G119" s="3722"/>
      <c r="H119" s="3722"/>
      <c r="I119" s="3723"/>
      <c r="J119" s="3687"/>
      <c r="K119" s="3667"/>
      <c r="L119" s="3661">
        <f>IF(L118="",0,HLOOKUP(L118,O118:R119,2,0))</f>
        <v>0</v>
      </c>
      <c r="M119" s="3662"/>
      <c r="N119" s="3663"/>
      <c r="O119" s="991">
        <v>1.2</v>
      </c>
      <c r="P119" s="933">
        <v>1</v>
      </c>
      <c r="Q119" s="832">
        <v>0.8</v>
      </c>
      <c r="R119" s="2075"/>
      <c r="S119" s="3688"/>
      <c r="T119" s="3660"/>
      <c r="U119" s="3540"/>
      <c r="V119" s="3681"/>
      <c r="W119" s="3660"/>
      <c r="X119" s="990" t="b">
        <f>+$X$116</f>
        <v>0</v>
      </c>
      <c r="Y119" s="977" t="s">
        <v>2281</v>
      </c>
    </row>
    <row r="120" spans="1:25" s="977" customFormat="1" ht="11.25" customHeight="1">
      <c r="A120" s="3782"/>
      <c r="B120" s="3718"/>
      <c r="C120" s="3719"/>
      <c r="D120" s="3720"/>
      <c r="E120" s="3861" t="s">
        <v>2263</v>
      </c>
      <c r="F120" s="3716"/>
      <c r="G120" s="3716"/>
      <c r="H120" s="3716"/>
      <c r="I120" s="3717"/>
      <c r="J120" s="3664">
        <v>1330</v>
      </c>
      <c r="K120" s="3666" t="s">
        <v>349</v>
      </c>
      <c r="L120" s="3671"/>
      <c r="M120" s="3672"/>
      <c r="N120" s="3673"/>
      <c r="O120" s="1270" t="s">
        <v>2204</v>
      </c>
      <c r="P120" s="1271" t="s">
        <v>2205</v>
      </c>
      <c r="Q120" s="1272" t="s">
        <v>2206</v>
      </c>
      <c r="R120" s="2099"/>
      <c r="S120" s="3616">
        <f>ROUNDDOWN(L121*L123,2)</f>
        <v>0</v>
      </c>
      <c r="T120" s="3659">
        <f>INT(J120*S120)</f>
        <v>0</v>
      </c>
      <c r="U120" s="3539"/>
      <c r="V120" s="3679" t="s">
        <v>1480</v>
      </c>
      <c r="W120" s="3659">
        <f>INT(T120*U120)</f>
        <v>0</v>
      </c>
      <c r="X120" s="990" t="b">
        <f>COUNTA($L120,$L122,$U120)&lt;&gt;0</f>
        <v>0</v>
      </c>
      <c r="Y120" s="977" t="s">
        <v>2283</v>
      </c>
    </row>
    <row r="121" spans="1:25" s="977" customFormat="1" ht="11.25" customHeight="1">
      <c r="A121" s="3782"/>
      <c r="B121" s="3718"/>
      <c r="C121" s="3719"/>
      <c r="D121" s="3720"/>
      <c r="E121" s="3718"/>
      <c r="F121" s="3719"/>
      <c r="G121" s="3719"/>
      <c r="H121" s="3719"/>
      <c r="I121" s="3720"/>
      <c r="J121" s="3665"/>
      <c r="K121" s="3667"/>
      <c r="L121" s="3661">
        <f>IF(L120="",0,HLOOKUP(L120,O120:R121,2,0))</f>
        <v>0</v>
      </c>
      <c r="M121" s="3662"/>
      <c r="N121" s="3663"/>
      <c r="O121" s="991">
        <v>2</v>
      </c>
      <c r="P121" s="933">
        <v>1</v>
      </c>
      <c r="Q121" s="832">
        <v>0.5</v>
      </c>
      <c r="R121" s="914"/>
      <c r="S121" s="3685"/>
      <c r="T121" s="3670"/>
      <c r="U121" s="3678"/>
      <c r="V121" s="3680"/>
      <c r="W121" s="3670"/>
      <c r="X121" s="990" t="b">
        <f>+$X$120</f>
        <v>0</v>
      </c>
    </row>
    <row r="122" spans="1:25" s="977" customFormat="1" ht="11.25" customHeight="1">
      <c r="A122" s="3782"/>
      <c r="B122" s="3718"/>
      <c r="C122" s="3719"/>
      <c r="D122" s="3720"/>
      <c r="E122" s="3718"/>
      <c r="F122" s="3719"/>
      <c r="G122" s="3719"/>
      <c r="H122" s="3719"/>
      <c r="I122" s="3720"/>
      <c r="J122" s="3665"/>
      <c r="K122" s="3666" t="s">
        <v>850</v>
      </c>
      <c r="L122" s="3671"/>
      <c r="M122" s="3672"/>
      <c r="N122" s="3673"/>
      <c r="O122" s="1270" t="s">
        <v>855</v>
      </c>
      <c r="P122" s="1271" t="s">
        <v>822</v>
      </c>
      <c r="Q122" s="1272" t="s">
        <v>857</v>
      </c>
      <c r="R122" s="2074"/>
      <c r="S122" s="3685"/>
      <c r="T122" s="3670"/>
      <c r="U122" s="3678"/>
      <c r="V122" s="3680"/>
      <c r="W122" s="3670"/>
      <c r="X122" s="990" t="b">
        <f t="shared" ref="X122:X123" si="11">+$X$120</f>
        <v>0</v>
      </c>
    </row>
    <row r="123" spans="1:25" s="977" customFormat="1" ht="11.25" customHeight="1">
      <c r="A123" s="3782"/>
      <c r="B123" s="3721"/>
      <c r="C123" s="3722"/>
      <c r="D123" s="3723"/>
      <c r="E123" s="3721"/>
      <c r="F123" s="3722"/>
      <c r="G123" s="3722"/>
      <c r="H123" s="3722"/>
      <c r="I123" s="3723"/>
      <c r="J123" s="3687"/>
      <c r="K123" s="3667"/>
      <c r="L123" s="3661">
        <f>IF(L122="",0,HLOOKUP(L122,O122:R123,2,0))</f>
        <v>0</v>
      </c>
      <c r="M123" s="3662"/>
      <c r="N123" s="3663"/>
      <c r="O123" s="991">
        <v>1.2</v>
      </c>
      <c r="P123" s="933">
        <v>1</v>
      </c>
      <c r="Q123" s="832">
        <v>0.8</v>
      </c>
      <c r="R123" s="2075"/>
      <c r="S123" s="3688"/>
      <c r="T123" s="3660"/>
      <c r="U123" s="3540"/>
      <c r="V123" s="3681"/>
      <c r="W123" s="3660"/>
      <c r="X123" s="990" t="b">
        <f t="shared" si="11"/>
        <v>0</v>
      </c>
    </row>
    <row r="124" spans="1:25" s="977" customFormat="1">
      <c r="A124" s="3782"/>
      <c r="B124" s="3691" t="s">
        <v>1521</v>
      </c>
      <c r="C124" s="3692"/>
      <c r="D124" s="3693"/>
      <c r="E124" s="3691" t="s">
        <v>1491</v>
      </c>
      <c r="F124" s="3692"/>
      <c r="G124" s="3692"/>
      <c r="H124" s="3692"/>
      <c r="I124" s="3693"/>
      <c r="J124" s="3664">
        <v>1788000</v>
      </c>
      <c r="K124" s="3666" t="s">
        <v>350</v>
      </c>
      <c r="L124" s="3671"/>
      <c r="M124" s="3672"/>
      <c r="N124" s="3673"/>
      <c r="O124" s="1270" t="s">
        <v>351</v>
      </c>
      <c r="P124" s="1271" t="s">
        <v>352</v>
      </c>
      <c r="Q124" s="1271" t="s">
        <v>780</v>
      </c>
      <c r="R124" s="1272" t="s">
        <v>780</v>
      </c>
      <c r="S124" s="3616">
        <f>ROUNDDOWN(L125*L127*L129,2)</f>
        <v>0</v>
      </c>
      <c r="T124" s="3659">
        <f>INT(J124*S124)</f>
        <v>0</v>
      </c>
      <c r="U124" s="3682"/>
      <c r="V124" s="3668" t="s">
        <v>353</v>
      </c>
      <c r="W124" s="3659">
        <f>INT(T124*U124)</f>
        <v>0</v>
      </c>
      <c r="X124" s="990" t="b">
        <f>COUNTA($L124,$L126,$L128,$U124)&lt;&gt;0</f>
        <v>0</v>
      </c>
    </row>
    <row r="125" spans="1:25" s="977" customFormat="1">
      <c r="A125" s="3782"/>
      <c r="B125" s="3694"/>
      <c r="C125" s="3695"/>
      <c r="D125" s="3696"/>
      <c r="E125" s="3694"/>
      <c r="F125" s="3695"/>
      <c r="G125" s="3695"/>
      <c r="H125" s="3695"/>
      <c r="I125" s="3696"/>
      <c r="J125" s="3665"/>
      <c r="K125" s="3667"/>
      <c r="L125" s="3661">
        <f>IF(L124="",0,HLOOKUP(L124,O124:R125,2,0))</f>
        <v>0</v>
      </c>
      <c r="M125" s="3662"/>
      <c r="N125" s="3663"/>
      <c r="O125" s="814">
        <v>1.1000000000000001</v>
      </c>
      <c r="P125" s="822">
        <v>1</v>
      </c>
      <c r="Q125" s="822" t="s">
        <v>780</v>
      </c>
      <c r="R125" s="815" t="s">
        <v>780</v>
      </c>
      <c r="S125" s="3685"/>
      <c r="T125" s="3670"/>
      <c r="U125" s="3686"/>
      <c r="V125" s="3669"/>
      <c r="W125" s="3670"/>
      <c r="X125" s="990" t="b">
        <f>+$X$124</f>
        <v>0</v>
      </c>
    </row>
    <row r="126" spans="1:25" s="977" customFormat="1">
      <c r="A126" s="3782"/>
      <c r="B126" s="3694"/>
      <c r="C126" s="3695"/>
      <c r="D126" s="3696"/>
      <c r="E126" s="3694"/>
      <c r="F126" s="3695"/>
      <c r="G126" s="3695"/>
      <c r="H126" s="3695"/>
      <c r="I126" s="3696"/>
      <c r="J126" s="3665"/>
      <c r="K126" s="3666" t="s">
        <v>354</v>
      </c>
      <c r="L126" s="3671"/>
      <c r="M126" s="3672"/>
      <c r="N126" s="3673"/>
      <c r="O126" s="985" t="s">
        <v>355</v>
      </c>
      <c r="P126" s="986" t="s">
        <v>356</v>
      </c>
      <c r="Q126" s="986" t="s">
        <v>780</v>
      </c>
      <c r="R126" s="987" t="s">
        <v>780</v>
      </c>
      <c r="S126" s="3685"/>
      <c r="T126" s="3670"/>
      <c r="U126" s="3686"/>
      <c r="V126" s="3669"/>
      <c r="W126" s="3670"/>
      <c r="X126" s="990" t="b">
        <f t="shared" ref="X126:X129" si="12">+$X$124</f>
        <v>0</v>
      </c>
    </row>
    <row r="127" spans="1:25" s="977" customFormat="1">
      <c r="A127" s="3782"/>
      <c r="B127" s="3694"/>
      <c r="C127" s="3695"/>
      <c r="D127" s="3696"/>
      <c r="E127" s="3694"/>
      <c r="F127" s="3695"/>
      <c r="G127" s="3695"/>
      <c r="H127" s="3695"/>
      <c r="I127" s="3696"/>
      <c r="J127" s="3665"/>
      <c r="K127" s="3667"/>
      <c r="L127" s="3661">
        <f>IF(L126="",0,HLOOKUP(L126,O126:R127,2,0))</f>
        <v>0</v>
      </c>
      <c r="M127" s="3662"/>
      <c r="N127" s="3663"/>
      <c r="O127" s="814">
        <v>1.1000000000000001</v>
      </c>
      <c r="P127" s="822">
        <v>1</v>
      </c>
      <c r="Q127" s="822" t="s">
        <v>780</v>
      </c>
      <c r="R127" s="815" t="s">
        <v>780</v>
      </c>
      <c r="S127" s="3685"/>
      <c r="T127" s="3670"/>
      <c r="U127" s="3686"/>
      <c r="V127" s="3669"/>
      <c r="W127" s="3670"/>
      <c r="X127" s="990" t="b">
        <f t="shared" si="12"/>
        <v>0</v>
      </c>
    </row>
    <row r="128" spans="1:25" s="977" customFormat="1">
      <c r="A128" s="3782"/>
      <c r="B128" s="3694"/>
      <c r="C128" s="3695"/>
      <c r="D128" s="3696"/>
      <c r="E128" s="3694"/>
      <c r="F128" s="3695"/>
      <c r="G128" s="3695"/>
      <c r="H128" s="3695"/>
      <c r="I128" s="3696"/>
      <c r="J128" s="3665"/>
      <c r="K128" s="3666" t="s">
        <v>850</v>
      </c>
      <c r="L128" s="3671"/>
      <c r="M128" s="3672"/>
      <c r="N128" s="3673"/>
      <c r="O128" s="985" t="s">
        <v>855</v>
      </c>
      <c r="P128" s="986" t="s">
        <v>822</v>
      </c>
      <c r="Q128" s="986" t="s">
        <v>857</v>
      </c>
      <c r="R128" s="987" t="s">
        <v>780</v>
      </c>
      <c r="S128" s="3685"/>
      <c r="T128" s="3670"/>
      <c r="U128" s="3686"/>
      <c r="V128" s="3669"/>
      <c r="W128" s="3670"/>
      <c r="X128" s="990" t="b">
        <f t="shared" si="12"/>
        <v>0</v>
      </c>
    </row>
    <row r="129" spans="1:24" s="977" customFormat="1" ht="12" thickBot="1">
      <c r="A129" s="3783"/>
      <c r="B129" s="3694"/>
      <c r="C129" s="3695"/>
      <c r="D129" s="3696"/>
      <c r="E129" s="3694"/>
      <c r="F129" s="3695"/>
      <c r="G129" s="3695"/>
      <c r="H129" s="3695"/>
      <c r="I129" s="3696"/>
      <c r="J129" s="3665"/>
      <c r="K129" s="3674"/>
      <c r="L129" s="3675">
        <f>IF(L128="",0,HLOOKUP(L128,O128:R129,2,0))</f>
        <v>0</v>
      </c>
      <c r="M129" s="3676"/>
      <c r="N129" s="3677"/>
      <c r="O129" s="890">
        <v>1.2</v>
      </c>
      <c r="P129" s="891">
        <v>1</v>
      </c>
      <c r="Q129" s="891">
        <v>0.7</v>
      </c>
      <c r="R129" s="892" t="s">
        <v>780</v>
      </c>
      <c r="S129" s="3685"/>
      <c r="T129" s="3670"/>
      <c r="U129" s="3686"/>
      <c r="V129" s="3669"/>
      <c r="W129" s="3670"/>
      <c r="X129" s="990" t="b">
        <f t="shared" si="12"/>
        <v>0</v>
      </c>
    </row>
    <row r="130" spans="1:24" s="977" customFormat="1" ht="12.75" thickTop="1">
      <c r="A130" s="995"/>
      <c r="B130" s="996"/>
      <c r="C130" s="996"/>
      <c r="D130" s="996"/>
      <c r="E130" s="997"/>
      <c r="F130" s="997"/>
      <c r="G130" s="997"/>
      <c r="H130" s="997"/>
      <c r="I130" s="997"/>
      <c r="J130" s="997"/>
      <c r="K130" s="997"/>
      <c r="L130" s="997"/>
      <c r="M130" s="997"/>
      <c r="N130" s="997"/>
      <c r="O130" s="997"/>
      <c r="P130" s="997"/>
      <c r="Q130" s="997"/>
      <c r="R130" s="997"/>
      <c r="S130" s="998" t="s">
        <v>786</v>
      </c>
      <c r="T130" s="999"/>
      <c r="U130" s="997"/>
      <c r="V130" s="1000"/>
      <c r="W130" s="1001">
        <f>SUM(W3:W129)</f>
        <v>0</v>
      </c>
      <c r="X130" s="1002" t="b">
        <v>1</v>
      </c>
    </row>
    <row r="131" spans="1:24" s="977" customFormat="1">
      <c r="B131" s="1003"/>
      <c r="C131" s="1003"/>
      <c r="D131" s="1003"/>
      <c r="E131" s="1003"/>
      <c r="F131" s="1003"/>
      <c r="G131" s="1003"/>
      <c r="H131" s="1003"/>
      <c r="I131" s="1003"/>
      <c r="J131" s="1003"/>
      <c r="K131" s="1003"/>
      <c r="L131" s="1003"/>
      <c r="M131" s="1003"/>
      <c r="N131" s="1003"/>
      <c r="O131" s="1003"/>
      <c r="P131" s="1003"/>
      <c r="Q131" s="1003"/>
      <c r="R131" s="1003"/>
      <c r="S131" s="1003"/>
      <c r="T131" s="1003"/>
      <c r="U131" s="1003"/>
      <c r="V131" s="1003"/>
      <c r="W131" s="1003"/>
      <c r="X131" s="1003"/>
    </row>
  </sheetData>
  <autoFilter ref="X1:X130"/>
  <mergeCells count="479">
    <mergeCell ref="W116:W119"/>
    <mergeCell ref="L117:N117"/>
    <mergeCell ref="K118:K119"/>
    <mergeCell ref="L118:N118"/>
    <mergeCell ref="L119:N119"/>
    <mergeCell ref="E116:I119"/>
    <mergeCell ref="E120:I123"/>
    <mergeCell ref="J116:J119"/>
    <mergeCell ref="K116:K117"/>
    <mergeCell ref="L116:N116"/>
    <mergeCell ref="S116:S119"/>
    <mergeCell ref="T116:T119"/>
    <mergeCell ref="U116:U119"/>
    <mergeCell ref="V116:V119"/>
    <mergeCell ref="W29:W30"/>
    <mergeCell ref="S29:S30"/>
    <mergeCell ref="V29:V30"/>
    <mergeCell ref="K19:K20"/>
    <mergeCell ref="A1:W1"/>
    <mergeCell ref="A5:A16"/>
    <mergeCell ref="B5:B10"/>
    <mergeCell ref="B11:B16"/>
    <mergeCell ref="A3:I4"/>
    <mergeCell ref="K5:K6"/>
    <mergeCell ref="K11:K12"/>
    <mergeCell ref="K15:K16"/>
    <mergeCell ref="K9:K10"/>
    <mergeCell ref="L9:N9"/>
    <mergeCell ref="L10:N10"/>
    <mergeCell ref="J5:J10"/>
    <mergeCell ref="K7:K8"/>
    <mergeCell ref="T27:T28"/>
    <mergeCell ref="U27:U28"/>
    <mergeCell ref="V27:V28"/>
    <mergeCell ref="U29:U30"/>
    <mergeCell ref="T29:T30"/>
    <mergeCell ref="U23:U26"/>
    <mergeCell ref="T23:T26"/>
    <mergeCell ref="K31:K32"/>
    <mergeCell ref="E31:I32"/>
    <mergeCell ref="J23:J24"/>
    <mergeCell ref="K25:R26"/>
    <mergeCell ref="L11:N11"/>
    <mergeCell ref="L15:N15"/>
    <mergeCell ref="L16:N16"/>
    <mergeCell ref="L13:N13"/>
    <mergeCell ref="L12:N12"/>
    <mergeCell ref="L14:N14"/>
    <mergeCell ref="J11:J16"/>
    <mergeCell ref="E17:I18"/>
    <mergeCell ref="K29:K30"/>
    <mergeCell ref="E21:I22"/>
    <mergeCell ref="K23:K24"/>
    <mergeCell ref="J31:J32"/>
    <mergeCell ref="K27:K28"/>
    <mergeCell ref="J29:J30"/>
    <mergeCell ref="J27:J28"/>
    <mergeCell ref="K21:K22"/>
    <mergeCell ref="K13:K14"/>
    <mergeCell ref="J21:J22"/>
    <mergeCell ref="J17:J18"/>
    <mergeCell ref="J19:J20"/>
    <mergeCell ref="S23:S26"/>
    <mergeCell ref="E100:I103"/>
    <mergeCell ref="E104:I107"/>
    <mergeCell ref="E108:I109"/>
    <mergeCell ref="E96:I99"/>
    <mergeCell ref="E77:I83"/>
    <mergeCell ref="E84:I88"/>
    <mergeCell ref="E35:I36"/>
    <mergeCell ref="L27:N27"/>
    <mergeCell ref="K71:K72"/>
    <mergeCell ref="J49:J50"/>
    <mergeCell ref="K49:K50"/>
    <mergeCell ref="K51:K52"/>
    <mergeCell ref="K61:K62"/>
    <mergeCell ref="K65:K66"/>
    <mergeCell ref="E33:I34"/>
    <mergeCell ref="J33:J34"/>
    <mergeCell ref="H69:I72"/>
    <mergeCell ref="J65:J68"/>
    <mergeCell ref="H53:I54"/>
    <mergeCell ref="L68:N68"/>
    <mergeCell ref="L109:N109"/>
    <mergeCell ref="K108:K109"/>
    <mergeCell ref="J96:J99"/>
    <mergeCell ref="T31:T32"/>
    <mergeCell ref="L31:N31"/>
    <mergeCell ref="W17:W18"/>
    <mergeCell ref="T33:T34"/>
    <mergeCell ref="W27:W28"/>
    <mergeCell ref="V21:V22"/>
    <mergeCell ref="U21:U22"/>
    <mergeCell ref="T21:T22"/>
    <mergeCell ref="V31:V32"/>
    <mergeCell ref="W21:W22"/>
    <mergeCell ref="U31:U32"/>
    <mergeCell ref="L28:N28"/>
    <mergeCell ref="L24:N24"/>
    <mergeCell ref="L29:N29"/>
    <mergeCell ref="L30:N30"/>
    <mergeCell ref="L23:N23"/>
    <mergeCell ref="S27:S28"/>
    <mergeCell ref="W31:W32"/>
    <mergeCell ref="W33:W34"/>
    <mergeCell ref="V33:V34"/>
    <mergeCell ref="L32:N32"/>
    <mergeCell ref="V23:V26"/>
    <mergeCell ref="S33:S34"/>
    <mergeCell ref="U33:U34"/>
    <mergeCell ref="W23:W26"/>
    <mergeCell ref="L61:N61"/>
    <mergeCell ref="V65:V68"/>
    <mergeCell ref="S61:S64"/>
    <mergeCell ref="T61:T64"/>
    <mergeCell ref="U61:U64"/>
    <mergeCell ref="V61:V64"/>
    <mergeCell ref="S59:S60"/>
    <mergeCell ref="T59:T60"/>
    <mergeCell ref="U59:U60"/>
    <mergeCell ref="V59:V60"/>
    <mergeCell ref="L65:N65"/>
    <mergeCell ref="W49:W50"/>
    <mergeCell ref="L56:N56"/>
    <mergeCell ref="L52:N52"/>
    <mergeCell ref="L51:N51"/>
    <mergeCell ref="L55:N55"/>
    <mergeCell ref="V49:V50"/>
    <mergeCell ref="V51:V52"/>
    <mergeCell ref="W51:W52"/>
    <mergeCell ref="T53:T54"/>
    <mergeCell ref="U53:U54"/>
    <mergeCell ref="W59:W60"/>
    <mergeCell ref="W53:W54"/>
    <mergeCell ref="K112:K113"/>
    <mergeCell ref="K114:K115"/>
    <mergeCell ref="L114:N114"/>
    <mergeCell ref="L115:N115"/>
    <mergeCell ref="V112:V113"/>
    <mergeCell ref="W112:W113"/>
    <mergeCell ref="L46:N46"/>
    <mergeCell ref="S49:S50"/>
    <mergeCell ref="T49:T50"/>
    <mergeCell ref="U49:U50"/>
    <mergeCell ref="S45:S48"/>
    <mergeCell ref="S100:S103"/>
    <mergeCell ref="T100:T103"/>
    <mergeCell ref="U100:U103"/>
    <mergeCell ref="S96:S99"/>
    <mergeCell ref="L71:N71"/>
    <mergeCell ref="T69:T72"/>
    <mergeCell ref="V73:V76"/>
    <mergeCell ref="L70:N70"/>
    <mergeCell ref="L72:N72"/>
    <mergeCell ref="L74:N74"/>
    <mergeCell ref="L75:N75"/>
    <mergeCell ref="L106:N106"/>
    <mergeCell ref="L66:N66"/>
    <mergeCell ref="W100:W103"/>
    <mergeCell ref="T104:T107"/>
    <mergeCell ref="U104:U107"/>
    <mergeCell ref="V104:V107"/>
    <mergeCell ref="W104:W107"/>
    <mergeCell ref="J104:J107"/>
    <mergeCell ref="L104:N104"/>
    <mergeCell ref="S104:S107"/>
    <mergeCell ref="L105:N105"/>
    <mergeCell ref="K104:K105"/>
    <mergeCell ref="L107:N107"/>
    <mergeCell ref="K106:K107"/>
    <mergeCell ref="V100:V103"/>
    <mergeCell ref="K96:K97"/>
    <mergeCell ref="L96:N96"/>
    <mergeCell ref="K98:K99"/>
    <mergeCell ref="L98:N98"/>
    <mergeCell ref="L99:N99"/>
    <mergeCell ref="L97:N97"/>
    <mergeCell ref="J100:J103"/>
    <mergeCell ref="K100:K101"/>
    <mergeCell ref="L100:N100"/>
    <mergeCell ref="L101:N101"/>
    <mergeCell ref="K102:K103"/>
    <mergeCell ref="L102:N102"/>
    <mergeCell ref="L103:N103"/>
    <mergeCell ref="W73:W76"/>
    <mergeCell ref="W61:W64"/>
    <mergeCell ref="W65:W68"/>
    <mergeCell ref="U69:U72"/>
    <mergeCell ref="V69:V72"/>
    <mergeCell ref="W69:W72"/>
    <mergeCell ref="V96:V99"/>
    <mergeCell ref="U96:U99"/>
    <mergeCell ref="W96:W99"/>
    <mergeCell ref="W77:W83"/>
    <mergeCell ref="U84:U88"/>
    <mergeCell ref="U77:U83"/>
    <mergeCell ref="V77:V83"/>
    <mergeCell ref="W91:W95"/>
    <mergeCell ref="W84:W88"/>
    <mergeCell ref="W89:W90"/>
    <mergeCell ref="U91:U95"/>
    <mergeCell ref="V91:V95"/>
    <mergeCell ref="V84:V88"/>
    <mergeCell ref="W55:W56"/>
    <mergeCell ref="S51:S52"/>
    <mergeCell ref="T51:T52"/>
    <mergeCell ref="U51:U52"/>
    <mergeCell ref="S53:S54"/>
    <mergeCell ref="S55:S56"/>
    <mergeCell ref="T55:T56"/>
    <mergeCell ref="U55:U56"/>
    <mergeCell ref="V53:V54"/>
    <mergeCell ref="W45:W48"/>
    <mergeCell ref="K47:K48"/>
    <mergeCell ref="L47:N47"/>
    <mergeCell ref="L48:N48"/>
    <mergeCell ref="T39:T44"/>
    <mergeCell ref="K39:K40"/>
    <mergeCell ref="L40:N40"/>
    <mergeCell ref="K43:K44"/>
    <mergeCell ref="U39:U44"/>
    <mergeCell ref="L42:N42"/>
    <mergeCell ref="V39:V44"/>
    <mergeCell ref="L44:N44"/>
    <mergeCell ref="L43:N43"/>
    <mergeCell ref="L45:N45"/>
    <mergeCell ref="V37:V38"/>
    <mergeCell ref="W37:W38"/>
    <mergeCell ref="L36:N36"/>
    <mergeCell ref="J35:J36"/>
    <mergeCell ref="L35:N35"/>
    <mergeCell ref="U35:U36"/>
    <mergeCell ref="S35:S36"/>
    <mergeCell ref="T35:T36"/>
    <mergeCell ref="T37:T38"/>
    <mergeCell ref="L38:N38"/>
    <mergeCell ref="S31:S32"/>
    <mergeCell ref="W35:W36"/>
    <mergeCell ref="V35:V36"/>
    <mergeCell ref="U37:U38"/>
    <mergeCell ref="S37:S38"/>
    <mergeCell ref="W3:W4"/>
    <mergeCell ref="J3:J4"/>
    <mergeCell ref="K3:K4"/>
    <mergeCell ref="L3:N4"/>
    <mergeCell ref="S3:S4"/>
    <mergeCell ref="T3:T4"/>
    <mergeCell ref="U3:V4"/>
    <mergeCell ref="L17:N17"/>
    <mergeCell ref="L18:N18"/>
    <mergeCell ref="K17:K18"/>
    <mergeCell ref="L5:N5"/>
    <mergeCell ref="L6:N6"/>
    <mergeCell ref="W5:W10"/>
    <mergeCell ref="T5:T10"/>
    <mergeCell ref="W11:W16"/>
    <mergeCell ref="S11:S16"/>
    <mergeCell ref="T11:T16"/>
    <mergeCell ref="U11:U16"/>
    <mergeCell ref="V11:V16"/>
    <mergeCell ref="U5:U10"/>
    <mergeCell ref="V5:V10"/>
    <mergeCell ref="L21:N21"/>
    <mergeCell ref="L22:N22"/>
    <mergeCell ref="V17:V18"/>
    <mergeCell ref="S21:S22"/>
    <mergeCell ref="S17:S18"/>
    <mergeCell ref="T17:T18"/>
    <mergeCell ref="U17:U18"/>
    <mergeCell ref="S5:S10"/>
    <mergeCell ref="L7:N7"/>
    <mergeCell ref="L8:N8"/>
    <mergeCell ref="L19:N19"/>
    <mergeCell ref="S19:S20"/>
    <mergeCell ref="T19:T20"/>
    <mergeCell ref="U19:U20"/>
    <mergeCell ref="V19:V20"/>
    <mergeCell ref="L33:N33"/>
    <mergeCell ref="L34:N34"/>
    <mergeCell ref="K35:K36"/>
    <mergeCell ref="L62:N62"/>
    <mergeCell ref="K63:K64"/>
    <mergeCell ref="L63:N63"/>
    <mergeCell ref="J39:J44"/>
    <mergeCell ref="J59:J60"/>
    <mergeCell ref="J61:J64"/>
    <mergeCell ref="J45:J48"/>
    <mergeCell ref="J51:J52"/>
    <mergeCell ref="J53:J54"/>
    <mergeCell ref="K53:K54"/>
    <mergeCell ref="L54:N54"/>
    <mergeCell ref="L53:N53"/>
    <mergeCell ref="J55:J56"/>
    <mergeCell ref="J37:J38"/>
    <mergeCell ref="K37:K38"/>
    <mergeCell ref="L37:N37"/>
    <mergeCell ref="K41:K42"/>
    <mergeCell ref="K55:K56"/>
    <mergeCell ref="K33:K34"/>
    <mergeCell ref="L41:N41"/>
    <mergeCell ref="L39:N39"/>
    <mergeCell ref="B114:D123"/>
    <mergeCell ref="E114:H115"/>
    <mergeCell ref="B124:D129"/>
    <mergeCell ref="E124:I129"/>
    <mergeCell ref="E69:G76"/>
    <mergeCell ref="A17:A34"/>
    <mergeCell ref="B23:D26"/>
    <mergeCell ref="B27:D32"/>
    <mergeCell ref="B17:D22"/>
    <mergeCell ref="B33:D34"/>
    <mergeCell ref="E23:F26"/>
    <mergeCell ref="G23:H26"/>
    <mergeCell ref="I23:I24"/>
    <mergeCell ref="E27:F30"/>
    <mergeCell ref="G27:I28"/>
    <mergeCell ref="G29:I30"/>
    <mergeCell ref="E19:I20"/>
    <mergeCell ref="B37:D48"/>
    <mergeCell ref="A35:A129"/>
    <mergeCell ref="B35:D36"/>
    <mergeCell ref="E37:I38"/>
    <mergeCell ref="E45:I48"/>
    <mergeCell ref="H55:I56"/>
    <mergeCell ref="E59:I60"/>
    <mergeCell ref="E61:I64"/>
    <mergeCell ref="E65:I68"/>
    <mergeCell ref="E39:I44"/>
    <mergeCell ref="B49:D109"/>
    <mergeCell ref="E49:E58"/>
    <mergeCell ref="F49:G52"/>
    <mergeCell ref="H49:I50"/>
    <mergeCell ref="H51:I52"/>
    <mergeCell ref="H73:I76"/>
    <mergeCell ref="E89:I90"/>
    <mergeCell ref="E91:I95"/>
    <mergeCell ref="L49:N49"/>
    <mergeCell ref="L50:N50"/>
    <mergeCell ref="V89:V90"/>
    <mergeCell ref="T96:T99"/>
    <mergeCell ref="L87:N87"/>
    <mergeCell ref="L85:N85"/>
    <mergeCell ref="L86:N86"/>
    <mergeCell ref="T84:T88"/>
    <mergeCell ref="S77:S83"/>
    <mergeCell ref="L64:N64"/>
    <mergeCell ref="L76:N76"/>
    <mergeCell ref="U73:U76"/>
    <mergeCell ref="U65:U68"/>
    <mergeCell ref="S73:S76"/>
    <mergeCell ref="T73:T76"/>
    <mergeCell ref="V55:V56"/>
    <mergeCell ref="J69:J72"/>
    <mergeCell ref="S69:S72"/>
    <mergeCell ref="K69:K70"/>
    <mergeCell ref="L69:N69"/>
    <mergeCell ref="B110:D113"/>
    <mergeCell ref="W39:W44"/>
    <mergeCell ref="T45:T48"/>
    <mergeCell ref="U45:U48"/>
    <mergeCell ref="V45:V48"/>
    <mergeCell ref="S39:S44"/>
    <mergeCell ref="W57:W58"/>
    <mergeCell ref="F57:G58"/>
    <mergeCell ref="H57:I58"/>
    <mergeCell ref="J57:J58"/>
    <mergeCell ref="S57:S58"/>
    <mergeCell ref="K57:K58"/>
    <mergeCell ref="L57:N57"/>
    <mergeCell ref="L58:N58"/>
    <mergeCell ref="F53:G56"/>
    <mergeCell ref="T57:T58"/>
    <mergeCell ref="U57:U58"/>
    <mergeCell ref="V57:V58"/>
    <mergeCell ref="K45:K46"/>
    <mergeCell ref="U89:U90"/>
    <mergeCell ref="J77:J83"/>
    <mergeCell ref="L89:N89"/>
    <mergeCell ref="L90:N90"/>
    <mergeCell ref="K59:K60"/>
    <mergeCell ref="L60:N60"/>
    <mergeCell ref="L59:N59"/>
    <mergeCell ref="L67:N67"/>
    <mergeCell ref="K67:K68"/>
    <mergeCell ref="T65:T68"/>
    <mergeCell ref="K79:K81"/>
    <mergeCell ref="K73:K74"/>
    <mergeCell ref="L73:N73"/>
    <mergeCell ref="K75:K76"/>
    <mergeCell ref="S65:S68"/>
    <mergeCell ref="T77:T83"/>
    <mergeCell ref="L77:N77"/>
    <mergeCell ref="L80:N80"/>
    <mergeCell ref="L81:N81"/>
    <mergeCell ref="L78:N78"/>
    <mergeCell ref="K82:K83"/>
    <mergeCell ref="L83:N83"/>
    <mergeCell ref="L82:N82"/>
    <mergeCell ref="J73:J76"/>
    <mergeCell ref="K77:K78"/>
    <mergeCell ref="J91:J95"/>
    <mergeCell ref="K91:K93"/>
    <mergeCell ref="S91:S95"/>
    <mergeCell ref="T91:T95"/>
    <mergeCell ref="K94:K95"/>
    <mergeCell ref="L94:N94"/>
    <mergeCell ref="L95:N95"/>
    <mergeCell ref="L88:N88"/>
    <mergeCell ref="K87:K88"/>
    <mergeCell ref="L93:N93"/>
    <mergeCell ref="L92:N92"/>
    <mergeCell ref="J89:J90"/>
    <mergeCell ref="K89:K90"/>
    <mergeCell ref="S89:S90"/>
    <mergeCell ref="T89:T90"/>
    <mergeCell ref="J84:J88"/>
    <mergeCell ref="K84:K86"/>
    <mergeCell ref="S84:S88"/>
    <mergeCell ref="U110:U111"/>
    <mergeCell ref="V110:V111"/>
    <mergeCell ref="W110:W111"/>
    <mergeCell ref="E112:I113"/>
    <mergeCell ref="S108:S109"/>
    <mergeCell ref="T108:T109"/>
    <mergeCell ref="U108:U109"/>
    <mergeCell ref="V108:V109"/>
    <mergeCell ref="J108:J109"/>
    <mergeCell ref="L113:N113"/>
    <mergeCell ref="J112:J113"/>
    <mergeCell ref="S112:S113"/>
    <mergeCell ref="T112:T113"/>
    <mergeCell ref="U112:U113"/>
    <mergeCell ref="W108:W109"/>
    <mergeCell ref="E110:I111"/>
    <mergeCell ref="J110:J111"/>
    <mergeCell ref="S110:S111"/>
    <mergeCell ref="T110:T111"/>
    <mergeCell ref="K110:K111"/>
    <mergeCell ref="L110:N110"/>
    <mergeCell ref="L111:N111"/>
    <mergeCell ref="L112:N112"/>
    <mergeCell ref="L108:N108"/>
    <mergeCell ref="T124:T129"/>
    <mergeCell ref="U124:U129"/>
    <mergeCell ref="J114:J115"/>
    <mergeCell ref="S114:S115"/>
    <mergeCell ref="J120:J123"/>
    <mergeCell ref="S120:S123"/>
    <mergeCell ref="K122:K123"/>
    <mergeCell ref="L122:N122"/>
    <mergeCell ref="L123:N123"/>
    <mergeCell ref="T120:T123"/>
    <mergeCell ref="K120:K121"/>
    <mergeCell ref="L120:N120"/>
    <mergeCell ref="L121:N121"/>
    <mergeCell ref="C5:D5"/>
    <mergeCell ref="C11:D11"/>
    <mergeCell ref="W19:W20"/>
    <mergeCell ref="L20:N20"/>
    <mergeCell ref="J124:J129"/>
    <mergeCell ref="K124:K125"/>
    <mergeCell ref="V124:V129"/>
    <mergeCell ref="W124:W129"/>
    <mergeCell ref="L125:N125"/>
    <mergeCell ref="K126:K127"/>
    <mergeCell ref="L126:N126"/>
    <mergeCell ref="L127:N127"/>
    <mergeCell ref="K128:K129"/>
    <mergeCell ref="L128:N128"/>
    <mergeCell ref="L129:N129"/>
    <mergeCell ref="L124:N124"/>
    <mergeCell ref="U120:U123"/>
    <mergeCell ref="V120:V123"/>
    <mergeCell ref="W120:W123"/>
    <mergeCell ref="T114:T115"/>
    <mergeCell ref="U114:U115"/>
    <mergeCell ref="V114:V115"/>
    <mergeCell ref="W114:W115"/>
    <mergeCell ref="S124:S129"/>
  </mergeCells>
  <phoneticPr fontId="19"/>
  <conditionalFormatting sqref="L40:N40">
    <cfRule type="cellIs" dxfId="1" priority="2" operator="greaterThan">
      <formula>$O$40</formula>
    </cfRule>
  </conditionalFormatting>
  <conditionalFormatting sqref="L46:N46">
    <cfRule type="cellIs" dxfId="0" priority="1" operator="greaterThan">
      <formula>$O$46</formula>
    </cfRule>
  </conditionalFormatting>
  <dataValidations count="6">
    <dataValidation type="list" allowBlank="1" showInputMessage="1" showErrorMessage="1" sqref="L77 L82 L67 L63 L65 L23 L57 L55 L53 L51 L49 L37 L35 L17 L87 L94 L98 L96 L106 L108 L110 L27 L114 L19 L112 L124 L126 L128 L29 L7 L9 L13 L15 L31 L73 L41 L43 L47 L33 L21 L102 L89 L71 L69 L75 L59:N59">
      <formula1>$O7:$R7</formula1>
    </dataValidation>
    <dataValidation type="list" allowBlank="1" showInputMessage="1" showErrorMessage="1" sqref="L5:N5 L11:N11">
      <formula1>$O5:$P5</formula1>
    </dataValidation>
    <dataValidation type="list" allowBlank="1" showInputMessage="1" showErrorMessage="1" sqref="L120:N120">
      <formula1>$O$120:$Q$120</formula1>
    </dataValidation>
    <dataValidation type="list" allowBlank="1" showInputMessage="1" showErrorMessage="1" sqref="L122:N122">
      <formula1>$O$122:$Q$122</formula1>
    </dataValidation>
    <dataValidation type="list" allowBlank="1" showInputMessage="1" showErrorMessage="1" sqref="L116:N116">
      <formula1>$O$116:$Q$116</formula1>
    </dataValidation>
    <dataValidation type="list" allowBlank="1" showInputMessage="1" showErrorMessage="1" sqref="L118:N118">
      <formula1>$O$118:$Q$118</formula1>
    </dataValidation>
  </dataValidations>
  <pageMargins left="0.70866141732283472" right="0.19685039370078741" top="0.59055118110236227" bottom="0.43307086614173229" header="0.43307086614173229" footer="0.23622047244094491"/>
  <pageSetup paperSize="9" scale="57" orientation="portrait" r:id="rId1"/>
  <headerFooter alignWithMargins="0">
    <oddHeader>&amp;L&amp;"HG創英角ｺﾞｼｯｸUB,標準"&amp;11様式第２号 別紙２その２　建築設備計算書</oddHeader>
    <oddFooter>&amp;R&amp;D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132</vt:i4>
      </vt:variant>
    </vt:vector>
  </HeadingPairs>
  <TitlesOfParts>
    <vt:vector size="144" baseType="lpstr">
      <vt:lpstr>調書</vt:lpstr>
      <vt:lpstr>見積拾</vt:lpstr>
      <vt:lpstr>基礎・屋根・外壁</vt:lpstr>
      <vt:lpstr>内壁・間仕切</vt:lpstr>
      <vt:lpstr>床・天井</vt:lpstr>
      <vt:lpstr>建具</vt:lpstr>
      <vt:lpstr>建具の明細</vt:lpstr>
      <vt:lpstr>設備</vt:lpstr>
      <vt:lpstr>設備(個別)</vt:lpstr>
      <vt:lpstr>DB</vt:lpstr>
      <vt:lpstr>(参考）下地・加算一覧</vt:lpstr>
      <vt:lpstr>更新ログ</vt:lpstr>
      <vt:lpstr>ＥＶ規格</vt:lpstr>
      <vt:lpstr>ＥＶ高速特注</vt:lpstr>
      <vt:lpstr>ＥＶ特注</vt:lpstr>
      <vt:lpstr>ＨＵＢ</vt:lpstr>
      <vt:lpstr>ＬＧＳ名称</vt:lpstr>
      <vt:lpstr>DB!Print_Area</vt:lpstr>
      <vt:lpstr>基礎・屋根・外壁!Print_Area</vt:lpstr>
      <vt:lpstr>建具!Print_Area</vt:lpstr>
      <vt:lpstr>建具の明細!Print_Area</vt:lpstr>
      <vt:lpstr>見積拾!Print_Area</vt:lpstr>
      <vt:lpstr>床・天井!Print_Area</vt:lpstr>
      <vt:lpstr>設備!Print_Area</vt:lpstr>
      <vt:lpstr>'設備(個別)'!Print_Area</vt:lpstr>
      <vt:lpstr>調書!Print_Area</vt:lpstr>
      <vt:lpstr>内壁・間仕切!Print_Area</vt:lpstr>
      <vt:lpstr>床・天井!Print_Titles</vt:lpstr>
      <vt:lpstr>見積拾!ＲＣＣＢ名称</vt:lpstr>
      <vt:lpstr>ＲＣＣＢ名称</vt:lpstr>
      <vt:lpstr>Ｓ１０００型</vt:lpstr>
      <vt:lpstr>Ｓ６００型</vt:lpstr>
      <vt:lpstr>ＳＫ</vt:lpstr>
      <vt:lpstr>見積拾!Ｓ名称</vt:lpstr>
      <vt:lpstr>Ｓ名称</vt:lpstr>
      <vt:lpstr>ＴＶ局所</vt:lpstr>
      <vt:lpstr>ＴＶ総体</vt:lpstr>
      <vt:lpstr>ＵＢ</vt:lpstr>
      <vt:lpstr>ＵＳ</vt:lpstr>
      <vt:lpstr>インターホン</vt:lpstr>
      <vt:lpstr>ガス</vt:lpstr>
      <vt:lpstr>ゴンドラ</vt:lpstr>
      <vt:lpstr>ｻｯｼ</vt:lpstr>
      <vt:lpstr>スプリンクラー</vt:lpstr>
      <vt:lpstr>ドアホン</vt:lpstr>
      <vt:lpstr>ドレンチャー</vt:lpstr>
      <vt:lpstr>ベンチレーター</vt:lpstr>
      <vt:lpstr>ホームＥＶ</vt:lpstr>
      <vt:lpstr>マルチ</vt:lpstr>
      <vt:lpstr>ミニＳＫ</vt:lpstr>
      <vt:lpstr>レンジフード</vt:lpstr>
      <vt:lpstr>一般機械排煙</vt:lpstr>
      <vt:lpstr>衛生</vt:lpstr>
      <vt:lpstr>屋根</vt:lpstr>
      <vt:lpstr>屋根構造</vt:lpstr>
      <vt:lpstr>屋根構造名称</vt:lpstr>
      <vt:lpstr>屋根名称</vt:lpstr>
      <vt:lpstr>温風暖房</vt:lpstr>
      <vt:lpstr>化粧台</vt:lpstr>
      <vt:lpstr>火災報知</vt:lpstr>
      <vt:lpstr>外周壁</vt:lpstr>
      <vt:lpstr>外周壁名称</vt:lpstr>
      <vt:lpstr>外部</vt:lpstr>
      <vt:lpstr>外部名称</vt:lpstr>
      <vt:lpstr>拡声器</vt:lpstr>
      <vt:lpstr>換気一戸建</vt:lpstr>
      <vt:lpstr>換気集合形式</vt:lpstr>
      <vt:lpstr>換気設備</vt:lpstr>
      <vt:lpstr>換気扇</vt:lpstr>
      <vt:lpstr>監視カメラ</vt:lpstr>
      <vt:lpstr>間仕切</vt:lpstr>
      <vt:lpstr>間仕切名称</vt:lpstr>
      <vt:lpstr>基礎延長名称</vt:lpstr>
      <vt:lpstr>気送管</vt:lpstr>
      <vt:lpstr>給水</vt:lpstr>
      <vt:lpstr>給水小</vt:lpstr>
      <vt:lpstr>給水大</vt:lpstr>
      <vt:lpstr>給湯管</vt:lpstr>
      <vt:lpstr>給湯器</vt:lpstr>
      <vt:lpstr>給湯貯湯式</vt:lpstr>
      <vt:lpstr>建具</vt:lpstr>
      <vt:lpstr>建具名称</vt:lpstr>
      <vt:lpstr>個別</vt:lpstr>
      <vt:lpstr>呼出</vt:lpstr>
      <vt:lpstr>構造名称</vt:lpstr>
      <vt:lpstr>根伐土量名称</vt:lpstr>
      <vt:lpstr>使用口</vt:lpstr>
      <vt:lpstr>自動車</vt:lpstr>
      <vt:lpstr>自動車電動ＥＶ</vt:lpstr>
      <vt:lpstr>自動車油圧ＥＶ</vt:lpstr>
      <vt:lpstr>主体不明確補正</vt:lpstr>
      <vt:lpstr>主体明確補正</vt:lpstr>
      <vt:lpstr>受水槽</vt:lpstr>
      <vt:lpstr>住宅建具総合</vt:lpstr>
      <vt:lpstr>小荷物専用昇降機</vt:lpstr>
      <vt:lpstr>小便器</vt:lpstr>
      <vt:lpstr>床</vt:lpstr>
      <vt:lpstr>床構造</vt:lpstr>
      <vt:lpstr>床構造名称</vt:lpstr>
      <vt:lpstr>床暖房</vt:lpstr>
      <vt:lpstr>床名称</vt:lpstr>
      <vt:lpstr>消火栓</vt:lpstr>
      <vt:lpstr>硝子名称</vt:lpstr>
      <vt:lpstr>寝台ＥＶ</vt:lpstr>
      <vt:lpstr>人荷ＥＶ</vt:lpstr>
      <vt:lpstr>水道直結スプリンクラー</vt:lpstr>
      <vt:lpstr>洗濯流し</vt:lpstr>
      <vt:lpstr>洗面器</vt:lpstr>
      <vt:lpstr>総合集合小</vt:lpstr>
      <vt:lpstr>総合集合大</vt:lpstr>
      <vt:lpstr>増圧ポンプ</vt:lpstr>
      <vt:lpstr>耐火被覆</vt:lpstr>
      <vt:lpstr>断熱</vt:lpstr>
      <vt:lpstr>断熱名称</vt:lpstr>
      <vt:lpstr>中央給湯</vt:lpstr>
      <vt:lpstr>直接暖房</vt:lpstr>
      <vt:lpstr>天井</vt:lpstr>
      <vt:lpstr>天井名称</vt:lpstr>
      <vt:lpstr>電灯</vt:lpstr>
      <vt:lpstr>電話</vt:lpstr>
      <vt:lpstr>動力</vt:lpstr>
      <vt:lpstr>特殊設備名称</vt:lpstr>
      <vt:lpstr>独立基礎名称</vt:lpstr>
      <vt:lpstr>内部</vt:lpstr>
      <vt:lpstr>内部名称</vt:lpstr>
      <vt:lpstr>熱源方式</vt:lpstr>
      <vt:lpstr>熱源冷房</vt:lpstr>
      <vt:lpstr>排水ポンプ</vt:lpstr>
      <vt:lpstr>排水小</vt:lpstr>
      <vt:lpstr>排水大</vt:lpstr>
      <vt:lpstr>避雷導体</vt:lpstr>
      <vt:lpstr>避雷突針</vt:lpstr>
      <vt:lpstr>標準量</vt:lpstr>
      <vt:lpstr>評価基準名称</vt:lpstr>
      <vt:lpstr>不活性ガス</vt:lpstr>
      <vt:lpstr>附室排煙</vt:lpstr>
      <vt:lpstr>泡消火</vt:lpstr>
      <vt:lpstr>網戸名称</vt:lpstr>
      <vt:lpstr>洋便器</vt:lpstr>
      <vt:lpstr>浴室換気乾燥機</vt:lpstr>
      <vt:lpstr>浴槽上</vt:lpstr>
      <vt:lpstr>浴槽並</vt:lpstr>
      <vt:lpstr>流し台</vt:lpstr>
      <vt:lpstr>和便器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2022-03-18T05:21:28Z</cp:lastPrinted>
  <dcterms:created xsi:type="dcterms:W3CDTF">2012-05-18T05:33:39Z</dcterms:created>
  <dcterms:modified xsi:type="dcterms:W3CDTF">2022-03-18T05:21:33Z</dcterms:modified>
</cp:coreProperties>
</file>