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10.1.17.158\disk\企画担当\03_とっとり住まいる支援事業\01 交付要綱\R7.4\様式HP用\仮保存フォルダ_version記載\"/>
    </mc:Choice>
  </mc:AlternateContent>
  <xr:revisionPtr revIDLastSave="0" documentId="13_ncr:1_{405DAD62-16B0-43C3-B9F3-ACFDE8FCC66A}" xr6:coauthVersionLast="47" xr6:coauthVersionMax="47" xr10:uidLastSave="{00000000-0000-0000-0000-000000000000}"/>
  <bookViews>
    <workbookView xWindow="28680" yWindow="-45" windowWidth="29040" windowHeight="15840" tabRatio="824" xr2:uid="{00000000-000D-0000-FFFF-FFFF00000000}"/>
  </bookViews>
  <sheets>
    <sheet name="【様式第６号】事業報告書兼チェックシート" sheetId="11" r:id="rId1"/>
    <sheet name="要入力　登録決定状況入力シート" sheetId="16" r:id="rId2"/>
    <sheet name="【様式第６号】（別紙）補助金併用一覧" sheetId="17" state="hidden" r:id="rId3"/>
    <sheet name="【規則様式第３号】実績報告書鑑（報告書連動）（住まいる）" sheetId="12" r:id="rId4"/>
    <sheet name="【規則様式第３号】実績報告書鑑（報告書連動） (未来型)" sheetId="19" r:id="rId5"/>
    <sheet name="住まいる台帳コピー" sheetId="18" r:id="rId6"/>
  </sheets>
  <definedNames>
    <definedName name="_xlnm.Print_Area" localSheetId="4">'【規則様式第３号】実績報告書鑑（報告書連動） (未来型)'!$A$1:$Z$88</definedName>
    <definedName name="_xlnm.Print_Area" localSheetId="3">'【規則様式第３号】実績報告書鑑（報告書連動）（住まいる）'!$A$1:$Z$85</definedName>
    <definedName name="_xlnm.Print_Area" localSheetId="2">'【様式第６号】（別紙）補助金併用一覧'!$A$1:$E$33</definedName>
    <definedName name="_xlnm.Print_Area" localSheetId="0">【様式第６号】事業報告書兼チェックシート!$A$1:$AA$288</definedName>
  </definedNames>
  <calcPr calcId="181029"/>
</workbook>
</file>

<file path=xl/calcChain.xml><?xml version="1.0" encoding="utf-8"?>
<calcChain xmlns="http://schemas.openxmlformats.org/spreadsheetml/2006/main">
  <c r="C259" i="11" l="1"/>
  <c r="Y101" i="11"/>
  <c r="C76" i="11"/>
  <c r="T240" i="11"/>
  <c r="Y106" i="11" l="1"/>
  <c r="Y102" i="11"/>
  <c r="C260" i="11"/>
  <c r="C257" i="11" l="1"/>
  <c r="AB240" i="11"/>
  <c r="AJ105" i="11"/>
  <c r="AI105" i="11"/>
  <c r="AJ104" i="11"/>
  <c r="AI104" i="11"/>
  <c r="AI106" i="11" l="1"/>
  <c r="AJ106" i="11"/>
  <c r="DY11" i="18" l="1"/>
  <c r="DV11" i="18"/>
  <c r="DP11" i="18"/>
  <c r="DO11" i="18" s="1"/>
  <c r="DM11" i="18"/>
  <c r="DH11" i="18"/>
  <c r="DC11" i="18"/>
  <c r="C273" i="11" l="1"/>
  <c r="C277" i="11" l="1"/>
  <c r="H77" i="12" s="1"/>
  <c r="EH11" i="18" l="1"/>
  <c r="EC11" i="18"/>
  <c r="DX11" i="18" l="1"/>
  <c r="F4" i="16" l="1"/>
  <c r="C258" i="11" l="1"/>
  <c r="U99" i="11" l="1"/>
  <c r="DT11" i="18" l="1"/>
  <c r="DL11" i="18"/>
  <c r="Y108" i="11"/>
  <c r="G4" i="16"/>
  <c r="C256" i="11" l="1"/>
  <c r="G5" i="16"/>
  <c r="H6" i="16"/>
  <c r="J6" i="16" s="1"/>
  <c r="G6" i="16"/>
  <c r="T2" i="12"/>
  <c r="Q2" i="12"/>
  <c r="H87" i="19" l="1"/>
  <c r="H64" i="12" l="1"/>
  <c r="D74" i="11" l="1"/>
  <c r="FA11" i="18" l="1"/>
  <c r="FA13" i="18" s="1"/>
  <c r="EZ11" i="18"/>
  <c r="AB30" i="11"/>
  <c r="G15" i="16" l="1"/>
  <c r="AB57" i="11"/>
  <c r="AB54" i="11"/>
  <c r="AB52" i="11"/>
  <c r="AA17" i="12"/>
  <c r="AA17" i="19"/>
  <c r="H75" i="19" l="1"/>
  <c r="H56" i="19"/>
  <c r="H55" i="19"/>
  <c r="O12" i="19"/>
  <c r="O11" i="19"/>
  <c r="O10" i="19"/>
  <c r="P9" i="19"/>
  <c r="AA2" i="19"/>
  <c r="W2" i="19"/>
  <c r="T2" i="19"/>
  <c r="Q2" i="19"/>
  <c r="E11" i="18"/>
  <c r="DA13" i="18"/>
  <c r="H61" i="19" l="1"/>
  <c r="H82" i="12" l="1"/>
  <c r="H85" i="19"/>
  <c r="W2" i="12"/>
  <c r="EY11" i="18" l="1"/>
  <c r="D18" i="16"/>
  <c r="Q23" i="19" s="1"/>
  <c r="Q25" i="19" s="1"/>
  <c r="C18" i="16"/>
  <c r="H23" i="19" s="1"/>
  <c r="H25" i="19" s="1"/>
  <c r="C12" i="16"/>
  <c r="F15" i="16"/>
  <c r="DU11" i="18" l="1"/>
  <c r="DU13" i="18" s="1"/>
  <c r="DX13" i="18"/>
  <c r="DL13" i="18"/>
  <c r="DH13" i="18"/>
  <c r="DE11" i="18"/>
  <c r="DB11" i="18"/>
  <c r="DB13" i="18" s="1"/>
  <c r="B6" i="18"/>
  <c r="E6" i="18"/>
  <c r="Q6" i="18"/>
  <c r="W6" i="18" s="1"/>
  <c r="R6" i="18"/>
  <c r="U6" i="18"/>
  <c r="X6" i="18"/>
  <c r="Z6" i="18"/>
  <c r="AB6" i="18"/>
  <c r="AE6" i="18"/>
  <c r="AI6" i="18"/>
  <c r="AU6" i="18"/>
  <c r="AM6" i="18" s="1"/>
  <c r="BC6" i="18"/>
  <c r="BD6" i="18"/>
  <c r="BH6" i="18"/>
  <c r="BM6" i="18"/>
  <c r="BS6" i="18"/>
  <c r="B7" i="18"/>
  <c r="E7" i="18"/>
  <c r="Q7" i="18"/>
  <c r="R7" i="18"/>
  <c r="U7" i="18"/>
  <c r="X7" i="18"/>
  <c r="Z7" i="18"/>
  <c r="AB7" i="18"/>
  <c r="AE7" i="18"/>
  <c r="AI7" i="18"/>
  <c r="AU7" i="18"/>
  <c r="AM7" i="18" s="1"/>
  <c r="AY7" i="18"/>
  <c r="BC7" i="18"/>
  <c r="BD7" i="18"/>
  <c r="BH7" i="18"/>
  <c r="BM7" i="18"/>
  <c r="B8" i="18"/>
  <c r="E8" i="18"/>
  <c r="Q8" i="18"/>
  <c r="R8" i="18"/>
  <c r="U8" i="18"/>
  <c r="X8" i="18"/>
  <c r="Z8" i="18"/>
  <c r="AB8" i="18"/>
  <c r="AE8" i="18"/>
  <c r="AI8" i="18"/>
  <c r="AU8" i="18"/>
  <c r="AV8" i="18" s="1"/>
  <c r="BC8" i="18"/>
  <c r="BD8" i="18"/>
  <c r="BH8" i="18"/>
  <c r="BM8" i="18"/>
  <c r="BS8" i="18"/>
  <c r="B9" i="18"/>
  <c r="E9" i="18"/>
  <c r="Q9" i="18"/>
  <c r="W9" i="18" s="1"/>
  <c r="R9" i="18"/>
  <c r="U9" i="18"/>
  <c r="X9" i="18"/>
  <c r="Z9" i="18"/>
  <c r="AB9" i="18"/>
  <c r="AE9" i="18"/>
  <c r="AI9" i="18"/>
  <c r="AU9" i="18"/>
  <c r="AM9" i="18" s="1"/>
  <c r="BC9" i="18"/>
  <c r="BD9" i="18"/>
  <c r="BH9" i="18"/>
  <c r="BM9" i="18"/>
  <c r="BS9" i="18"/>
  <c r="B10" i="18"/>
  <c r="E10" i="18"/>
  <c r="Q10" i="18"/>
  <c r="R10" i="18"/>
  <c r="U10" i="18"/>
  <c r="X10" i="18"/>
  <c r="Z10" i="18"/>
  <c r="AB10" i="18"/>
  <c r="AE10" i="18"/>
  <c r="AI10" i="18"/>
  <c r="AU10" i="18"/>
  <c r="AM10" i="18" s="1"/>
  <c r="AY10" i="18"/>
  <c r="BC10" i="18"/>
  <c r="BD10" i="18"/>
  <c r="BH10" i="18"/>
  <c r="BM10" i="18"/>
  <c r="BS10" i="18"/>
  <c r="B11" i="18"/>
  <c r="B13" i="18" s="1"/>
  <c r="E13" i="18"/>
  <c r="Q11" i="18"/>
  <c r="R11" i="18"/>
  <c r="R13" i="18" s="1"/>
  <c r="U11" i="18"/>
  <c r="U13" i="18" s="1"/>
  <c r="Z11" i="18"/>
  <c r="Z13" i="18" s="1"/>
  <c r="AC13" i="18"/>
  <c r="AF13" i="18"/>
  <c r="AG13" i="18"/>
  <c r="AK13" i="18"/>
  <c r="AO13" i="18"/>
  <c r="AP13" i="18"/>
  <c r="AQ13" i="18"/>
  <c r="AS13" i="18"/>
  <c r="AT13" i="18"/>
  <c r="BC11" i="18"/>
  <c r="BC13" i="18" s="1"/>
  <c r="BD11" i="18"/>
  <c r="BD13" i="18" s="1"/>
  <c r="BH11" i="18"/>
  <c r="BH13" i="18" s="1"/>
  <c r="BM11" i="18"/>
  <c r="BM13" i="18" s="1"/>
  <c r="BS11" i="18"/>
  <c r="BS13" i="18" s="1"/>
  <c r="CH13" i="18"/>
  <c r="CK13" i="18"/>
  <c r="D13" i="18"/>
  <c r="G13" i="18"/>
  <c r="K13" i="18"/>
  <c r="O13" i="18"/>
  <c r="P13" i="18"/>
  <c r="S13" i="18"/>
  <c r="V13" i="18"/>
  <c r="AJ13" i="18"/>
  <c r="AN13" i="18"/>
  <c r="AR13" i="18"/>
  <c r="AW13" i="18"/>
  <c r="AX13" i="18"/>
  <c r="AZ13" i="18"/>
  <c r="BA13" i="18"/>
  <c r="BB13" i="18"/>
  <c r="BE13" i="18"/>
  <c r="BF13" i="18"/>
  <c r="BI13" i="18"/>
  <c r="BJ13" i="18"/>
  <c r="BK13" i="18"/>
  <c r="BN13" i="18"/>
  <c r="BO13" i="18"/>
  <c r="BP13" i="18"/>
  <c r="BR13" i="18"/>
  <c r="CJ13" i="18"/>
  <c r="CL13" i="18"/>
  <c r="CU13" i="18"/>
  <c r="GE13" i="18"/>
  <c r="GD13" i="18"/>
  <c r="GA13" i="18"/>
  <c r="FZ13" i="18"/>
  <c r="FY13" i="18"/>
  <c r="FU13" i="18"/>
  <c r="FT13" i="18"/>
  <c r="FS13" i="18"/>
  <c r="FO13" i="18"/>
  <c r="FN13" i="18"/>
  <c r="FJ13" i="18"/>
  <c r="FI13" i="18"/>
  <c r="FH13" i="18"/>
  <c r="FG13" i="18"/>
  <c r="FF13" i="18"/>
  <c r="FC13" i="18"/>
  <c r="FB13" i="18"/>
  <c r="EZ13" i="18"/>
  <c r="EY13" i="18"/>
  <c r="DZ13" i="18"/>
  <c r="DR13" i="18"/>
  <c r="DI13" i="18"/>
  <c r="DD13" i="18"/>
  <c r="GF13" i="18"/>
  <c r="FX13" i="18"/>
  <c r="FR13" i="18"/>
  <c r="FM13" i="18"/>
  <c r="GM10" i="18"/>
  <c r="GL10" i="18"/>
  <c r="GF10" i="18"/>
  <c r="FX10" i="18"/>
  <c r="FR10" i="18"/>
  <c r="FM10" i="18"/>
  <c r="FK10" i="18"/>
  <c r="FD10" i="18"/>
  <c r="EV10" i="18"/>
  <c r="EN10" i="18" s="1"/>
  <c r="EI10" i="18"/>
  <c r="ED10" i="18"/>
  <c r="DU10" i="18"/>
  <c r="DX10" i="18"/>
  <c r="DL10" i="18"/>
  <c r="DG10" i="18"/>
  <c r="DE10" i="18"/>
  <c r="GF9" i="18"/>
  <c r="FX9" i="18"/>
  <c r="FR9" i="18"/>
  <c r="FM9" i="18"/>
  <c r="FK9" i="18"/>
  <c r="EV9" i="18"/>
  <c r="EI9" i="18"/>
  <c r="ED9" i="18"/>
  <c r="DU9" i="18"/>
  <c r="DX9" i="18"/>
  <c r="DL9" i="18"/>
  <c r="DG9" i="18"/>
  <c r="DE9" i="18"/>
  <c r="GM8" i="18"/>
  <c r="GL8" i="18"/>
  <c r="GF8" i="18"/>
  <c r="FX8" i="18"/>
  <c r="FR8" i="18"/>
  <c r="FM8" i="18"/>
  <c r="FK8" i="18"/>
  <c r="FD8" i="18"/>
  <c r="EV8" i="18"/>
  <c r="EN8" i="18" s="1"/>
  <c r="EI8" i="18"/>
  <c r="ED8" i="18"/>
  <c r="DU8" i="18"/>
  <c r="DX8" i="18"/>
  <c r="DL8" i="18"/>
  <c r="DG8" i="18"/>
  <c r="DE8" i="18"/>
  <c r="FX7" i="18"/>
  <c r="FR7" i="18"/>
  <c r="FM7" i="18"/>
  <c r="FK7" i="18"/>
  <c r="FD7" i="18"/>
  <c r="EV7" i="18"/>
  <c r="EI7" i="18"/>
  <c r="ED7" i="18"/>
  <c r="DU7" i="18"/>
  <c r="DX7" i="18"/>
  <c r="DL7" i="18"/>
  <c r="DG7" i="18"/>
  <c r="DE7" i="18"/>
  <c r="GF6" i="18"/>
  <c r="FX6" i="18"/>
  <c r="FR6" i="18"/>
  <c r="FM6" i="18"/>
  <c r="FK6" i="18"/>
  <c r="EV6" i="18"/>
  <c r="EN6" i="18" s="1"/>
  <c r="EI6" i="18"/>
  <c r="ED6" i="18"/>
  <c r="DU6" i="18"/>
  <c r="DX6" i="18"/>
  <c r="DL6" i="18"/>
  <c r="DG6" i="18"/>
  <c r="DE6" i="18"/>
  <c r="C276" i="11"/>
  <c r="C275" i="11"/>
  <c r="DQ11" i="18" l="1"/>
  <c r="DN11" i="18"/>
  <c r="EA11" i="18"/>
  <c r="EA13" i="18" s="1"/>
  <c r="DW11" i="18"/>
  <c r="DW13" i="18" s="1"/>
  <c r="DF11" i="18"/>
  <c r="DF13" i="18" s="1"/>
  <c r="H80" i="12"/>
  <c r="H83" i="19"/>
  <c r="H81" i="12"/>
  <c r="H84" i="19"/>
  <c r="DY13" i="18"/>
  <c r="FE7" i="18"/>
  <c r="DV13" i="18"/>
  <c r="BG6" i="18"/>
  <c r="FQ6" i="18" s="1"/>
  <c r="AD6" i="18"/>
  <c r="AA6" i="18" s="1"/>
  <c r="AV7" i="18"/>
  <c r="DJ11" i="18"/>
  <c r="DK11" i="18" s="1"/>
  <c r="BQ10" i="18"/>
  <c r="GG8" i="18"/>
  <c r="AH6" i="18"/>
  <c r="AD11" i="18"/>
  <c r="AA11" i="18" s="1"/>
  <c r="AA13" i="18" s="1"/>
  <c r="AV9" i="18"/>
  <c r="DC13" i="18"/>
  <c r="DM13" i="18"/>
  <c r="EA10" i="18"/>
  <c r="EG10" i="18"/>
  <c r="T10" i="18"/>
  <c r="AH10" i="18"/>
  <c r="AH9" i="18"/>
  <c r="GG6" i="18"/>
  <c r="DW6" i="18"/>
  <c r="EG6" i="18"/>
  <c r="BQ7" i="18"/>
  <c r="AD7" i="18"/>
  <c r="AA7" i="18" s="1"/>
  <c r="AH7" i="18"/>
  <c r="DW7" i="18"/>
  <c r="EG7" i="18"/>
  <c r="EG8" i="18"/>
  <c r="DW9" i="18"/>
  <c r="EG9" i="18"/>
  <c r="T9" i="18"/>
  <c r="AD8" i="18"/>
  <c r="AA8" i="18" s="1"/>
  <c r="AH8" i="18"/>
  <c r="W7" i="18"/>
  <c r="AL6" i="18"/>
  <c r="T6" i="18"/>
  <c r="CG10" i="18"/>
  <c r="BG9" i="18"/>
  <c r="FQ9" i="18" s="1"/>
  <c r="BG8" i="18"/>
  <c r="FQ8" i="18" s="1"/>
  <c r="W8" i="18"/>
  <c r="EA7" i="18"/>
  <c r="EW10" i="18"/>
  <c r="BL11" i="18"/>
  <c r="BL13" i="18" s="1"/>
  <c r="BL10" i="18"/>
  <c r="BQ8" i="18"/>
  <c r="T8" i="18"/>
  <c r="BQ6" i="18"/>
  <c r="BL7" i="18"/>
  <c r="FL6" i="18"/>
  <c r="FP7" i="18"/>
  <c r="FL8" i="18"/>
  <c r="BG11" i="18"/>
  <c r="BG13" i="18" s="1"/>
  <c r="BG10" i="18"/>
  <c r="FQ10" i="18" s="1"/>
  <c r="AL10" i="18"/>
  <c r="AD10" i="18"/>
  <c r="AA10" i="18" s="1"/>
  <c r="W10" i="18"/>
  <c r="BL8" i="18"/>
  <c r="AL8" i="18"/>
  <c r="BG7" i="18"/>
  <c r="FQ7" i="18" s="1"/>
  <c r="BL6" i="18"/>
  <c r="DG11" i="18"/>
  <c r="DG13" i="18" s="1"/>
  <c r="FL7" i="18"/>
  <c r="GG9" i="18"/>
  <c r="GG10" i="18"/>
  <c r="AD13" i="18"/>
  <c r="BL9" i="18"/>
  <c r="GB6" i="18"/>
  <c r="GB7" i="18"/>
  <c r="GN8" i="18"/>
  <c r="GB9" i="18"/>
  <c r="BQ11" i="18"/>
  <c r="BQ13" i="18" s="1"/>
  <c r="AB11" i="18"/>
  <c r="AB13" i="18" s="1"/>
  <c r="X11" i="18"/>
  <c r="X13" i="18" s="1"/>
  <c r="T11" i="18"/>
  <c r="AV10" i="18"/>
  <c r="AL9" i="18"/>
  <c r="AD9" i="18"/>
  <c r="AA9" i="18" s="1"/>
  <c r="AM8" i="18"/>
  <c r="AV6" i="18"/>
  <c r="DF6" i="18"/>
  <c r="FL9" i="18"/>
  <c r="FV9" i="18"/>
  <c r="FV13" i="18"/>
  <c r="AU11" i="18"/>
  <c r="AI11" i="18"/>
  <c r="AI13" i="18" s="1"/>
  <c r="AE11" i="18"/>
  <c r="AE13" i="18" s="1"/>
  <c r="W11" i="18"/>
  <c r="W13" i="18" s="1"/>
  <c r="BQ9" i="18"/>
  <c r="T7" i="18"/>
  <c r="DJ6" i="18"/>
  <c r="EL8" i="18"/>
  <c r="DF7" i="18"/>
  <c r="DJ7" i="18"/>
  <c r="FV8" i="18"/>
  <c r="DF10" i="18"/>
  <c r="Y13" i="18"/>
  <c r="Q13" i="18"/>
  <c r="AL7" i="18"/>
  <c r="EL6" i="18"/>
  <c r="EW6" i="18"/>
  <c r="DS7" i="18"/>
  <c r="DT7" i="18" s="1"/>
  <c r="EW8" i="18"/>
  <c r="EX8" i="18" s="1"/>
  <c r="DJ9" i="18"/>
  <c r="EA9" i="18"/>
  <c r="FP13" i="18"/>
  <c r="EL10" i="18"/>
  <c r="EL7" i="18"/>
  <c r="FP9" i="18"/>
  <c r="GN10" i="18"/>
  <c r="FP8" i="18"/>
  <c r="GB8" i="18"/>
  <c r="GC8" i="18" s="1"/>
  <c r="DS9" i="18"/>
  <c r="DT9" i="18" s="1"/>
  <c r="DS10" i="18"/>
  <c r="DF9" i="18"/>
  <c r="DW8" i="18"/>
  <c r="DJ8" i="18"/>
  <c r="EA8" i="18"/>
  <c r="DS8" i="18"/>
  <c r="EN9" i="18"/>
  <c r="EW9" i="18"/>
  <c r="EA6" i="18"/>
  <c r="FP10" i="18"/>
  <c r="FV10" i="18"/>
  <c r="FW10" i="18" s="1"/>
  <c r="GB10" i="18"/>
  <c r="EW7" i="18"/>
  <c r="EN7" i="18"/>
  <c r="FV7" i="18"/>
  <c r="DS6" i="18"/>
  <c r="FP6" i="18"/>
  <c r="FV6" i="18"/>
  <c r="EL9" i="18"/>
  <c r="FE10" i="18"/>
  <c r="DF8" i="18"/>
  <c r="DJ10" i="18"/>
  <c r="DW10" i="18"/>
  <c r="FL10" i="18"/>
  <c r="GG13" i="18"/>
  <c r="DE13" i="18"/>
  <c r="FL13" i="18"/>
  <c r="GB13" i="18"/>
  <c r="FK13" i="18"/>
  <c r="DS11" i="18" l="1"/>
  <c r="DS13" i="18" s="1"/>
  <c r="EB10" i="18"/>
  <c r="GC7" i="18"/>
  <c r="EX9" i="18"/>
  <c r="EB7" i="18"/>
  <c r="DK9" i="18"/>
  <c r="EB11" i="18"/>
  <c r="EH7" i="18"/>
  <c r="EB6" i="18"/>
  <c r="EC6" i="18" s="1"/>
  <c r="EM6" i="18"/>
  <c r="DJ13" i="18"/>
  <c r="EM7" i="18"/>
  <c r="AY8" i="18"/>
  <c r="CG8" i="18" s="1"/>
  <c r="GC6" i="18"/>
  <c r="EC10" i="18"/>
  <c r="EH6" i="18"/>
  <c r="DK10" i="18"/>
  <c r="DK6" i="18"/>
  <c r="AY9" i="18"/>
  <c r="CG9" i="18" s="1"/>
  <c r="EM10" i="18"/>
  <c r="EX7" i="18"/>
  <c r="EC7" i="18"/>
  <c r="EM8" i="18"/>
  <c r="FW8" i="18"/>
  <c r="EH10" i="18"/>
  <c r="AH11" i="18"/>
  <c r="AH13" i="18" s="1"/>
  <c r="DT13" i="18"/>
  <c r="GC10" i="18"/>
  <c r="EX10" i="18"/>
  <c r="EH8" i="18"/>
  <c r="EB9" i="18"/>
  <c r="EC9" i="18" s="1"/>
  <c r="EH9" i="18"/>
  <c r="DT10" i="18"/>
  <c r="GC9" i="18"/>
  <c r="DK7" i="18"/>
  <c r="FW7" i="18"/>
  <c r="GF7" i="18" s="1"/>
  <c r="GM7" i="18" s="1"/>
  <c r="DK8" i="18"/>
  <c r="BS7" i="18"/>
  <c r="CG7" i="18" s="1"/>
  <c r="FW9" i="18"/>
  <c r="EB8" i="18"/>
  <c r="EC8" i="18" s="1"/>
  <c r="T13" i="18"/>
  <c r="AM11" i="18"/>
  <c r="AM13" i="18" s="1"/>
  <c r="AV11" i="18"/>
  <c r="AV13" i="18" s="1"/>
  <c r="AU13" i="18"/>
  <c r="AL11" i="18"/>
  <c r="AL13" i="18" s="1"/>
  <c r="EX6" i="18"/>
  <c r="AY6" i="18"/>
  <c r="CG6" i="18" s="1"/>
  <c r="DT6" i="18"/>
  <c r="EM9" i="18"/>
  <c r="FW6" i="18"/>
  <c r="FQ13" i="18"/>
  <c r="GC13" i="18"/>
  <c r="FW13" i="18"/>
  <c r="DT8" i="18"/>
  <c r="FD9" i="18" l="1"/>
  <c r="GM9" i="18" s="1"/>
  <c r="EB13" i="18"/>
  <c r="EC13" i="18"/>
  <c r="FD6" i="18"/>
  <c r="GM6" i="18" s="1"/>
  <c r="AY11" i="18"/>
  <c r="GL9" i="18"/>
  <c r="DK13" i="18"/>
  <c r="GL6" i="18"/>
  <c r="FE8" i="18"/>
  <c r="GG7" i="18"/>
  <c r="GL7" i="18"/>
  <c r="GN7" i="18" s="1"/>
  <c r="FE9" i="18" l="1"/>
  <c r="GN9" i="18"/>
  <c r="GN6" i="18"/>
  <c r="FE6" i="18"/>
  <c r="CG11" i="18"/>
  <c r="CG13" i="18" s="1"/>
  <c r="AY13" i="18"/>
  <c r="G18" i="16" l="1"/>
  <c r="H24" i="19" s="1"/>
  <c r="H15" i="16"/>
  <c r="D12" i="16"/>
  <c r="GL11" i="18" s="1"/>
  <c r="GL13" i="18" l="1"/>
  <c r="J15" i="16"/>
  <c r="H18" i="16"/>
  <c r="Q24" i="19" s="1"/>
  <c r="C265" i="11"/>
  <c r="C252" i="11"/>
  <c r="C251" i="11"/>
  <c r="AB48" i="11"/>
  <c r="D85" i="11"/>
  <c r="H68" i="12" l="1"/>
  <c r="H66" i="19"/>
  <c r="H55" i="12"/>
  <c r="H54" i="19"/>
  <c r="H53" i="19"/>
  <c r="E49" i="11" l="1"/>
  <c r="D8" i="17" l="1"/>
  <c r="D7" i="17"/>
  <c r="H56" i="12" l="1"/>
  <c r="H57" i="12"/>
  <c r="O12" i="12"/>
  <c r="O11" i="12"/>
  <c r="O10" i="12"/>
  <c r="P9" i="12"/>
  <c r="AA2" i="12"/>
  <c r="Q23" i="12" l="1"/>
  <c r="F5" i="16"/>
  <c r="F6" i="16"/>
  <c r="F7" i="16"/>
  <c r="F8" i="16"/>
  <c r="F9" i="16"/>
  <c r="F3" i="16"/>
  <c r="H23" i="12"/>
  <c r="C274" i="11"/>
  <c r="H78" i="12" s="1"/>
  <c r="C271" i="11"/>
  <c r="C269" i="11"/>
  <c r="H70" i="19" s="1"/>
  <c r="H62" i="12"/>
  <c r="H86" i="19" l="1"/>
  <c r="H63" i="12"/>
  <c r="H74" i="12"/>
  <c r="H72" i="19"/>
  <c r="H62" i="19"/>
  <c r="H79" i="12"/>
  <c r="H76" i="19"/>
  <c r="AB269" i="11"/>
  <c r="H72" i="12"/>
  <c r="C272" i="11"/>
  <c r="C270" i="11"/>
  <c r="H71" i="19" s="1"/>
  <c r="C268" i="11"/>
  <c r="C267" i="11"/>
  <c r="C266" i="11"/>
  <c r="H69" i="12" l="1"/>
  <c r="H67" i="19"/>
  <c r="H71" i="12"/>
  <c r="H69" i="19"/>
  <c r="H75" i="12"/>
  <c r="H73" i="19"/>
  <c r="H70" i="12"/>
  <c r="H68" i="19"/>
  <c r="H76" i="12"/>
  <c r="H74" i="19"/>
  <c r="AB270" i="11"/>
  <c r="H73" i="12"/>
  <c r="H61" i="12" l="1"/>
  <c r="H60" i="19"/>
  <c r="C255" i="11"/>
  <c r="H58" i="12" l="1"/>
  <c r="H57" i="19"/>
  <c r="H54" i="12"/>
  <c r="H3" i="16" l="1"/>
  <c r="G3" i="16"/>
  <c r="H5" i="16"/>
  <c r="J5" i="16" s="1"/>
  <c r="H4" i="16"/>
  <c r="J4" i="16" s="1"/>
  <c r="AB282" i="11"/>
  <c r="H60" i="12" l="1"/>
  <c r="H59" i="19"/>
  <c r="H59" i="12"/>
  <c r="H58" i="19"/>
  <c r="J3" i="16"/>
  <c r="AB36" i="11"/>
  <c r="AB198" i="11" l="1"/>
  <c r="AB195" i="11"/>
  <c r="AB197" i="11"/>
  <c r="AB196" i="11"/>
  <c r="B178" i="11" l="1"/>
  <c r="C250" i="11" l="1"/>
  <c r="H53" i="12" l="1"/>
  <c r="H52" i="19"/>
  <c r="AB28" i="11"/>
  <c r="AB44" i="11" l="1"/>
  <c r="AB286" i="11" l="1"/>
  <c r="AB285" i="11"/>
  <c r="AB284" i="11"/>
  <c r="AB283" i="11"/>
  <c r="AC192" i="11" l="1"/>
  <c r="F194" i="11" s="1"/>
  <c r="EQ11" i="18" s="1"/>
  <c r="EQ13" i="18" s="1"/>
  <c r="BG28" i="11" l="1"/>
  <c r="B5" i="12" l="1"/>
  <c r="B5" i="19"/>
  <c r="AB38" i="11"/>
  <c r="AB37" i="11"/>
  <c r="AB34" i="11" l="1"/>
  <c r="AB231" i="11" l="1"/>
  <c r="AC225" i="11"/>
  <c r="F227" i="11" s="1"/>
  <c r="EU11" i="18" s="1"/>
  <c r="EU13" i="18" s="1"/>
  <c r="AB220" i="11"/>
  <c r="AC218" i="11"/>
  <c r="AB213" i="11"/>
  <c r="AC208" i="11"/>
  <c r="F210" i="11" s="1"/>
  <c r="ES11" i="18" s="1"/>
  <c r="ES13" i="18" s="1"/>
  <c r="AB203" i="11"/>
  <c r="AC200" i="11"/>
  <c r="F202" i="11" s="1"/>
  <c r="ER11" i="18" s="1"/>
  <c r="ER13" i="18" s="1"/>
  <c r="AB189" i="11"/>
  <c r="AB188" i="11"/>
  <c r="AC185" i="11"/>
  <c r="F187" i="11" s="1"/>
  <c r="EP11" i="18" s="1"/>
  <c r="EP13" i="18" s="1"/>
  <c r="AC180" i="11"/>
  <c r="F182" i="11" s="1"/>
  <c r="EO11" i="18" s="1"/>
  <c r="B95" i="11"/>
  <c r="AB91" i="11"/>
  <c r="AB47" i="11"/>
  <c r="AB43" i="11"/>
  <c r="AB42" i="11"/>
  <c r="Y40" i="11"/>
  <c r="D40" i="11"/>
  <c r="AB35" i="11"/>
  <c r="AB33" i="11"/>
  <c r="AB32" i="11"/>
  <c r="AB31" i="11"/>
  <c r="AB29" i="11"/>
  <c r="AB14" i="11"/>
  <c r="AB13" i="11"/>
  <c r="AB11" i="11"/>
  <c r="AB9" i="11"/>
  <c r="Y109" i="11" l="1"/>
  <c r="EO13" i="18"/>
  <c r="F220" i="11"/>
  <c r="AB95" i="11"/>
  <c r="Y128" i="11" l="1"/>
  <c r="EF11" i="18" s="1"/>
  <c r="EF13" i="18" s="1"/>
  <c r="T239" i="11"/>
  <c r="AB109" i="11"/>
  <c r="Y146" i="11"/>
  <c r="EK11" i="18" s="1"/>
  <c r="EK13" i="18" s="1"/>
  <c r="F233" i="11"/>
  <c r="ET11" i="18"/>
  <c r="Y173" i="11"/>
  <c r="C262" i="11" l="1"/>
  <c r="AB128" i="11"/>
  <c r="EG11" i="18"/>
  <c r="G8" i="16"/>
  <c r="C263" i="11"/>
  <c r="H64" i="19" s="1"/>
  <c r="EE11" i="18"/>
  <c r="EE13" i="18" s="1"/>
  <c r="H8" i="16"/>
  <c r="J8" i="16" s="1"/>
  <c r="H79" i="19"/>
  <c r="H80" i="19"/>
  <c r="H82" i="19"/>
  <c r="H81" i="19"/>
  <c r="EJ11" i="18"/>
  <c r="ET13" i="18"/>
  <c r="EV11" i="18"/>
  <c r="H65" i="12"/>
  <c r="H63" i="19"/>
  <c r="ED11" i="18"/>
  <c r="K235" i="11"/>
  <c r="EI11" i="18"/>
  <c r="EJ13" i="18"/>
  <c r="H7" i="16"/>
  <c r="J7" i="16" s="1"/>
  <c r="AB173" i="11"/>
  <c r="G7" i="16"/>
  <c r="AB146" i="11"/>
  <c r="H9" i="16"/>
  <c r="J9" i="16" s="1"/>
  <c r="G9" i="16"/>
  <c r="AB163" i="11"/>
  <c r="C264" i="11"/>
  <c r="AB162" i="11"/>
  <c r="AB165" i="11"/>
  <c r="AB164" i="11"/>
  <c r="AB263" i="11" l="1"/>
  <c r="H66" i="12"/>
  <c r="G12" i="16"/>
  <c r="H24" i="12" s="1"/>
  <c r="H25" i="12" s="1"/>
  <c r="H12" i="16"/>
  <c r="Q24" i="12" s="1"/>
  <c r="Q25" i="12" s="1"/>
  <c r="AB236" i="11"/>
  <c r="EL11" i="18"/>
  <c r="EN11" i="18"/>
  <c r="EN13" i="18" s="1"/>
  <c r="EV13" i="18"/>
  <c r="EW11" i="18"/>
  <c r="H67" i="12"/>
  <c r="H65" i="19"/>
  <c r="ED13" i="18"/>
  <c r="EI13" i="18"/>
  <c r="EM11" i="18"/>
  <c r="EX11" i="18" l="1"/>
  <c r="EX13" i="18" s="1"/>
  <c r="EW13" i="18"/>
  <c r="EG13" i="18"/>
  <c r="EL13" i="18"/>
  <c r="EH13" i="18" l="1"/>
  <c r="FD11" i="18"/>
  <c r="EM13" i="18"/>
  <c r="FE11" i="18" l="1"/>
  <c r="FE13" i="18" s="1"/>
  <c r="GM11" i="18"/>
  <c r="FD13" i="18"/>
  <c r="GM13" i="18" l="1"/>
  <c r="GN11" i="18"/>
  <c r="GN13"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鳥取県庁</author>
  </authors>
  <commentList>
    <comment ref="N12" authorId="0" shapeId="0" xr:uid="{00000000-0006-0000-0000-000001000000}">
      <text>
        <r>
          <rPr>
            <b/>
            <sz val="9"/>
            <color indexed="81"/>
            <rFont val="ＭＳ Ｐゴシック"/>
            <family val="3"/>
            <charset val="128"/>
          </rPr>
          <t>実績報告の場合は転居後の住所としてください。</t>
        </r>
      </text>
    </comment>
    <comment ref="U99" authorId="0" shapeId="0" xr:uid="{00000000-0006-0000-0000-000002000000}">
      <text>
        <r>
          <rPr>
            <b/>
            <sz val="9"/>
            <color indexed="81"/>
            <rFont val="ＭＳ Ｐゴシック"/>
            <family val="3"/>
            <charset val="128"/>
          </rPr>
          <t>併用住宅を選択すると、ここに入力欄が表示されます。</t>
        </r>
      </text>
    </comment>
    <comment ref="J282" authorId="0" shapeId="0" xr:uid="{00000000-0006-0000-0000-000003000000}">
      <text>
        <r>
          <rPr>
            <b/>
            <sz val="9"/>
            <color indexed="81"/>
            <rFont val="ＭＳ Ｐゴシック"/>
            <family val="3"/>
            <charset val="128"/>
          </rPr>
          <t>工事監理者が不要な場合は、工事施工者氏名を選択してください。</t>
        </r>
      </text>
    </comment>
  </commentList>
</comments>
</file>

<file path=xl/sharedStrings.xml><?xml version="1.0" encoding="utf-8"?>
<sst xmlns="http://schemas.openxmlformats.org/spreadsheetml/2006/main" count="850" uniqueCount="532">
  <si>
    <t>万円</t>
    <rPh sb="0" eb="2">
      <t>マンエン</t>
    </rPh>
    <phoneticPr fontId="1"/>
  </si>
  <si>
    <t>建設地</t>
    <rPh sb="0" eb="3">
      <t>ケンセツチ</t>
    </rPh>
    <phoneticPr fontId="1"/>
  </si>
  <si>
    <t>工期</t>
    <rPh sb="0" eb="2">
      <t>コウキ</t>
    </rPh>
    <phoneticPr fontId="1"/>
  </si>
  <si>
    <t>事業者名</t>
    <rPh sb="0" eb="3">
      <t>ジギョウシャ</t>
    </rPh>
    <rPh sb="3" eb="4">
      <t>メイ</t>
    </rPh>
    <phoneticPr fontId="1"/>
  </si>
  <si>
    <t>所在地</t>
    <rPh sb="0" eb="3">
      <t>ショザイチ</t>
    </rPh>
    <phoneticPr fontId="1"/>
  </si>
  <si>
    <t>所管団体</t>
    <rPh sb="0" eb="2">
      <t>ショカン</t>
    </rPh>
    <rPh sb="2" eb="4">
      <t>ダンタイ</t>
    </rPh>
    <phoneticPr fontId="1"/>
  </si>
  <si>
    <t>氏名</t>
    <rPh sb="0" eb="2">
      <t>シメイ</t>
    </rPh>
    <phoneticPr fontId="1"/>
  </si>
  <si>
    <t>日</t>
    <rPh sb="0" eb="1">
      <t>ニチ</t>
    </rPh>
    <phoneticPr fontId="1"/>
  </si>
  <si>
    <t>年</t>
    <rPh sb="0" eb="1">
      <t>ネン</t>
    </rPh>
    <phoneticPr fontId="1"/>
  </si>
  <si>
    <t>電話</t>
    <rPh sb="0" eb="2">
      <t>デンワ</t>
    </rPh>
    <phoneticPr fontId="1"/>
  </si>
  <si>
    <t>〒</t>
    <phoneticPr fontId="1"/>
  </si>
  <si>
    <t>　県が交付する文書は、下記に送付してください。</t>
    <rPh sb="1" eb="2">
      <t>ケン</t>
    </rPh>
    <rPh sb="3" eb="5">
      <t>コウフ</t>
    </rPh>
    <rPh sb="7" eb="9">
      <t>ブンショ</t>
    </rPh>
    <rPh sb="11" eb="13">
      <t>カキ</t>
    </rPh>
    <rPh sb="14" eb="16">
      <t>ソウフ</t>
    </rPh>
    <phoneticPr fontId="1"/>
  </si>
  <si>
    <t>住所</t>
    <rPh sb="0" eb="2">
      <t>ジュウショ</t>
    </rPh>
    <phoneticPr fontId="1"/>
  </si>
  <si>
    <t>申請者</t>
    <rPh sb="0" eb="3">
      <t>シンセイシャ</t>
    </rPh>
    <phoneticPr fontId="1"/>
  </si>
  <si>
    <t>記</t>
    <rPh sb="0" eb="1">
      <t>キ</t>
    </rPh>
    <phoneticPr fontId="1"/>
  </si>
  <si>
    <t>とっとり住まいる支援事業補助金</t>
    <rPh sb="4" eb="5">
      <t>ス</t>
    </rPh>
    <rPh sb="12" eb="15">
      <t>ホジョキン</t>
    </rPh>
    <phoneticPr fontId="1"/>
  </si>
  <si>
    <t>算定基準額</t>
    <rPh sb="0" eb="2">
      <t>サンテイ</t>
    </rPh>
    <rPh sb="2" eb="4">
      <t>キジュン</t>
    </rPh>
    <rPh sb="4" eb="5">
      <t>ガク</t>
    </rPh>
    <phoneticPr fontId="1"/>
  </si>
  <si>
    <t>円</t>
    <rPh sb="0" eb="1">
      <t>エン</t>
    </rPh>
    <phoneticPr fontId="1"/>
  </si>
  <si>
    <t>担当者</t>
    <rPh sb="0" eb="3">
      <t>タントウシャ</t>
    </rPh>
    <phoneticPr fontId="1"/>
  </si>
  <si>
    <t>連絡先電話</t>
    <rPh sb="0" eb="3">
      <t>レンラクサキ</t>
    </rPh>
    <rPh sb="3" eb="5">
      <t>デンワ</t>
    </rPh>
    <phoneticPr fontId="1"/>
  </si>
  <si>
    <t>共通事項</t>
    <rPh sb="0" eb="2">
      <t>キョウツウ</t>
    </rPh>
    <rPh sb="2" eb="4">
      <t>ジコウ</t>
    </rPh>
    <phoneticPr fontId="1"/>
  </si>
  <si>
    <t>申請者　</t>
    <rPh sb="0" eb="3">
      <t>シンセイシャ</t>
    </rPh>
    <phoneticPr fontId="1"/>
  </si>
  <si>
    <t>月</t>
    <rPh sb="0" eb="1">
      <t>ツキ</t>
    </rPh>
    <phoneticPr fontId="1"/>
  </si>
  <si>
    <t>連絡先</t>
  </si>
  <si>
    <t>種別</t>
    <rPh sb="0" eb="2">
      <t>シュベツ</t>
    </rPh>
    <phoneticPr fontId="1"/>
  </si>
  <si>
    <t>箇所</t>
    <rPh sb="0" eb="2">
      <t>カショ</t>
    </rPh>
    <phoneticPr fontId="1"/>
  </si>
  <si>
    <t>工法</t>
    <rPh sb="0" eb="2">
      <t>コウホウ</t>
    </rPh>
    <phoneticPr fontId="1"/>
  </si>
  <si>
    <t>浴室：</t>
    <rPh sb="0" eb="2">
      <t>ヨクシツ</t>
    </rPh>
    <phoneticPr fontId="1"/>
  </si>
  <si>
    <t>便所：</t>
    <rPh sb="0" eb="2">
      <t>ベンジョ</t>
    </rPh>
    <phoneticPr fontId="1"/>
  </si>
  <si>
    <t>（例：３ＬＤＫ）</t>
    <rPh sb="1" eb="2">
      <t>レイ</t>
    </rPh>
    <phoneticPr fontId="1"/>
  </si>
  <si>
    <t>間取り等</t>
    <rPh sb="0" eb="2">
      <t>マド</t>
    </rPh>
    <rPh sb="3" eb="4">
      <t>ナド</t>
    </rPh>
    <phoneticPr fontId="1"/>
  </si>
  <si>
    <t>建築確認の要否</t>
    <rPh sb="0" eb="2">
      <t>ケンチク</t>
    </rPh>
    <rPh sb="2" eb="4">
      <t>カクニン</t>
    </rPh>
    <rPh sb="5" eb="7">
      <t>ヨウヒ</t>
    </rPh>
    <phoneticPr fontId="1"/>
  </si>
  <si>
    <t>１　共通事項</t>
    <rPh sb="2" eb="4">
      <t>キョウツウ</t>
    </rPh>
    <rPh sb="4" eb="6">
      <t>ジコウ</t>
    </rPh>
    <phoneticPr fontId="1"/>
  </si>
  <si>
    <t>補助金名</t>
    <rPh sb="0" eb="3">
      <t>ホジョキン</t>
    </rPh>
    <rPh sb="3" eb="4">
      <t>メイ</t>
    </rPh>
    <phoneticPr fontId="1"/>
  </si>
  <si>
    <t>※他の補助金を利用する場合に、記入してください。</t>
    <rPh sb="1" eb="2">
      <t>ホカ</t>
    </rPh>
    <rPh sb="3" eb="6">
      <t>ホジョキン</t>
    </rPh>
    <rPh sb="7" eb="9">
      <t>リヨウ</t>
    </rPh>
    <rPh sb="11" eb="13">
      <t>バアイ</t>
    </rPh>
    <rPh sb="15" eb="17">
      <t>キニュウ</t>
    </rPh>
    <phoneticPr fontId="1"/>
  </si>
  <si>
    <t>※複数ある場合は、すべて記入してください</t>
    <rPh sb="1" eb="3">
      <t>フクスウ</t>
    </rPh>
    <rPh sb="5" eb="7">
      <t>バアイ</t>
    </rPh>
    <rPh sb="12" eb="14">
      <t>キニュウ</t>
    </rPh>
    <phoneticPr fontId="1"/>
  </si>
  <si>
    <t>２　県産材の使用</t>
    <rPh sb="2" eb="4">
      <t>ケンサン</t>
    </rPh>
    <rPh sb="4" eb="5">
      <t>ザイ</t>
    </rPh>
    <rPh sb="6" eb="8">
      <t>シヨウ</t>
    </rPh>
    <phoneticPr fontId="1"/>
  </si>
  <si>
    <t>例</t>
    <rPh sb="0" eb="1">
      <t>レイ</t>
    </rPh>
    <phoneticPr fontId="1"/>
  </si>
  <si>
    <t>連絡先</t>
    <rPh sb="0" eb="3">
      <t>レンラクサキ</t>
    </rPh>
    <phoneticPr fontId="1"/>
  </si>
  <si>
    <t>申請者　住所：</t>
    <rPh sb="0" eb="3">
      <t>シンセイシャ</t>
    </rPh>
    <rPh sb="4" eb="6">
      <t>ジュウショ</t>
    </rPh>
    <phoneticPr fontId="1"/>
  </si>
  <si>
    <t>氏名：</t>
    <rPh sb="0" eb="2">
      <t>シメイ</t>
    </rPh>
    <phoneticPr fontId="1"/>
  </si>
  <si>
    <t>各項目をよくお読みいただき、該当する項目の□に✔を記入してください。</t>
    <rPh sb="0" eb="3">
      <t>カクコウモク</t>
    </rPh>
    <rPh sb="7" eb="8">
      <t>ヨ</t>
    </rPh>
    <rPh sb="14" eb="16">
      <t>ガイトウ</t>
    </rPh>
    <rPh sb="18" eb="20">
      <t>コウモク</t>
    </rPh>
    <rPh sb="25" eb="27">
      <t>キニュウ</t>
    </rPh>
    <phoneticPr fontId="1"/>
  </si>
  <si>
    <t>＜記入方法＞</t>
    <rPh sb="1" eb="3">
      <t>キニュウ</t>
    </rPh>
    <rPh sb="3" eb="5">
      <t>ホウホウ</t>
    </rPh>
    <phoneticPr fontId="1"/>
  </si>
  <si>
    <t>併用する補助金の内容によっては、とっとり住まいる支援事業補助金の全部または一部が受けられないことがあります。</t>
    <rPh sb="0" eb="2">
      <t>ヘイヨウ</t>
    </rPh>
    <rPh sb="4" eb="7">
      <t>ホジョキン</t>
    </rPh>
    <rPh sb="8" eb="10">
      <t>ナイヨウ</t>
    </rPh>
    <rPh sb="20" eb="21">
      <t>ス</t>
    </rPh>
    <rPh sb="24" eb="28">
      <t>シエンジギョウ</t>
    </rPh>
    <rPh sb="28" eb="31">
      <t>ホジョキン</t>
    </rPh>
    <rPh sb="32" eb="34">
      <t>ゼンブ</t>
    </rPh>
    <rPh sb="37" eb="39">
      <t>イチブ</t>
    </rPh>
    <rPh sb="40" eb="41">
      <t>ウ</t>
    </rPh>
    <phoneticPr fontId="1"/>
  </si>
  <si>
    <t>＜注意事項＞</t>
    <rPh sb="1" eb="3">
      <t>チュウイ</t>
    </rPh>
    <rPh sb="3" eb="5">
      <t>ジコウ</t>
    </rPh>
    <phoneticPr fontId="1"/>
  </si>
  <si>
    <t>併用できない補助金を利用していることが判明した場合、とっとり住まいる支援事業補助金の交付決定をを取り消すことがあります。既にとっとり住まいる支援事業補助金を支給済みの場合は、補助金の全部または一部の返還を求めることがあります。</t>
    <rPh sb="0" eb="2">
      <t>ヘイヨウ</t>
    </rPh>
    <rPh sb="6" eb="9">
      <t>ホジョキン</t>
    </rPh>
    <rPh sb="10" eb="12">
      <t>リヨウ</t>
    </rPh>
    <rPh sb="19" eb="21">
      <t>ハンメイ</t>
    </rPh>
    <rPh sb="23" eb="25">
      <t>バアイ</t>
    </rPh>
    <rPh sb="30" eb="31">
      <t>ス</t>
    </rPh>
    <rPh sb="34" eb="41">
      <t>シエンジギョウホジョキン</t>
    </rPh>
    <rPh sb="42" eb="44">
      <t>コウフ</t>
    </rPh>
    <rPh sb="44" eb="46">
      <t>ケッテイ</t>
    </rPh>
    <rPh sb="48" eb="49">
      <t>ト</t>
    </rPh>
    <rPh sb="50" eb="51">
      <t>ケ</t>
    </rPh>
    <rPh sb="60" eb="61">
      <t>スデ</t>
    </rPh>
    <rPh sb="66" eb="67">
      <t>ス</t>
    </rPh>
    <rPh sb="70" eb="77">
      <t>シエンジギョウホジョキン</t>
    </rPh>
    <rPh sb="78" eb="80">
      <t>シキュウ</t>
    </rPh>
    <rPh sb="80" eb="81">
      <t>ズ</t>
    </rPh>
    <rPh sb="83" eb="85">
      <t>バアイ</t>
    </rPh>
    <rPh sb="87" eb="90">
      <t>ホジョキン</t>
    </rPh>
    <rPh sb="91" eb="93">
      <t>ゼンブ</t>
    </rPh>
    <rPh sb="96" eb="98">
      <t>イチブ</t>
    </rPh>
    <rPh sb="99" eb="101">
      <t>ヘンカン</t>
    </rPh>
    <rPh sb="102" eb="103">
      <t>モト</t>
    </rPh>
    <phoneticPr fontId="1"/>
  </si>
  <si>
    <t>＜留意点＞</t>
    <rPh sb="1" eb="4">
      <t>リュウイテン</t>
    </rPh>
    <phoneticPr fontId="1"/>
  </si>
  <si>
    <t>交付申請の時点で婚姻していない場合は対象外です。</t>
    <rPh sb="0" eb="2">
      <t>コウフ</t>
    </rPh>
    <rPh sb="2" eb="4">
      <t>シンセイ</t>
    </rPh>
    <rPh sb="5" eb="7">
      <t>ジテン</t>
    </rPh>
    <rPh sb="8" eb="10">
      <t>コンイン</t>
    </rPh>
    <rPh sb="15" eb="17">
      <t>バアイ</t>
    </rPh>
    <rPh sb="18" eb="21">
      <t>タイショウガイ</t>
    </rPh>
    <phoneticPr fontId="1"/>
  </si>
  <si>
    <t>使用量</t>
    <rPh sb="0" eb="2">
      <t>シヨウ</t>
    </rPh>
    <rPh sb="2" eb="3">
      <t>リョウ</t>
    </rPh>
    <phoneticPr fontId="1"/>
  </si>
  <si>
    <t>区分</t>
    <rPh sb="0" eb="2">
      <t>クブン</t>
    </rPh>
    <phoneticPr fontId="1"/>
  </si>
  <si>
    <t>交付申請の時点で子が生まれていない場合は対象外です。</t>
    <rPh sb="0" eb="4">
      <t>コウフシンセイ</t>
    </rPh>
    <rPh sb="5" eb="7">
      <t>ジテン</t>
    </rPh>
    <rPh sb="8" eb="9">
      <t>コ</t>
    </rPh>
    <rPh sb="10" eb="11">
      <t>ウ</t>
    </rPh>
    <rPh sb="17" eb="19">
      <t>バアイ</t>
    </rPh>
    <rPh sb="20" eb="23">
      <t>タイショウガイ</t>
    </rPh>
    <phoneticPr fontId="1"/>
  </si>
  <si>
    <t>① 18歳に達して以後の最初の3月31日まで</t>
    <rPh sb="4" eb="5">
      <t>サイ</t>
    </rPh>
    <rPh sb="6" eb="7">
      <t>タッ</t>
    </rPh>
    <rPh sb="9" eb="11">
      <t>イゴ</t>
    </rPh>
    <rPh sb="12" eb="14">
      <t>サイショ</t>
    </rPh>
    <rPh sb="16" eb="17">
      <t>ガツ</t>
    </rPh>
    <rPh sb="19" eb="20">
      <t>ニチ</t>
    </rPh>
    <phoneticPr fontId="1"/>
  </si>
  <si>
    <t>　にある子を養育している世帯</t>
    <rPh sb="4" eb="5">
      <t>コ</t>
    </rPh>
    <rPh sb="6" eb="8">
      <t>ヨウイク</t>
    </rPh>
    <rPh sb="12" eb="14">
      <t>セタイ</t>
    </rPh>
    <phoneticPr fontId="1"/>
  </si>
  <si>
    <t>② 婚姻後10年以内の世帯</t>
    <rPh sb="2" eb="4">
      <t>コンイン</t>
    </rPh>
    <rPh sb="4" eb="5">
      <t>ゴ</t>
    </rPh>
    <rPh sb="7" eb="8">
      <t>ネン</t>
    </rPh>
    <rPh sb="8" eb="10">
      <t>イナイ</t>
    </rPh>
    <rPh sb="11" eb="13">
      <t>セタイ</t>
    </rPh>
    <phoneticPr fontId="1"/>
  </si>
  <si>
    <t>次の①②のどちらかに該当すること。</t>
    <phoneticPr fontId="1"/>
  </si>
  <si>
    <t>箇所</t>
    <rPh sb="0" eb="2">
      <t>カショ</t>
    </rPh>
    <phoneticPr fontId="1"/>
  </si>
  <si>
    <t>ささら子下見板、押縁下見板、南京下見板</t>
    <rPh sb="3" eb="4">
      <t>コ</t>
    </rPh>
    <rPh sb="4" eb="7">
      <t>シタミイタ</t>
    </rPh>
    <rPh sb="8" eb="10">
      <t>オシブチ</t>
    </rPh>
    <rPh sb="10" eb="13">
      <t>シタミイタ</t>
    </rPh>
    <rPh sb="14" eb="16">
      <t>ナンキン</t>
    </rPh>
    <rPh sb="16" eb="18">
      <t>シタミ</t>
    </rPh>
    <rPh sb="18" eb="19">
      <t>イタ</t>
    </rPh>
    <phoneticPr fontId="1"/>
  </si>
  <si>
    <t>羽目板張り、ドイツ下見板、縦板張り</t>
    <rPh sb="0" eb="3">
      <t>ハメイタ</t>
    </rPh>
    <rPh sb="3" eb="4">
      <t>バ</t>
    </rPh>
    <rPh sb="9" eb="11">
      <t>シタミ</t>
    </rPh>
    <rPh sb="11" eb="12">
      <t>イタ</t>
    </rPh>
    <rPh sb="13" eb="14">
      <t>タテ</t>
    </rPh>
    <rPh sb="14" eb="15">
      <t>イタ</t>
    </rPh>
    <rPh sb="15" eb="16">
      <t>バ</t>
    </rPh>
    <phoneticPr fontId="1"/>
  </si>
  <si>
    <t>①手刻み加工</t>
    <rPh sb="1" eb="2">
      <t>テ</t>
    </rPh>
    <rPh sb="2" eb="3">
      <t>キザ</t>
    </rPh>
    <rPh sb="4" eb="6">
      <t>カコウ</t>
    </rPh>
    <phoneticPr fontId="1"/>
  </si>
  <si>
    <t>②下見板張り</t>
    <rPh sb="1" eb="3">
      <t>シタミ</t>
    </rPh>
    <rPh sb="3" eb="4">
      <t>イタ</t>
    </rPh>
    <rPh sb="4" eb="5">
      <t>バ</t>
    </rPh>
    <phoneticPr fontId="1"/>
  </si>
  <si>
    <t>③左官仕上げ</t>
    <rPh sb="1" eb="3">
      <t>サカン</t>
    </rPh>
    <rPh sb="3" eb="5">
      <t>シア</t>
    </rPh>
    <phoneticPr fontId="1"/>
  </si>
  <si>
    <t>⑤木製建具</t>
    <rPh sb="1" eb="3">
      <t>モクセイ</t>
    </rPh>
    <rPh sb="3" eb="5">
      <t>タテグ</t>
    </rPh>
    <phoneticPr fontId="1"/>
  </si>
  <si>
    <t>　　補助対象となる工法・・・・・・・・・</t>
    <rPh sb="2" eb="4">
      <t>ホジョ</t>
    </rPh>
    <rPh sb="4" eb="6">
      <t>タイショウ</t>
    </rPh>
    <rPh sb="9" eb="11">
      <t>コウホウ</t>
    </rPh>
    <phoneticPr fontId="1"/>
  </si>
  <si>
    <t>　　補助対象とならない工法・・・・・・</t>
    <rPh sb="2" eb="4">
      <t>ホジョ</t>
    </rPh>
    <rPh sb="4" eb="6">
      <t>タイショウ</t>
    </rPh>
    <rPh sb="11" eb="13">
      <t>コウホウ</t>
    </rPh>
    <phoneticPr fontId="1"/>
  </si>
  <si>
    <t>万円です。</t>
    <rPh sb="0" eb="2">
      <t>マンエン</t>
    </rPh>
    <phoneticPr fontId="1"/>
  </si>
  <si>
    <t>←住所・氏名・電話はチェックシートから引用します</t>
    <rPh sb="1" eb="3">
      <t>ジュウショ</t>
    </rPh>
    <rPh sb="4" eb="6">
      <t>シメイ</t>
    </rPh>
    <rPh sb="7" eb="9">
      <t>デンワ</t>
    </rPh>
    <rPh sb="19" eb="21">
      <t>インヨウ</t>
    </rPh>
    <phoneticPr fontId="1"/>
  </si>
  <si>
    <t>←添付書類はチェックシートに連動して表示します。</t>
    <rPh sb="1" eb="3">
      <t>テンプ</t>
    </rPh>
    <rPh sb="3" eb="5">
      <t>ショルイ</t>
    </rPh>
    <rPh sb="14" eb="16">
      <t>レンドウ</t>
    </rPh>
    <rPh sb="18" eb="20">
      <t>ヒョウジ</t>
    </rPh>
    <phoneticPr fontId="1"/>
  </si>
  <si>
    <t>入力すると色が消えます。</t>
    <rPh sb="0" eb="2">
      <t>ニュウリョク</t>
    </rPh>
    <rPh sb="5" eb="6">
      <t>イロ</t>
    </rPh>
    <rPh sb="7" eb="8">
      <t>キ</t>
    </rPh>
    <phoneticPr fontId="1"/>
  </si>
  <si>
    <t>県産材使用に関する補助金額　計：</t>
    <rPh sb="0" eb="2">
      <t>ケンサン</t>
    </rPh>
    <rPh sb="2" eb="3">
      <t>ザイ</t>
    </rPh>
    <rPh sb="3" eb="5">
      <t>シヨウ</t>
    </rPh>
    <rPh sb="6" eb="7">
      <t>カン</t>
    </rPh>
    <rPh sb="9" eb="11">
      <t>ホジョ</t>
    </rPh>
    <rPh sb="11" eb="13">
      <t>キンガク</t>
    </rPh>
    <rPh sb="14" eb="15">
      <t>ケイ</t>
    </rPh>
    <phoneticPr fontId="1"/>
  </si>
  <si>
    <t>【次ページに続く】</t>
    <rPh sb="1" eb="2">
      <t>ジ</t>
    </rPh>
    <rPh sb="6" eb="7">
      <t>ツヅ</t>
    </rPh>
    <phoneticPr fontId="1"/>
  </si>
  <si>
    <t>該当する項目の□に✔を記入してください（リストから選択）</t>
    <rPh sb="0" eb="2">
      <t>ガイトウ</t>
    </rPh>
    <rPh sb="4" eb="6">
      <t>コウモク</t>
    </rPh>
    <rPh sb="11" eb="13">
      <t>キニュウ</t>
    </rPh>
    <rPh sb="25" eb="27">
      <t>センタク</t>
    </rPh>
    <phoneticPr fontId="1"/>
  </si>
  <si>
    <t>併用住宅の場合は右も記入</t>
    <phoneticPr fontId="1"/>
  </si>
  <si>
    <t>住宅部分</t>
    <phoneticPr fontId="1"/>
  </si>
  <si>
    <t>住宅以外</t>
    <phoneticPr fontId="1"/>
  </si>
  <si>
    <t>該当する場合は、該当する項目の□に✔を記入してください（リストから選択）</t>
    <rPh sb="0" eb="2">
      <t>ガイトウ</t>
    </rPh>
    <rPh sb="4" eb="6">
      <t>バアイ</t>
    </rPh>
    <rPh sb="8" eb="10">
      <t>ガイトウ</t>
    </rPh>
    <rPh sb="12" eb="14">
      <t>コウモク</t>
    </rPh>
    <rPh sb="19" eb="21">
      <t>キニュウ</t>
    </rPh>
    <rPh sb="33" eb="35">
      <t>センタク</t>
    </rPh>
    <phoneticPr fontId="1"/>
  </si>
  <si>
    <t>※①②とも、住民票では申請者と配偶者・子との続柄がわからない場合は、戸籍謄本等の提出をお願いすることがあります。（例：申請者が単身赴任中で別居している場合　など）</t>
    <rPh sb="6" eb="9">
      <t>ジュウミンヒョウ</t>
    </rPh>
    <rPh sb="11" eb="14">
      <t>シンセイシャ</t>
    </rPh>
    <rPh sb="15" eb="18">
      <t>ハイグウシャ</t>
    </rPh>
    <rPh sb="19" eb="20">
      <t>コ</t>
    </rPh>
    <rPh sb="22" eb="24">
      <t>ツヅキガラ</t>
    </rPh>
    <rPh sb="30" eb="32">
      <t>バアイ</t>
    </rPh>
    <rPh sb="34" eb="36">
      <t>コセキ</t>
    </rPh>
    <rPh sb="36" eb="38">
      <t>トウホン</t>
    </rPh>
    <rPh sb="38" eb="39">
      <t>ナド</t>
    </rPh>
    <rPh sb="40" eb="42">
      <t>テイシュツ</t>
    </rPh>
    <rPh sb="44" eb="45">
      <t>ネガ</t>
    </rPh>
    <rPh sb="67" eb="68">
      <t>ナカ</t>
    </rPh>
    <phoneticPr fontId="1"/>
  </si>
  <si>
    <t>※県産材使用量の減少等により、住宅完成後に実際に交付する補助金額が交付決定額を下回ることがあります。</t>
    <rPh sb="1" eb="3">
      <t>ケンサン</t>
    </rPh>
    <rPh sb="3" eb="4">
      <t>ザイ</t>
    </rPh>
    <rPh sb="4" eb="6">
      <t>シヨウ</t>
    </rPh>
    <rPh sb="6" eb="7">
      <t>リョウ</t>
    </rPh>
    <rPh sb="8" eb="10">
      <t>ゲンショウ</t>
    </rPh>
    <rPh sb="10" eb="11">
      <t>トウ</t>
    </rPh>
    <rPh sb="15" eb="17">
      <t>ジュウタク</t>
    </rPh>
    <rPh sb="17" eb="19">
      <t>カンセイ</t>
    </rPh>
    <rPh sb="19" eb="20">
      <t>ゴ</t>
    </rPh>
    <rPh sb="21" eb="23">
      <t>ジッサイ</t>
    </rPh>
    <rPh sb="24" eb="26">
      <t>コウフ</t>
    </rPh>
    <rPh sb="28" eb="30">
      <t>ホジョ</t>
    </rPh>
    <rPh sb="30" eb="32">
      <t>キンガク</t>
    </rPh>
    <rPh sb="33" eb="35">
      <t>コウフ</t>
    </rPh>
    <rPh sb="35" eb="37">
      <t>ケッテイ</t>
    </rPh>
    <rPh sb="37" eb="38">
      <t>ガク</t>
    </rPh>
    <rPh sb="39" eb="41">
      <t>シタマワ</t>
    </rPh>
    <phoneticPr fontId="1"/>
  </si>
  <si>
    <t>　　 新築の区分で補助金申請することができます。</t>
    <phoneticPr fontId="1"/>
  </si>
  <si>
    <t>　　　（浴室はシャワーのみは不可。）</t>
    <rPh sb="4" eb="6">
      <t>ヨクシツ</t>
    </rPh>
    <rPh sb="14" eb="16">
      <t>フカ</t>
    </rPh>
    <phoneticPr fontId="1"/>
  </si>
  <si>
    <t>　※「独立した生活が可能」とは、居住室、台所、浴室、便所が、各１以上あることをいいます。</t>
    <phoneticPr fontId="1"/>
  </si>
  <si>
    <t>　※建築確認上は増改築であっても、増改築部分だけで居住室・台所・浴室・便所が各１以上ある場合は、</t>
    <rPh sb="29" eb="31">
      <t>ダイドコロ</t>
    </rPh>
    <rPh sb="35" eb="37">
      <t>ベンジョ</t>
    </rPh>
    <phoneticPr fontId="1"/>
  </si>
  <si>
    <t>台所：</t>
    <rPh sb="0" eb="2">
      <t>ダイドコロ</t>
    </rPh>
    <phoneticPr fontId="1"/>
  </si>
  <si>
    <t>万円</t>
    <rPh sb="0" eb="2">
      <t>マンエン</t>
    </rPh>
    <phoneticPr fontId="1"/>
  </si>
  <si>
    <t>プレカット工場名</t>
    <rPh sb="5" eb="7">
      <t>コウジョウ</t>
    </rPh>
    <rPh sb="7" eb="8">
      <t>メイ</t>
    </rPh>
    <phoneticPr fontId="1"/>
  </si>
  <si>
    <t>・同居又は近居する直系親族世帯全員の住民票の写し　（補助対象住宅に転居後のもの）</t>
    <rPh sb="1" eb="3">
      <t>ドウキョ</t>
    </rPh>
    <rPh sb="3" eb="4">
      <t>マタ</t>
    </rPh>
    <rPh sb="5" eb="7">
      <t>キンキョ</t>
    </rPh>
    <rPh sb="9" eb="15">
      <t>チョッケイシンゾクセタイ</t>
    </rPh>
    <rPh sb="15" eb="17">
      <t>ゼンイン</t>
    </rPh>
    <rPh sb="18" eb="21">
      <t>ジュウミンヒョウ</t>
    </rPh>
    <rPh sb="22" eb="23">
      <t>ウツ</t>
    </rPh>
    <phoneticPr fontId="1"/>
  </si>
  <si>
    <t>④瓦ぶき</t>
    <rPh sb="1" eb="2">
      <t>カワラ</t>
    </rPh>
    <phoneticPr fontId="1"/>
  </si>
  <si>
    <t>主要な屋根部分を国内で生産された瓦（JIS規格品あるいはJIS同等品）を使用したもの。　（S型瓦や平板瓦を含む。）</t>
    <rPh sb="53" eb="54">
      <t>フク</t>
    </rPh>
    <phoneticPr fontId="1"/>
  </si>
  <si>
    <t>m2</t>
    <phoneticPr fontId="1"/>
  </si>
  <si>
    <t>m2</t>
    <phoneticPr fontId="1"/>
  </si>
  <si>
    <t>４ポイント</t>
    <phoneticPr fontId="1"/>
  </si>
  <si>
    <t>２ポイント</t>
    <phoneticPr fontId="1"/>
  </si>
  <si>
    <t>１～２ポイント</t>
    <phoneticPr fontId="1"/>
  </si>
  <si>
    <t>瓦屋根標準設計・施工ガイドラインに基づき施工したものであること。</t>
    <rPh sb="17" eb="18">
      <t>モト</t>
    </rPh>
    <rPh sb="20" eb="22">
      <t>セコウ</t>
    </rPh>
    <phoneticPr fontId="1"/>
  </si>
  <si>
    <r>
      <t>補助金額　(</t>
    </r>
    <r>
      <rPr>
        <sz val="9"/>
        <color theme="1"/>
        <rFont val="ＭＳ Ｐ明朝"/>
        <family val="1"/>
        <charset val="128"/>
      </rPr>
      <t>自動計算)</t>
    </r>
    <rPh sb="0" eb="2">
      <t>ホジョ</t>
    </rPh>
    <rPh sb="2" eb="4">
      <t>キンガク</t>
    </rPh>
    <rPh sb="6" eb="8">
      <t>ジドウ</t>
    </rPh>
    <rPh sb="8" eb="10">
      <t>ケイサン</t>
    </rPh>
    <phoneticPr fontId="1"/>
  </si>
  <si>
    <r>
      <t>①木材使用材積合計</t>
    </r>
    <r>
      <rPr>
        <sz val="10"/>
        <color theme="1"/>
        <rFont val="ＭＳ Ｐ明朝"/>
        <family val="1"/>
        <charset val="128"/>
      </rPr>
      <t>（</t>
    </r>
    <r>
      <rPr>
        <sz val="10"/>
        <color rgb="FFFF0000"/>
        <rFont val="ＭＳ Ｐ明朝"/>
        <family val="1"/>
        <charset val="128"/>
      </rPr>
      <t>県産材以外の木材を含む</t>
    </r>
    <r>
      <rPr>
        <sz val="10"/>
        <color theme="1"/>
        <rFont val="ＭＳ Ｐ明朝"/>
        <family val="1"/>
        <charset val="128"/>
      </rPr>
      <t>材積）</t>
    </r>
    <rPh sb="1" eb="3">
      <t>モクザイ</t>
    </rPh>
    <rPh sb="3" eb="5">
      <t>シヨウ</t>
    </rPh>
    <rPh sb="5" eb="7">
      <t>ザイセキ</t>
    </rPh>
    <rPh sb="7" eb="9">
      <t>ゴウケイ</t>
    </rPh>
    <rPh sb="10" eb="12">
      <t>ケンサン</t>
    </rPh>
    <rPh sb="12" eb="13">
      <t>ザイ</t>
    </rPh>
    <rPh sb="13" eb="15">
      <t>イガイ</t>
    </rPh>
    <rPh sb="16" eb="18">
      <t>モクザイ</t>
    </rPh>
    <rPh sb="19" eb="20">
      <t>フク</t>
    </rPh>
    <rPh sb="21" eb="23">
      <t>ザイセキ</t>
    </rPh>
    <phoneticPr fontId="1"/>
  </si>
  <si>
    <r>
      <t>⑤県産ＣＬＴ材の</t>
    </r>
    <r>
      <rPr>
        <sz val="11"/>
        <rFont val="ＭＳ Ｐ明朝"/>
        <family val="1"/>
        <charset val="128"/>
      </rPr>
      <t>使用材積</t>
    </r>
    <rPh sb="1" eb="3">
      <t>ケンサン</t>
    </rPh>
    <rPh sb="6" eb="7">
      <t>ザイ</t>
    </rPh>
    <rPh sb="8" eb="10">
      <t>シヨウ</t>
    </rPh>
    <rPh sb="10" eb="12">
      <t>ザイセキ</t>
    </rPh>
    <phoneticPr fontId="1"/>
  </si>
  <si>
    <r>
      <t>⑥県産内外装材、県産木塀の</t>
    </r>
    <r>
      <rPr>
        <sz val="11"/>
        <color rgb="FFFF0000"/>
        <rFont val="ＭＳ Ｐ明朝"/>
        <family val="1"/>
        <charset val="128"/>
      </rPr>
      <t>見付面積</t>
    </r>
    <rPh sb="1" eb="3">
      <t>ケンサン</t>
    </rPh>
    <rPh sb="3" eb="4">
      <t>ナイ</t>
    </rPh>
    <rPh sb="4" eb="7">
      <t>ガイソウザイ</t>
    </rPh>
    <rPh sb="8" eb="10">
      <t>ケンサン</t>
    </rPh>
    <rPh sb="10" eb="11">
      <t>モク</t>
    </rPh>
    <rPh sb="11" eb="12">
      <t>ベイ</t>
    </rPh>
    <rPh sb="13" eb="15">
      <t>ミツケ</t>
    </rPh>
    <rPh sb="15" eb="17">
      <t>メンセキ</t>
    </rPh>
    <phoneticPr fontId="1"/>
  </si>
  <si>
    <t>瓦の種類</t>
    <rPh sb="0" eb="1">
      <t>カワラ</t>
    </rPh>
    <rPh sb="2" eb="4">
      <t>シュルイ</t>
    </rPh>
    <phoneticPr fontId="1"/>
  </si>
  <si>
    <t>木製建具の見付面積</t>
    <rPh sb="0" eb="2">
      <t>モクセイ</t>
    </rPh>
    <rPh sb="2" eb="4">
      <t>タテグ</t>
    </rPh>
    <rPh sb="5" eb="7">
      <t>ミツケ</t>
    </rPh>
    <rPh sb="7" eb="9">
      <t>メンセキ</t>
    </rPh>
    <phoneticPr fontId="1"/>
  </si>
  <si>
    <t>⑥畳</t>
    <rPh sb="1" eb="2">
      <t>タタミ</t>
    </rPh>
    <phoneticPr fontId="1"/>
  </si>
  <si>
    <t>１ポイント</t>
    <phoneticPr fontId="1"/>
  </si>
  <si>
    <t>畳の使用量</t>
    <rPh sb="0" eb="1">
      <t>タタミ</t>
    </rPh>
    <rPh sb="2" eb="4">
      <t>シヨウ</t>
    </rPh>
    <rPh sb="4" eb="5">
      <t>リョウ</t>
    </rPh>
    <phoneticPr fontId="1"/>
  </si>
  <si>
    <t>畳</t>
    <rPh sb="0" eb="1">
      <t>ジョウ</t>
    </rPh>
    <phoneticPr fontId="1"/>
  </si>
  <si>
    <t>下見板張りの種類</t>
    <rPh sb="0" eb="3">
      <t>シタミイタ</t>
    </rPh>
    <rPh sb="3" eb="4">
      <t>バ</t>
    </rPh>
    <rPh sb="6" eb="8">
      <t>シュルイ</t>
    </rPh>
    <phoneticPr fontId="1"/>
  </si>
  <si>
    <t>下見板張りの施工面積</t>
    <rPh sb="0" eb="3">
      <t>シタミイタ</t>
    </rPh>
    <rPh sb="3" eb="4">
      <t>バ</t>
    </rPh>
    <rPh sb="6" eb="8">
      <t>セコウ</t>
    </rPh>
    <rPh sb="8" eb="10">
      <t>メンセキ</t>
    </rPh>
    <phoneticPr fontId="1"/>
  </si>
  <si>
    <t>その他必要に応じて別途書類を求められる場合があります。</t>
    <rPh sb="2" eb="3">
      <t>タ</t>
    </rPh>
    <rPh sb="3" eb="5">
      <t>ヒツヨウ</t>
    </rPh>
    <rPh sb="6" eb="7">
      <t>オウ</t>
    </rPh>
    <rPh sb="9" eb="11">
      <t>ベット</t>
    </rPh>
    <rPh sb="11" eb="13">
      <t>ショルイ</t>
    </rPh>
    <rPh sb="14" eb="15">
      <t>モト</t>
    </rPh>
    <rPh sb="19" eb="21">
      <t>バアイ</t>
    </rPh>
    <phoneticPr fontId="1"/>
  </si>
  <si>
    <t>市町村名</t>
    <rPh sb="0" eb="4">
      <t>シチョウソンメイ</t>
    </rPh>
    <phoneticPr fontId="1"/>
  </si>
  <si>
    <t>プレカットを行う場合は、県内のプレカット工場で加工すること。</t>
    <rPh sb="6" eb="7">
      <t>オコナ</t>
    </rPh>
    <rPh sb="8" eb="10">
      <t>バアイ</t>
    </rPh>
    <rPh sb="12" eb="14">
      <t>ケンナイ</t>
    </rPh>
    <rPh sb="20" eb="22">
      <t>コウジョウ</t>
    </rPh>
    <rPh sb="23" eb="25">
      <t>カコウ</t>
    </rPh>
    <phoneticPr fontId="1"/>
  </si>
  <si>
    <t>プレカットを一切使用しない。</t>
    <rPh sb="6" eb="8">
      <t>イッサイ</t>
    </rPh>
    <rPh sb="8" eb="10">
      <t>シヨウ</t>
    </rPh>
    <phoneticPr fontId="1"/>
  </si>
  <si>
    <t>＜実績報告時の提出書類＞</t>
    <rPh sb="1" eb="3">
      <t>ジッセキ</t>
    </rPh>
    <rPh sb="3" eb="5">
      <t>ホウコク</t>
    </rPh>
    <rPh sb="5" eb="6">
      <t>ジ</t>
    </rPh>
    <rPh sb="7" eb="9">
      <t>テイシュツ</t>
    </rPh>
    <rPh sb="9" eb="11">
      <t>ショルイ</t>
    </rPh>
    <phoneticPr fontId="1"/>
  </si>
  <si>
    <t>工事費</t>
    <rPh sb="0" eb="3">
      <t>コウジヒ</t>
    </rPh>
    <phoneticPr fontId="1"/>
  </si>
  <si>
    <t>階数</t>
    <rPh sb="0" eb="2">
      <t>カイスウ</t>
    </rPh>
    <phoneticPr fontId="1"/>
  </si>
  <si>
    <t>階</t>
    <rPh sb="0" eb="1">
      <t>カイ</t>
    </rPh>
    <phoneticPr fontId="1"/>
  </si>
  <si>
    <t>＜実績報告時の提出書類＞県産CLT材であることを証明する書類（納品書等）</t>
    <rPh sb="1" eb="3">
      <t>ジッセキ</t>
    </rPh>
    <rPh sb="3" eb="5">
      <t>ホウコク</t>
    </rPh>
    <rPh sb="5" eb="6">
      <t>ジ</t>
    </rPh>
    <rPh sb="7" eb="9">
      <t>テイシュツ</t>
    </rPh>
    <rPh sb="9" eb="11">
      <t>ショルイ</t>
    </rPh>
    <rPh sb="12" eb="14">
      <t>ケンサン</t>
    </rPh>
    <rPh sb="17" eb="18">
      <t>ザイ</t>
    </rPh>
    <rPh sb="24" eb="26">
      <t>ショウメイ</t>
    </rPh>
    <rPh sb="28" eb="30">
      <t>ショルイ</t>
    </rPh>
    <rPh sb="31" eb="34">
      <t>ノウヒンショ</t>
    </rPh>
    <rPh sb="34" eb="35">
      <t>ナド</t>
    </rPh>
    <phoneticPr fontId="1"/>
  </si>
  <si>
    <t>鳥取市</t>
    <rPh sb="0" eb="3">
      <t>トットリシ</t>
    </rPh>
    <phoneticPr fontId="1"/>
  </si>
  <si>
    <t>米子市</t>
    <rPh sb="0" eb="3">
      <t>ヨナゴシ</t>
    </rPh>
    <phoneticPr fontId="1"/>
  </si>
  <si>
    <t>倉吉市</t>
    <rPh sb="0" eb="3">
      <t>クラヨシシ</t>
    </rPh>
    <phoneticPr fontId="1"/>
  </si>
  <si>
    <t>境港市</t>
    <rPh sb="0" eb="3">
      <t>サカイミナトシ</t>
    </rPh>
    <phoneticPr fontId="1"/>
  </si>
  <si>
    <t>岩美町</t>
    <rPh sb="0" eb="3">
      <t>イワミチョウ</t>
    </rPh>
    <phoneticPr fontId="1"/>
  </si>
  <si>
    <t>若桜町</t>
    <rPh sb="0" eb="3">
      <t>ワカサチョウ</t>
    </rPh>
    <phoneticPr fontId="1"/>
  </si>
  <si>
    <t>智頭町</t>
    <rPh sb="0" eb="3">
      <t>チズチョウ</t>
    </rPh>
    <phoneticPr fontId="1"/>
  </si>
  <si>
    <t>三朝町</t>
    <rPh sb="0" eb="3">
      <t>ミササチョウ</t>
    </rPh>
    <phoneticPr fontId="1"/>
  </si>
  <si>
    <t>湯梨浜町</t>
    <rPh sb="0" eb="3">
      <t>ユリハマ</t>
    </rPh>
    <rPh sb="3" eb="4">
      <t>チョウ</t>
    </rPh>
    <phoneticPr fontId="1"/>
  </si>
  <si>
    <t>琴浦町</t>
    <rPh sb="0" eb="3">
      <t>コトウラチョウ</t>
    </rPh>
    <phoneticPr fontId="1"/>
  </si>
  <si>
    <t>北栄町</t>
    <rPh sb="0" eb="3">
      <t>ホクエイチョウ</t>
    </rPh>
    <phoneticPr fontId="1"/>
  </si>
  <si>
    <t>大山町</t>
    <rPh sb="0" eb="3">
      <t>ダイセンチョウ</t>
    </rPh>
    <phoneticPr fontId="1"/>
  </si>
  <si>
    <t>伯耆町</t>
    <rPh sb="0" eb="3">
      <t>ホウキチョウ</t>
    </rPh>
    <phoneticPr fontId="1"/>
  </si>
  <si>
    <t>南部町</t>
    <rPh sb="0" eb="3">
      <t>ナンブチョウ</t>
    </rPh>
    <phoneticPr fontId="1"/>
  </si>
  <si>
    <t>日吉津村</t>
    <rPh sb="0" eb="4">
      <t>ヒエヅソン</t>
    </rPh>
    <phoneticPr fontId="1"/>
  </si>
  <si>
    <t>江府町</t>
    <rPh sb="0" eb="3">
      <t>コウフチョウ</t>
    </rPh>
    <phoneticPr fontId="1"/>
  </si>
  <si>
    <t>日野町</t>
    <rPh sb="0" eb="3">
      <t>ヒノチョウ</t>
    </rPh>
    <phoneticPr fontId="1"/>
  </si>
  <si>
    <t>日南町</t>
    <rPh sb="0" eb="3">
      <t>ニチナンチョウ</t>
    </rPh>
    <phoneticPr fontId="1"/>
  </si>
  <si>
    <t>鳥取県東部建築住宅事務所長</t>
    <rPh sb="0" eb="3">
      <t>トットリケン</t>
    </rPh>
    <rPh sb="3" eb="5">
      <t>トウブ</t>
    </rPh>
    <rPh sb="5" eb="7">
      <t>ケンチク</t>
    </rPh>
    <rPh sb="7" eb="9">
      <t>ジュウタク</t>
    </rPh>
    <rPh sb="9" eb="12">
      <t>ジムショ</t>
    </rPh>
    <rPh sb="12" eb="13">
      <t>チョウ</t>
    </rPh>
    <phoneticPr fontId="1"/>
  </si>
  <si>
    <t>鳥取県西部総合事務所長</t>
    <rPh sb="0" eb="3">
      <t>トットリケン</t>
    </rPh>
    <rPh sb="5" eb="7">
      <t>ソウゴウ</t>
    </rPh>
    <rPh sb="7" eb="10">
      <t>ジムショ</t>
    </rPh>
    <rPh sb="10" eb="11">
      <t>チョウ</t>
    </rPh>
    <phoneticPr fontId="1"/>
  </si>
  <si>
    <t>鳥取県中部総合事務所長</t>
    <rPh sb="0" eb="3">
      <t>トットリケン</t>
    </rPh>
    <rPh sb="3" eb="5">
      <t>チュウブ</t>
    </rPh>
    <rPh sb="5" eb="7">
      <t>ソウゴウ</t>
    </rPh>
    <rPh sb="7" eb="10">
      <t>ジムショ</t>
    </rPh>
    <rPh sb="10" eb="11">
      <t>チョウ</t>
    </rPh>
    <phoneticPr fontId="1"/>
  </si>
  <si>
    <t>八頭町</t>
    <rPh sb="0" eb="3">
      <t>ヤズチョウ</t>
    </rPh>
    <phoneticPr fontId="1"/>
  </si>
  <si>
    <t>その他、この住宅の建設にあたり関連法令に適合していること。</t>
    <rPh sb="2" eb="3">
      <t>タ</t>
    </rPh>
    <rPh sb="6" eb="8">
      <t>ジュウタク</t>
    </rPh>
    <rPh sb="9" eb="11">
      <t>ケンセツ</t>
    </rPh>
    <rPh sb="15" eb="17">
      <t>カンレン</t>
    </rPh>
    <rPh sb="17" eb="19">
      <t>ホウレイ</t>
    </rPh>
    <rPh sb="20" eb="22">
      <t>テキゴウ</t>
    </rPh>
    <phoneticPr fontId="1"/>
  </si>
  <si>
    <t>建築基準法に適合していること。</t>
    <rPh sb="0" eb="2">
      <t>ケンチク</t>
    </rPh>
    <rPh sb="2" eb="5">
      <t>キジュンホウ</t>
    </rPh>
    <rPh sb="6" eb="8">
      <t>テキゴウ</t>
    </rPh>
    <phoneticPr fontId="1"/>
  </si>
  <si>
    <t>県内に本拠を置く事業者の施工であること。</t>
    <rPh sb="0" eb="2">
      <t>ケンナイ</t>
    </rPh>
    <rPh sb="3" eb="5">
      <t>ホンキョ</t>
    </rPh>
    <rPh sb="6" eb="7">
      <t>オ</t>
    </rPh>
    <rPh sb="8" eb="11">
      <t>ジギョウシャ</t>
    </rPh>
    <rPh sb="12" eb="14">
      <t>セコウ</t>
    </rPh>
    <phoneticPr fontId="1"/>
  </si>
  <si>
    <t>独立した生活が可能な木造一戸建て住宅であること。</t>
    <rPh sb="0" eb="2">
      <t>ドクリツ</t>
    </rPh>
    <rPh sb="4" eb="6">
      <t>セイカツ</t>
    </rPh>
    <rPh sb="7" eb="9">
      <t>カノウ</t>
    </rPh>
    <rPh sb="10" eb="12">
      <t>モクゾウ</t>
    </rPh>
    <rPh sb="12" eb="13">
      <t>イチ</t>
    </rPh>
    <rPh sb="13" eb="15">
      <t>コダ</t>
    </rPh>
    <rPh sb="16" eb="18">
      <t>ジュウタク</t>
    </rPh>
    <phoneticPr fontId="1"/>
  </si>
  <si>
    <t>＜実績報告時の提出書類＞見付面積の算出過程及び結果並びに使用場所がわかる立面図、展開図等の書類</t>
    <rPh sb="1" eb="3">
      <t>ジッセキ</t>
    </rPh>
    <rPh sb="3" eb="5">
      <t>ホウコク</t>
    </rPh>
    <rPh sb="5" eb="6">
      <t>ジ</t>
    </rPh>
    <rPh sb="7" eb="9">
      <t>テイシュツ</t>
    </rPh>
    <rPh sb="9" eb="11">
      <t>ショルイ</t>
    </rPh>
    <rPh sb="12" eb="14">
      <t>ミツケ</t>
    </rPh>
    <rPh sb="14" eb="16">
      <t>メンセキ</t>
    </rPh>
    <rPh sb="17" eb="19">
      <t>サンシュツ</t>
    </rPh>
    <rPh sb="19" eb="21">
      <t>カテイ</t>
    </rPh>
    <rPh sb="21" eb="22">
      <t>オヨ</t>
    </rPh>
    <rPh sb="23" eb="25">
      <t>ケッカ</t>
    </rPh>
    <rPh sb="25" eb="26">
      <t>ナラ</t>
    </rPh>
    <rPh sb="28" eb="30">
      <t>シヨウ</t>
    </rPh>
    <rPh sb="30" eb="32">
      <t>バショ</t>
    </rPh>
    <rPh sb="36" eb="39">
      <t>リツメンズ</t>
    </rPh>
    <rPh sb="40" eb="44">
      <t>テンカイズナド</t>
    </rPh>
    <rPh sb="45" eb="47">
      <t>ショルイ</t>
    </rPh>
    <phoneticPr fontId="1"/>
  </si>
  <si>
    <r>
      <t>　※近居とは</t>
    </r>
    <r>
      <rPr>
        <sz val="10"/>
        <color rgb="FFFF0000"/>
        <rFont val="ＭＳ Ｐ明朝"/>
        <family val="1"/>
        <charset val="128"/>
      </rPr>
      <t>同一小学校区内</t>
    </r>
    <r>
      <rPr>
        <sz val="10"/>
        <color theme="1"/>
        <rFont val="ＭＳ Ｐ明朝"/>
        <family val="1"/>
        <charset val="128"/>
      </rPr>
      <t>に居住することをいいます。</t>
    </r>
    <rPh sb="2" eb="4">
      <t>キンキョ</t>
    </rPh>
    <rPh sb="6" eb="8">
      <t>ドウイツ</t>
    </rPh>
    <rPh sb="8" eb="11">
      <t>ショウガッコウ</t>
    </rPh>
    <rPh sb="11" eb="12">
      <t>ク</t>
    </rPh>
    <rPh sb="12" eb="13">
      <t>ナイ</t>
    </rPh>
    <rPh sb="14" eb="16">
      <t>キョジュウ</t>
    </rPh>
    <phoneticPr fontId="1"/>
  </si>
  <si>
    <t>他に利用する補助金一覧表</t>
    <rPh sb="0" eb="1">
      <t>ホカ</t>
    </rPh>
    <rPh sb="2" eb="4">
      <t>リヨウ</t>
    </rPh>
    <rPh sb="6" eb="9">
      <t>ホジョキン</t>
    </rPh>
    <rPh sb="9" eb="11">
      <t>イチラン</t>
    </rPh>
    <rPh sb="11" eb="12">
      <t>ヒョウ</t>
    </rPh>
    <phoneticPr fontId="1"/>
  </si>
  <si>
    <t>②県産材の使用材積</t>
    <rPh sb="7" eb="9">
      <t>ザイセキ</t>
    </rPh>
    <phoneticPr fontId="1"/>
  </si>
  <si>
    <t>延べ面積</t>
    <rPh sb="0" eb="1">
      <t>ノ</t>
    </rPh>
    <rPh sb="2" eb="4">
      <t>メンセキ</t>
    </rPh>
    <phoneticPr fontId="1"/>
  </si>
  <si>
    <t>着手（予定）年月日</t>
    <rPh sb="0" eb="2">
      <t>チャクシュ</t>
    </rPh>
    <rPh sb="3" eb="5">
      <t>ヨテイ</t>
    </rPh>
    <rPh sb="6" eb="7">
      <t>ネン</t>
    </rPh>
    <rPh sb="7" eb="8">
      <t>ツキ</t>
    </rPh>
    <rPh sb="8" eb="9">
      <t>ヒ</t>
    </rPh>
    <phoneticPr fontId="1"/>
  </si>
  <si>
    <t>完了（予定）年月日</t>
    <rPh sb="0" eb="2">
      <t>カンリョウ</t>
    </rPh>
    <rPh sb="3" eb="5">
      <t>ヨテイ</t>
    </rPh>
    <rPh sb="6" eb="7">
      <t>ネン</t>
    </rPh>
    <rPh sb="7" eb="8">
      <t>ツキ</t>
    </rPh>
    <rPh sb="8" eb="9">
      <t>ヒ</t>
    </rPh>
    <phoneticPr fontId="1"/>
  </si>
  <si>
    <t>様式第６号（第９条、第12条関係）</t>
    <rPh sb="0" eb="2">
      <t>ヨウシキ</t>
    </rPh>
    <rPh sb="2" eb="3">
      <t>ダイ</t>
    </rPh>
    <rPh sb="4" eb="5">
      <t>ゴウ</t>
    </rPh>
    <rPh sb="6" eb="7">
      <t>ダイ</t>
    </rPh>
    <rPh sb="8" eb="9">
      <t>ジョウ</t>
    </rPh>
    <rPh sb="10" eb="11">
      <t>ダイ</t>
    </rPh>
    <rPh sb="13" eb="14">
      <t>ジョウ</t>
    </rPh>
    <rPh sb="14" eb="16">
      <t>カンケイ</t>
    </rPh>
    <phoneticPr fontId="1"/>
  </si>
  <si>
    <t>m2</t>
  </si>
  <si>
    <t>県産材を１０m3以上使用すること。</t>
    <rPh sb="0" eb="2">
      <t>ケンサン</t>
    </rPh>
    <rPh sb="2" eb="3">
      <t>ザイ</t>
    </rPh>
    <rPh sb="8" eb="10">
      <t>イジョウ</t>
    </rPh>
    <rPh sb="10" eb="12">
      <t>シヨウ</t>
    </rPh>
    <phoneticPr fontId="1"/>
  </si>
  <si>
    <t>・県産材を10m3以上使用する場合、定額15万円が交付されます。</t>
    <rPh sb="1" eb="3">
      <t>ケンサン</t>
    </rPh>
    <rPh sb="3" eb="4">
      <t>ザイ</t>
    </rPh>
    <rPh sb="9" eb="11">
      <t>イジョウ</t>
    </rPh>
    <rPh sb="11" eb="13">
      <t>シヨウ</t>
    </rPh>
    <rPh sb="15" eb="17">
      <t>バアイ</t>
    </rPh>
    <rPh sb="18" eb="20">
      <t>テイガク</t>
    </rPh>
    <rPh sb="22" eb="24">
      <t>マンエン</t>
    </rPh>
    <rPh sb="25" eb="27">
      <t>コウフ</t>
    </rPh>
    <phoneticPr fontId="1"/>
  </si>
  <si>
    <t>・県産CLT材を1m3以上使用する場合、定額5万円の補助金が交付されます。</t>
    <rPh sb="1" eb="3">
      <t>ケンサン</t>
    </rPh>
    <rPh sb="6" eb="7">
      <t>ザイ</t>
    </rPh>
    <rPh sb="11" eb="13">
      <t>イジョウ</t>
    </rPh>
    <rPh sb="13" eb="15">
      <t>シヨウ</t>
    </rPh>
    <rPh sb="17" eb="19">
      <t>バアイ</t>
    </rPh>
    <rPh sb="20" eb="22">
      <t>テイガク</t>
    </rPh>
    <rPh sb="23" eb="25">
      <t>マンエン</t>
    </rPh>
    <rPh sb="26" eb="28">
      <t>ホジョ</t>
    </rPh>
    <rPh sb="28" eb="29">
      <t>キン</t>
    </rPh>
    <rPh sb="30" eb="32">
      <t>コウフ</t>
    </rPh>
    <phoneticPr fontId="1"/>
  </si>
  <si>
    <t>建築主（建売住宅の場合は購入者）自らの居住の本拠として鳥取県内に新たに建設する住宅であること。</t>
    <rPh sb="0" eb="2">
      <t>ケンチク</t>
    </rPh>
    <rPh sb="2" eb="3">
      <t>シュ</t>
    </rPh>
    <rPh sb="4" eb="6">
      <t>タテウリ</t>
    </rPh>
    <rPh sb="6" eb="8">
      <t>ジュウタク</t>
    </rPh>
    <rPh sb="9" eb="11">
      <t>バアイ</t>
    </rPh>
    <rPh sb="12" eb="15">
      <t>コウニュウシャ</t>
    </rPh>
    <rPh sb="16" eb="17">
      <t>ミズカ</t>
    </rPh>
    <rPh sb="19" eb="21">
      <t>キョジュウ</t>
    </rPh>
    <rPh sb="22" eb="24">
      <t>ホンキョ</t>
    </rPh>
    <rPh sb="27" eb="30">
      <t>トットリケン</t>
    </rPh>
    <rPh sb="30" eb="31">
      <t>ナイ</t>
    </rPh>
    <rPh sb="32" eb="33">
      <t>アラ</t>
    </rPh>
    <rPh sb="35" eb="37">
      <t>ケンセツ</t>
    </rPh>
    <rPh sb="39" eb="41">
      <t>ジュウタク</t>
    </rPh>
    <phoneticPr fontId="1"/>
  </si>
  <si>
    <t>様式第６号及び様式第６号の２　別紙</t>
    <rPh sb="0" eb="2">
      <t>ヨウシキ</t>
    </rPh>
    <rPh sb="2" eb="3">
      <t>ダイ</t>
    </rPh>
    <rPh sb="4" eb="5">
      <t>ゴウ</t>
    </rPh>
    <rPh sb="5" eb="6">
      <t>オヨ</t>
    </rPh>
    <rPh sb="7" eb="9">
      <t>ヨウシキ</t>
    </rPh>
    <rPh sb="9" eb="10">
      <t>ダイ</t>
    </rPh>
    <rPh sb="11" eb="12">
      <t>ゴウ</t>
    </rPh>
    <rPh sb="15" eb="17">
      <t>ベッシ</t>
    </rPh>
    <phoneticPr fontId="1"/>
  </si>
  <si>
    <t>申請者世帯</t>
    <rPh sb="0" eb="3">
      <t>シンセイシャ</t>
    </rPh>
    <rPh sb="3" eb="5">
      <t>セタイ</t>
    </rPh>
    <phoneticPr fontId="1"/>
  </si>
  <si>
    <t>建設地の小学校区</t>
    <rPh sb="0" eb="3">
      <t>ケンセツチ</t>
    </rPh>
    <rPh sb="4" eb="7">
      <t>ショウガッコウ</t>
    </rPh>
    <rPh sb="7" eb="8">
      <t>ク</t>
    </rPh>
    <phoneticPr fontId="1"/>
  </si>
  <si>
    <t>住所</t>
    <rPh sb="0" eb="2">
      <t>ジュウショ</t>
    </rPh>
    <phoneticPr fontId="1"/>
  </si>
  <si>
    <t>小学校区</t>
    <rPh sb="0" eb="3">
      <t>ショウガッコウ</t>
    </rPh>
    <rPh sb="3" eb="4">
      <t>ク</t>
    </rPh>
    <phoneticPr fontId="1"/>
  </si>
  <si>
    <t>申請時住所の小学校区</t>
    <rPh sb="0" eb="3">
      <t>シンセイジ</t>
    </rPh>
    <rPh sb="3" eb="5">
      <t>ジュウショ</t>
    </rPh>
    <rPh sb="6" eb="9">
      <t>ショウガッコウ</t>
    </rPh>
    <rPh sb="9" eb="10">
      <t>ク</t>
    </rPh>
    <phoneticPr fontId="1"/>
  </si>
  <si>
    <t>１～２ポイント</t>
    <phoneticPr fontId="1"/>
  </si>
  <si>
    <t>珪藻土及びじゅらくのこて塗り面積</t>
    <rPh sb="0" eb="3">
      <t>ケイソウド</t>
    </rPh>
    <rPh sb="3" eb="4">
      <t>オヨ</t>
    </rPh>
    <rPh sb="12" eb="13">
      <t>ヌ</t>
    </rPh>
    <rPh sb="14" eb="16">
      <t>メンセキ</t>
    </rPh>
    <phoneticPr fontId="1"/>
  </si>
  <si>
    <t>m2</t>
    <phoneticPr fontId="1"/>
  </si>
  <si>
    <t>ポイント数</t>
    <rPh sb="4" eb="5">
      <t>スウ</t>
    </rPh>
    <phoneticPr fontId="1"/>
  </si>
  <si>
    <t>合計ポイント数</t>
    <rPh sb="0" eb="2">
      <t>ゴウケイ</t>
    </rPh>
    <rPh sb="6" eb="7">
      <t>スウ</t>
    </rPh>
    <phoneticPr fontId="1"/>
  </si>
  <si>
    <t>建築士事務所名</t>
    <rPh sb="0" eb="3">
      <t>ケンチクシ</t>
    </rPh>
    <rPh sb="3" eb="6">
      <t>ジムショ</t>
    </rPh>
    <rPh sb="6" eb="7">
      <t>メイ</t>
    </rPh>
    <phoneticPr fontId="1"/>
  </si>
  <si>
    <t>建築士事務所の登録</t>
    <rPh sb="0" eb="3">
      <t>ケンチクシ</t>
    </rPh>
    <rPh sb="3" eb="6">
      <t>ジムショ</t>
    </rPh>
    <rPh sb="7" eb="9">
      <t>トウロク</t>
    </rPh>
    <phoneticPr fontId="1"/>
  </si>
  <si>
    <t>登録番号</t>
    <rPh sb="0" eb="2">
      <t>トウロク</t>
    </rPh>
    <rPh sb="2" eb="4">
      <t>バンゴウ</t>
    </rPh>
    <phoneticPr fontId="1"/>
  </si>
  <si>
    <t>都道府県名</t>
    <rPh sb="0" eb="4">
      <t>トドウフケン</t>
    </rPh>
    <rPh sb="4" eb="5">
      <t>メイ</t>
    </rPh>
    <phoneticPr fontId="1"/>
  </si>
  <si>
    <t>知事</t>
    <rPh sb="0" eb="2">
      <t>チジ</t>
    </rPh>
    <phoneticPr fontId="1"/>
  </si>
  <si>
    <t>事実婚の場合は、住民票上の続柄に記載があり、かつ、生計を同一にした日から10年以内のときに限る。</t>
    <rPh sb="0" eb="3">
      <t>ジジツコン</t>
    </rPh>
    <rPh sb="4" eb="6">
      <t>バアイ</t>
    </rPh>
    <rPh sb="8" eb="11">
      <t>ジュウミンヒョウ</t>
    </rPh>
    <rPh sb="11" eb="12">
      <t>ジョウ</t>
    </rPh>
    <rPh sb="13" eb="15">
      <t>ツヅキガラ</t>
    </rPh>
    <rPh sb="16" eb="18">
      <t>キサイ</t>
    </rPh>
    <rPh sb="45" eb="46">
      <t>カギ</t>
    </rPh>
    <phoneticPr fontId="1"/>
  </si>
  <si>
    <r>
      <rPr>
        <sz val="11"/>
        <color rgb="FFFF0000"/>
        <rFont val="ＭＳ Ｐ明朝"/>
        <family val="1"/>
        <charset val="128"/>
      </rPr>
      <t>整数値（小数点以下切捨て）</t>
    </r>
    <r>
      <rPr>
        <sz val="11"/>
        <color theme="1"/>
        <rFont val="ＭＳ Ｐ明朝"/>
        <family val="1"/>
        <charset val="128"/>
      </rPr>
      <t>で入力</t>
    </r>
    <rPh sb="0" eb="3">
      <t>セイスウチ</t>
    </rPh>
    <rPh sb="4" eb="7">
      <t>ショウスウテン</t>
    </rPh>
    <rPh sb="7" eb="9">
      <t>イカ</t>
    </rPh>
    <rPh sb="9" eb="10">
      <t>キ</t>
    </rPh>
    <rPh sb="10" eb="11">
      <t>ス</t>
    </rPh>
    <rPh sb="14" eb="16">
      <t>ニュウリョク</t>
    </rPh>
    <phoneticPr fontId="1"/>
  </si>
  <si>
    <t>青色の欄の必要部分に入力してください。</t>
    <rPh sb="0" eb="2">
      <t>アオイロ</t>
    </rPh>
    <rPh sb="3" eb="4">
      <t>ラン</t>
    </rPh>
    <rPh sb="5" eb="7">
      <t>ヒツヨウ</t>
    </rPh>
    <rPh sb="7" eb="9">
      <t>ブブン</t>
    </rPh>
    <rPh sb="10" eb="12">
      <t>ニュウリョク</t>
    </rPh>
    <phoneticPr fontId="1"/>
  </si>
  <si>
    <t>黄色の欄は自動計算です。</t>
    <rPh sb="0" eb="2">
      <t>キイロ</t>
    </rPh>
    <rPh sb="3" eb="4">
      <t>ラン</t>
    </rPh>
    <rPh sb="5" eb="7">
      <t>ジドウ</t>
    </rPh>
    <rPh sb="7" eb="9">
      <t>ケイサン</t>
    </rPh>
    <phoneticPr fontId="1"/>
  </si>
  <si>
    <t>小屋組又は床組みの構造材現し見上げ面積</t>
    <rPh sb="11" eb="12">
      <t>ザイ</t>
    </rPh>
    <phoneticPr fontId="1"/>
  </si>
  <si>
    <t>⑦構造材現し</t>
    <rPh sb="1" eb="3">
      <t>コウゾウ</t>
    </rPh>
    <rPh sb="3" eb="4">
      <t>ザイ</t>
    </rPh>
    <rPh sb="4" eb="5">
      <t>アラワ</t>
    </rPh>
    <phoneticPr fontId="1"/>
  </si>
  <si>
    <t>＜実績報告時の提出書類＞県内プレカット加工証明書（様式第９号）又はその写し</t>
    <rPh sb="1" eb="3">
      <t>ジッセキ</t>
    </rPh>
    <rPh sb="3" eb="5">
      <t>ホウコク</t>
    </rPh>
    <rPh sb="5" eb="6">
      <t>ジ</t>
    </rPh>
    <rPh sb="7" eb="9">
      <t>テイシュツ</t>
    </rPh>
    <rPh sb="9" eb="11">
      <t>ショルイ</t>
    </rPh>
    <rPh sb="12" eb="14">
      <t>ケンナイ</t>
    </rPh>
    <rPh sb="19" eb="21">
      <t>カコウ</t>
    </rPh>
    <rPh sb="21" eb="24">
      <t>ショウメイショ</t>
    </rPh>
    <rPh sb="25" eb="27">
      <t>ヨウシキ</t>
    </rPh>
    <rPh sb="27" eb="28">
      <t>ダイ</t>
    </rPh>
    <rPh sb="29" eb="30">
      <t>ゴウ</t>
    </rPh>
    <rPh sb="31" eb="32">
      <t>マタ</t>
    </rPh>
    <rPh sb="35" eb="36">
      <t>ウツ</t>
    </rPh>
    <phoneticPr fontId="1"/>
  </si>
  <si>
    <t>木材を、機械プレカット加工を使用せずに手作業（電動工具を使用する場合を含む。）で加工すること。（プレカット工場において機械加工された木材を一部でも使用する場合は対象外）</t>
    <rPh sb="0" eb="2">
      <t>モクザイ</t>
    </rPh>
    <rPh sb="4" eb="6">
      <t>キカイ</t>
    </rPh>
    <rPh sb="11" eb="13">
      <t>カコウ</t>
    </rPh>
    <rPh sb="14" eb="16">
      <t>シヨウ</t>
    </rPh>
    <rPh sb="19" eb="22">
      <t>テサギョウ</t>
    </rPh>
    <rPh sb="23" eb="25">
      <t>デンドウ</t>
    </rPh>
    <rPh sb="25" eb="27">
      <t>コウグ</t>
    </rPh>
    <rPh sb="28" eb="30">
      <t>シヨウ</t>
    </rPh>
    <rPh sb="32" eb="34">
      <t>バアイ</t>
    </rPh>
    <rPh sb="35" eb="36">
      <t>フク</t>
    </rPh>
    <rPh sb="40" eb="42">
      <t>カコウ</t>
    </rPh>
    <phoneticPr fontId="1"/>
  </si>
  <si>
    <t>県内に本拠地を置く畳業者が製作した畳（置き畳を除く。）を６畳以上使用すること。</t>
    <phoneticPr fontId="1"/>
  </si>
  <si>
    <t>県産材を使用し、外壁を下見板張りで40m2以上施工</t>
    <rPh sb="11" eb="14">
      <t>シタミイタ</t>
    </rPh>
    <rPh sb="14" eb="15">
      <t>バ</t>
    </rPh>
    <phoneticPr fontId="1"/>
  </si>
  <si>
    <t>県内に本拠地を置く建具業者が製作した木製建具を見付面積５m2以上使用したもの（１ポイント、10m2以上の場合にあっては２ポイント）</t>
    <rPh sb="49" eb="51">
      <t>イジョウ</t>
    </rPh>
    <rPh sb="52" eb="54">
      <t>バアイ</t>
    </rPh>
    <phoneticPr fontId="1"/>
  </si>
  <si>
    <r>
      <rPr>
        <sz val="10"/>
        <color rgb="FFFF0000"/>
        <rFont val="ＭＳ Ｐ明朝"/>
        <family val="1"/>
        <charset val="128"/>
      </rPr>
      <t>珪藻土及びじゅらくを除く</t>
    </r>
    <r>
      <rPr>
        <sz val="10"/>
        <color theme="1"/>
        <rFont val="ＭＳ Ｐ明朝"/>
        <family val="1"/>
        <charset val="128"/>
      </rPr>
      <t>上記左官のこて塗り面積</t>
    </r>
    <rPh sb="0" eb="3">
      <t>ケイソウド</t>
    </rPh>
    <rPh sb="3" eb="4">
      <t>オヨ</t>
    </rPh>
    <rPh sb="10" eb="11">
      <t>ノゾ</t>
    </rPh>
    <rPh sb="12" eb="14">
      <t>ジョウキ</t>
    </rPh>
    <rPh sb="14" eb="16">
      <t>サカン</t>
    </rPh>
    <rPh sb="19" eb="20">
      <t>ヌ</t>
    </rPh>
    <rPh sb="21" eb="23">
      <t>メンセキ</t>
    </rPh>
    <phoneticPr fontId="1"/>
  </si>
  <si>
    <t>＜実績報告時の提出書類＞仕口、継手等を加工している写真（建築主名記載の工事看板入り）</t>
    <rPh sb="1" eb="3">
      <t>ジッセキ</t>
    </rPh>
    <rPh sb="3" eb="5">
      <t>ホウコク</t>
    </rPh>
    <rPh sb="5" eb="6">
      <t>ジ</t>
    </rPh>
    <rPh sb="7" eb="9">
      <t>テイシュツ</t>
    </rPh>
    <rPh sb="9" eb="11">
      <t>ショルイ</t>
    </rPh>
    <rPh sb="12" eb="14">
      <t>シクチ</t>
    </rPh>
    <rPh sb="15" eb="17">
      <t>ツギテ</t>
    </rPh>
    <rPh sb="17" eb="18">
      <t>トウ</t>
    </rPh>
    <rPh sb="19" eb="21">
      <t>カコウ</t>
    </rPh>
    <rPh sb="25" eb="27">
      <t>シャシン</t>
    </rPh>
    <rPh sb="28" eb="31">
      <t>ケンチクヌシ</t>
    </rPh>
    <rPh sb="31" eb="32">
      <t>メイ</t>
    </rPh>
    <rPh sb="32" eb="34">
      <t>キサイ</t>
    </rPh>
    <rPh sb="35" eb="37">
      <t>コウジ</t>
    </rPh>
    <rPh sb="37" eb="39">
      <t>カンバン</t>
    </rPh>
    <rPh sb="39" eb="40">
      <t>イ</t>
    </rPh>
    <phoneticPr fontId="1"/>
  </si>
  <si>
    <t>＜実績報告時の提出書類＞施工後の写真（建築主名記載の工事看板入り）</t>
    <rPh sb="1" eb="3">
      <t>ジッセキ</t>
    </rPh>
    <rPh sb="3" eb="5">
      <t>ホウコク</t>
    </rPh>
    <rPh sb="5" eb="6">
      <t>ジ</t>
    </rPh>
    <rPh sb="7" eb="9">
      <t>テイシュツ</t>
    </rPh>
    <rPh sb="9" eb="11">
      <t>ショルイ</t>
    </rPh>
    <rPh sb="12" eb="15">
      <t>セコウゴ</t>
    </rPh>
    <rPh sb="16" eb="18">
      <t>シャシン</t>
    </rPh>
    <phoneticPr fontId="1"/>
  </si>
  <si>
    <r>
      <rPr>
        <sz val="10"/>
        <rFont val="ＭＳ Ｐ明朝"/>
        <family val="1"/>
        <charset val="128"/>
      </rPr>
      <t>２ポイント</t>
    </r>
    <r>
      <rPr>
        <sz val="10"/>
        <color rgb="FFFF0000"/>
        <rFont val="ＭＳ Ｐ明朝"/>
        <family val="1"/>
        <charset val="128"/>
      </rPr>
      <t>（珪藻土塗、じゅらく塗でこて塗面積40m2以上となる場合は１ポイント）</t>
    </r>
    <rPh sb="6" eb="9">
      <t>ケイソウド</t>
    </rPh>
    <rPh sb="9" eb="10">
      <t>ヌ</t>
    </rPh>
    <rPh sb="15" eb="16">
      <t>ヌ</t>
    </rPh>
    <rPh sb="19" eb="20">
      <t>ヌ</t>
    </rPh>
    <rPh sb="20" eb="22">
      <t>メンセキ</t>
    </rPh>
    <rPh sb="26" eb="28">
      <t>イジョウ</t>
    </rPh>
    <rPh sb="31" eb="33">
      <t>バアイ</t>
    </rPh>
    <phoneticPr fontId="1"/>
  </si>
  <si>
    <t>＜実績報告時の提出書類＞こて塗りで施工中の写真（建築主名記載の工事看板入り）</t>
    <rPh sb="14" eb="15">
      <t>ヌ</t>
    </rPh>
    <rPh sb="17" eb="20">
      <t>セコウチュウ</t>
    </rPh>
    <rPh sb="21" eb="23">
      <t>シャシン</t>
    </rPh>
    <phoneticPr fontId="1"/>
  </si>
  <si>
    <t>＜実績報告時の提出書類＞瓦の留め付け状況がわかる写真（建築主名記載の工事看板入り）及び棟に使用された補強金物及び屋根地への緊結状況がわかる写真（建築主名記載の工事看板入り）</t>
    <rPh sb="12" eb="13">
      <t>カワラ</t>
    </rPh>
    <rPh sb="14" eb="15">
      <t>ト</t>
    </rPh>
    <rPh sb="16" eb="17">
      <t>ヅ</t>
    </rPh>
    <rPh sb="18" eb="20">
      <t>ジョウキョウ</t>
    </rPh>
    <rPh sb="24" eb="26">
      <t>シャシン</t>
    </rPh>
    <rPh sb="41" eb="42">
      <t>オヨ</t>
    </rPh>
    <rPh sb="43" eb="44">
      <t>トウ</t>
    </rPh>
    <rPh sb="45" eb="47">
      <t>シヨウ</t>
    </rPh>
    <rPh sb="50" eb="52">
      <t>ホキョウ</t>
    </rPh>
    <rPh sb="52" eb="54">
      <t>カナモノ</t>
    </rPh>
    <rPh sb="54" eb="55">
      <t>オヨ</t>
    </rPh>
    <rPh sb="56" eb="58">
      <t>ヤネ</t>
    </rPh>
    <rPh sb="58" eb="59">
      <t>チ</t>
    </rPh>
    <rPh sb="61" eb="63">
      <t>キンケツ</t>
    </rPh>
    <rPh sb="63" eb="65">
      <t>ジョウキョウ</t>
    </rPh>
    <rPh sb="69" eb="71">
      <t>シャシン</t>
    </rPh>
    <phoneticPr fontId="1"/>
  </si>
  <si>
    <t>＜実績報告時の提出書類＞建具の種類及び見付面積が確認できる資料、設置完了時写真（建具の種類ごとに建築主名、建具業者名及び建具の名称を記載した工事看板入り）及び当該木製建具に係る納品書の写し</t>
    <rPh sb="48" eb="51">
      <t>ケンチクヌシ</t>
    </rPh>
    <rPh sb="70" eb="72">
      <t>コウジ</t>
    </rPh>
    <rPh sb="72" eb="74">
      <t>カンバン</t>
    </rPh>
    <rPh sb="74" eb="75">
      <t>イ</t>
    </rPh>
    <phoneticPr fontId="1"/>
  </si>
  <si>
    <t>＜実績報告時の提出書類＞設置完了後の写真（建築主名、畳業者名を記載した工事看板入り、６畳以上であることわかるもの）及び当該畳に係る納品書の写し</t>
    <rPh sb="21" eb="24">
      <t>ケンチクヌシ</t>
    </rPh>
    <rPh sb="35" eb="37">
      <t>コウジ</t>
    </rPh>
    <rPh sb="37" eb="39">
      <t>カンバン</t>
    </rPh>
    <rPh sb="39" eb="40">
      <t>イ</t>
    </rPh>
    <phoneticPr fontId="1"/>
  </si>
  <si>
    <t>※工事監理者　建築士法（昭和25年法律第202号）第２条第８項に規定する工事監理をする者</t>
    <rPh sb="1" eb="3">
      <t>コウジ</t>
    </rPh>
    <rPh sb="3" eb="6">
      <t>カンリシャ</t>
    </rPh>
    <rPh sb="7" eb="11">
      <t>ケンチクシホウ</t>
    </rPh>
    <rPh sb="12" eb="14">
      <t>ショウワ</t>
    </rPh>
    <rPh sb="16" eb="17">
      <t>ネン</t>
    </rPh>
    <rPh sb="17" eb="19">
      <t>ホウリツ</t>
    </rPh>
    <rPh sb="19" eb="20">
      <t>ダイ</t>
    </rPh>
    <rPh sb="23" eb="24">
      <t>ゴウ</t>
    </rPh>
    <rPh sb="25" eb="26">
      <t>ダイ</t>
    </rPh>
    <rPh sb="27" eb="28">
      <t>ジョウ</t>
    </rPh>
    <rPh sb="28" eb="29">
      <t>ダイ</t>
    </rPh>
    <rPh sb="30" eb="31">
      <t>コウ</t>
    </rPh>
    <rPh sb="32" eb="34">
      <t>キテイ</t>
    </rPh>
    <rPh sb="36" eb="38">
      <t>コウジ</t>
    </rPh>
    <rPh sb="38" eb="40">
      <t>カンリ</t>
    </rPh>
    <rPh sb="43" eb="44">
      <t>モノ</t>
    </rPh>
    <phoneticPr fontId="1"/>
  </si>
  <si>
    <t>外壁の場合はモルタル塗、漆喰塗、その他のこて塗仕上げ</t>
    <phoneticPr fontId="1"/>
  </si>
  <si>
    <t>内壁の場合はモルタル塗、漆喰塗、土塗壁、じゅらく塗、</t>
    <phoneticPr fontId="1"/>
  </si>
  <si>
    <r>
      <t>珪藻土塗その他のこて塗仕上げで</t>
    </r>
    <r>
      <rPr>
        <sz val="11"/>
        <color rgb="FFFF0000"/>
        <rFont val="ＭＳ Ｐ明朝"/>
        <family val="1"/>
        <charset val="128"/>
      </rPr>
      <t>40m2以上施工</t>
    </r>
    <rPh sb="19" eb="21">
      <t>イジョウ</t>
    </rPh>
    <rPh sb="21" eb="23">
      <t>セコウ</t>
    </rPh>
    <phoneticPr fontId="1"/>
  </si>
  <si>
    <r>
      <rPr>
        <sz val="11"/>
        <color rgb="FF0066FF"/>
        <rFont val="ＭＳ Ｐ明朝"/>
        <family val="1"/>
        <charset val="128"/>
      </rPr>
      <t>青色の欄</t>
    </r>
    <r>
      <rPr>
        <sz val="11"/>
        <color theme="1"/>
        <rFont val="ＭＳ Ｐ明朝"/>
        <family val="1"/>
        <charset val="128"/>
      </rPr>
      <t>に、必要事項を記入してください。</t>
    </r>
    <r>
      <rPr>
        <sz val="11"/>
        <color rgb="FFFF0000"/>
        <rFont val="ＭＳ Ｐ明朝"/>
        <family val="1"/>
        <charset val="128"/>
      </rPr>
      <t>選択項目を消去するときはデリート又はバックスペースキー</t>
    </r>
    <r>
      <rPr>
        <sz val="11"/>
        <rFont val="ＭＳ Ｐ明朝"/>
        <family val="1"/>
        <charset val="128"/>
      </rPr>
      <t>で消去してください（黄色の欄は自動計算です。）。</t>
    </r>
    <rPh sb="0" eb="2">
      <t>アオイロ</t>
    </rPh>
    <rPh sb="3" eb="4">
      <t>ラン</t>
    </rPh>
    <rPh sb="6" eb="8">
      <t>ヒツヨウ</t>
    </rPh>
    <rPh sb="8" eb="10">
      <t>ジコウ</t>
    </rPh>
    <rPh sb="11" eb="13">
      <t>キニュウ</t>
    </rPh>
    <rPh sb="20" eb="22">
      <t>センタク</t>
    </rPh>
    <rPh sb="22" eb="24">
      <t>コウモク</t>
    </rPh>
    <rPh sb="25" eb="27">
      <t>ショウキョ</t>
    </rPh>
    <rPh sb="36" eb="37">
      <t>マタ</t>
    </rPh>
    <rPh sb="48" eb="50">
      <t>ショウキョ</t>
    </rPh>
    <rPh sb="57" eb="59">
      <t>キイロ</t>
    </rPh>
    <rPh sb="60" eb="61">
      <t>ラン</t>
    </rPh>
    <rPh sb="62" eb="64">
      <t>ジドウ</t>
    </rPh>
    <rPh sb="64" eb="66">
      <t>ケイサン</t>
    </rPh>
    <phoneticPr fontId="1"/>
  </si>
  <si>
    <r>
      <t>　※同居とは</t>
    </r>
    <r>
      <rPr>
        <sz val="10"/>
        <color rgb="FFFF0000"/>
        <rFont val="ＭＳ Ｐ明朝"/>
        <family val="1"/>
        <charset val="128"/>
      </rPr>
      <t>同一住宅内又は敷地が隣接する住宅</t>
    </r>
    <r>
      <rPr>
        <sz val="10"/>
        <color theme="1"/>
        <rFont val="ＭＳ Ｐ明朝"/>
        <family val="1"/>
        <charset val="128"/>
      </rPr>
      <t>に居住することをいいます。</t>
    </r>
    <rPh sb="11" eb="12">
      <t>マタ</t>
    </rPh>
    <rPh sb="13" eb="15">
      <t>シキチ</t>
    </rPh>
    <rPh sb="16" eb="18">
      <t>リンセツ</t>
    </rPh>
    <rPh sb="20" eb="22">
      <t>ジュウタク</t>
    </rPh>
    <phoneticPr fontId="1"/>
  </si>
  <si>
    <t>要綱を熟読し、補助対象要件を確認した。</t>
    <phoneticPr fontId="1"/>
  </si>
  <si>
    <t>在来軸組工法又は伝統構法の木造住宅であること</t>
    <rPh sb="0" eb="2">
      <t>ザイライ</t>
    </rPh>
    <rPh sb="2" eb="4">
      <t>ジクグミ</t>
    </rPh>
    <rPh sb="4" eb="6">
      <t>コウホウ</t>
    </rPh>
    <rPh sb="6" eb="7">
      <t>マタ</t>
    </rPh>
    <rPh sb="8" eb="10">
      <t>デントウ</t>
    </rPh>
    <rPh sb="10" eb="12">
      <t>コウホウ</t>
    </rPh>
    <rPh sb="13" eb="15">
      <t>モクゾウ</t>
    </rPh>
    <rPh sb="15" eb="17">
      <t>ジュウタク</t>
    </rPh>
    <phoneticPr fontId="1"/>
  </si>
  <si>
    <t>工事監理者氏名</t>
  </si>
  <si>
    <t>※延べ面積が100m2以下の場合で、工事監理者が不要なときは工事施工者氏名を選択、記載してください。</t>
    <rPh sb="1" eb="2">
      <t>ノベ</t>
    </rPh>
    <rPh sb="3" eb="5">
      <t>メンセキ</t>
    </rPh>
    <rPh sb="11" eb="13">
      <t>イカ</t>
    </rPh>
    <rPh sb="14" eb="16">
      <t>バアイ</t>
    </rPh>
    <rPh sb="18" eb="20">
      <t>コウジ</t>
    </rPh>
    <rPh sb="20" eb="23">
      <t>カンリシャ</t>
    </rPh>
    <rPh sb="24" eb="26">
      <t>フヨウ</t>
    </rPh>
    <rPh sb="30" eb="32">
      <t>コウジ</t>
    </rPh>
    <rPh sb="32" eb="35">
      <t>セコウシャ</t>
    </rPh>
    <rPh sb="35" eb="37">
      <t>シメイ</t>
    </rPh>
    <rPh sb="38" eb="40">
      <t>センタク</t>
    </rPh>
    <rPh sb="41" eb="43">
      <t>キサイ</t>
    </rPh>
    <phoneticPr fontId="1"/>
  </si>
  <si>
    <t>あなたの補助金額は</t>
    <rPh sb="4" eb="6">
      <t>ホジョ</t>
    </rPh>
    <rPh sb="6" eb="8">
      <t>キンガク</t>
    </rPh>
    <phoneticPr fontId="1"/>
  </si>
  <si>
    <t>３　子育て世帯等　（補助金額：10万円）</t>
    <rPh sb="2" eb="4">
      <t>コソダ</t>
    </rPh>
    <rPh sb="5" eb="7">
      <t>セタイ</t>
    </rPh>
    <rPh sb="7" eb="8">
      <t>トウ</t>
    </rPh>
    <rPh sb="10" eb="14">
      <t>ホジョキンガク</t>
    </rPh>
    <rPh sb="17" eb="19">
      <t>マンエン</t>
    </rPh>
    <phoneticPr fontId="1"/>
  </si>
  <si>
    <t>４　三世代同居等世帯　（補助金額：10万円）</t>
    <rPh sb="2" eb="3">
      <t>サン</t>
    </rPh>
    <rPh sb="3" eb="5">
      <t>セダイ</t>
    </rPh>
    <rPh sb="5" eb="7">
      <t>ドウキョ</t>
    </rPh>
    <rPh sb="7" eb="8">
      <t>トウ</t>
    </rPh>
    <rPh sb="8" eb="10">
      <t>セタイ</t>
    </rPh>
    <phoneticPr fontId="1"/>
  </si>
  <si>
    <t>とっとり住まいる支援事業補助金　実績報告書</t>
    <rPh sb="4" eb="5">
      <t>ス</t>
    </rPh>
    <rPh sb="8" eb="15">
      <t>シエンジギョウホジョキン</t>
    </rPh>
    <rPh sb="16" eb="18">
      <t>ジッセキ</t>
    </rPh>
    <rPh sb="18" eb="21">
      <t>ホウコクショ</t>
    </rPh>
    <phoneticPr fontId="1"/>
  </si>
  <si>
    <t>完成写真及び口座振替依頼書</t>
    <rPh sb="0" eb="2">
      <t>カンセイ</t>
    </rPh>
    <rPh sb="2" eb="4">
      <t>シャシン</t>
    </rPh>
    <rPh sb="4" eb="5">
      <t>オヨ</t>
    </rPh>
    <rPh sb="6" eb="8">
      <t>コウザ</t>
    </rPh>
    <rPh sb="8" eb="10">
      <t>フリカエ</t>
    </rPh>
    <rPh sb="10" eb="13">
      <t>イライショ</t>
    </rPh>
    <phoneticPr fontId="1"/>
  </si>
  <si>
    <t>（独）住宅金融支援機構の融資を受けている</t>
    <rPh sb="1" eb="2">
      <t>ドク</t>
    </rPh>
    <rPh sb="3" eb="5">
      <t>ジュウタク</t>
    </rPh>
    <rPh sb="5" eb="7">
      <t>キンユウ</t>
    </rPh>
    <rPh sb="7" eb="9">
      <t>シエン</t>
    </rPh>
    <rPh sb="9" eb="11">
      <t>キコウ</t>
    </rPh>
    <rPh sb="12" eb="14">
      <t>ユウシ</t>
    </rPh>
    <rPh sb="15" eb="16">
      <t>ウ</t>
    </rPh>
    <phoneticPr fontId="1"/>
  </si>
  <si>
    <t>回答選択</t>
    <rPh sb="0" eb="2">
      <t>カイトウ</t>
    </rPh>
    <rPh sb="2" eb="4">
      <t>センタク</t>
    </rPh>
    <phoneticPr fontId="1"/>
  </si>
  <si>
    <t>建売の登録住宅を購入しますか。</t>
    <rPh sb="0" eb="2">
      <t>タテウリ</t>
    </rPh>
    <rPh sb="3" eb="5">
      <t>トウロク</t>
    </rPh>
    <rPh sb="5" eb="7">
      <t>ジュウタク</t>
    </rPh>
    <rPh sb="8" eb="10">
      <t>コウニュウ</t>
    </rPh>
    <phoneticPr fontId="1"/>
  </si>
  <si>
    <t>→建売住宅を購入した場合は｢はい｣を選択してください。</t>
    <rPh sb="1" eb="3">
      <t>タテウリ</t>
    </rPh>
    <rPh sb="3" eb="5">
      <t>ジュウタク</t>
    </rPh>
    <rPh sb="6" eb="8">
      <t>コウニュウ</t>
    </rPh>
    <rPh sb="10" eb="12">
      <t>バアイ</t>
    </rPh>
    <rPh sb="18" eb="20">
      <t>センタク</t>
    </rPh>
    <phoneticPr fontId="1"/>
  </si>
  <si>
    <t>交付決定額と実績報告額の比較結果</t>
    <rPh sb="0" eb="2">
      <t>コウフ</t>
    </rPh>
    <rPh sb="2" eb="5">
      <t>ケッテイガク</t>
    </rPh>
    <rPh sb="6" eb="8">
      <t>ジッセキ</t>
    </rPh>
    <rPh sb="8" eb="10">
      <t>ホウコク</t>
    </rPh>
    <rPh sb="10" eb="11">
      <t>ガク</t>
    </rPh>
    <rPh sb="12" eb="14">
      <t>ヒカク</t>
    </rPh>
    <rPh sb="14" eb="16">
      <t>ケッカ</t>
    </rPh>
    <phoneticPr fontId="1"/>
  </si>
  <si>
    <t>交付対象経費</t>
    <rPh sb="0" eb="2">
      <t>コウフ</t>
    </rPh>
    <rPh sb="2" eb="4">
      <t>タイショウ</t>
    </rPh>
    <rPh sb="4" eb="6">
      <t>ケイヒ</t>
    </rPh>
    <phoneticPr fontId="1"/>
  </si>
  <si>
    <t>交付決定額</t>
    <rPh sb="0" eb="2">
      <t>コウフ</t>
    </rPh>
    <rPh sb="2" eb="5">
      <t>ケッテイガク</t>
    </rPh>
    <phoneticPr fontId="1"/>
  </si>
  <si>
    <t>実績報告額</t>
    <rPh sb="0" eb="2">
      <t>ジッセキ</t>
    </rPh>
    <rPh sb="2" eb="4">
      <t>ホウコク</t>
    </rPh>
    <rPh sb="4" eb="5">
      <t>ガク</t>
    </rPh>
    <phoneticPr fontId="1"/>
  </si>
  <si>
    <t>補助金</t>
    <rPh sb="0" eb="3">
      <t>ホジョキン</t>
    </rPh>
    <phoneticPr fontId="1"/>
  </si>
  <si>
    <t>県産材</t>
    <rPh sb="0" eb="3">
      <t>ケンサンザイ</t>
    </rPh>
    <phoneticPr fontId="1"/>
  </si>
  <si>
    <t>伝統技能活用</t>
    <rPh sb="0" eb="2">
      <t>デントウ</t>
    </rPh>
    <rPh sb="2" eb="4">
      <t>ギノウ</t>
    </rPh>
    <rPh sb="4" eb="6">
      <t>カツヨウ</t>
    </rPh>
    <phoneticPr fontId="1"/>
  </si>
  <si>
    <t>子育て世帯等</t>
    <rPh sb="0" eb="2">
      <t>コソダ</t>
    </rPh>
    <rPh sb="3" eb="5">
      <t>セタイ</t>
    </rPh>
    <rPh sb="5" eb="6">
      <t>ナド</t>
    </rPh>
    <phoneticPr fontId="1"/>
  </si>
  <si>
    <t>算定基準額</t>
    <rPh sb="0" eb="2">
      <t>サンテイ</t>
    </rPh>
    <rPh sb="2" eb="5">
      <t>キジュンガク</t>
    </rPh>
    <phoneticPr fontId="1"/>
  </si>
  <si>
    <t>県産ＣＬＴ材、県産内外装材</t>
    <rPh sb="0" eb="2">
      <t>ケンサン</t>
    </rPh>
    <rPh sb="5" eb="6">
      <t>ザイ</t>
    </rPh>
    <rPh sb="7" eb="9">
      <t>ケンサン</t>
    </rPh>
    <rPh sb="9" eb="10">
      <t>ナイ</t>
    </rPh>
    <rPh sb="10" eb="13">
      <t>ガイソウザイ</t>
    </rPh>
    <phoneticPr fontId="1"/>
  </si>
  <si>
    <t>三世代同居等世帯支援</t>
    <rPh sb="0" eb="1">
      <t>サン</t>
    </rPh>
    <rPh sb="1" eb="3">
      <t>セダイ</t>
    </rPh>
    <rPh sb="3" eb="5">
      <t>ドウキョ</t>
    </rPh>
    <rPh sb="5" eb="6">
      <t>ナド</t>
    </rPh>
    <rPh sb="6" eb="8">
      <t>セタイ</t>
    </rPh>
    <rPh sb="8" eb="10">
      <t>シエン</t>
    </rPh>
    <phoneticPr fontId="1"/>
  </si>
  <si>
    <t>　令和　　年　　月　　日付第　　　　　　　　号による交付決定に係る事業の実績について、鳥取県補助金等交付規則第17条第１項の規定により、下記のとおり報告します。</t>
    <rPh sb="1" eb="3">
      <t>レイワ</t>
    </rPh>
    <rPh sb="5" eb="6">
      <t>ネン</t>
    </rPh>
    <rPh sb="8" eb="9">
      <t>ガツ</t>
    </rPh>
    <rPh sb="11" eb="12">
      <t>ニチ</t>
    </rPh>
    <rPh sb="12" eb="13">
      <t>ヅ</t>
    </rPh>
    <rPh sb="13" eb="14">
      <t>ダイ</t>
    </rPh>
    <rPh sb="22" eb="23">
      <t>ゴウ</t>
    </rPh>
    <rPh sb="26" eb="28">
      <t>コウフ</t>
    </rPh>
    <rPh sb="28" eb="30">
      <t>ケッテイ</t>
    </rPh>
    <rPh sb="31" eb="32">
      <t>カカ</t>
    </rPh>
    <rPh sb="33" eb="35">
      <t>ジギョウ</t>
    </rPh>
    <rPh sb="36" eb="38">
      <t>ジッセキ</t>
    </rPh>
    <rPh sb="43" eb="46">
      <t>トットリケン</t>
    </rPh>
    <rPh sb="46" eb="49">
      <t>ホジョキン</t>
    </rPh>
    <rPh sb="49" eb="50">
      <t>ナド</t>
    </rPh>
    <rPh sb="50" eb="52">
      <t>コウフ</t>
    </rPh>
    <rPh sb="52" eb="54">
      <t>キソク</t>
    </rPh>
    <rPh sb="54" eb="55">
      <t>ダイ</t>
    </rPh>
    <rPh sb="57" eb="58">
      <t>ジョウ</t>
    </rPh>
    <rPh sb="58" eb="59">
      <t>ダイ</t>
    </rPh>
    <rPh sb="60" eb="61">
      <t>コウ</t>
    </rPh>
    <rPh sb="62" eb="64">
      <t>キテイ</t>
    </rPh>
    <rPh sb="68" eb="70">
      <t>カキ</t>
    </rPh>
    <rPh sb="74" eb="76">
      <t>ホウコク</t>
    </rPh>
    <phoneticPr fontId="1"/>
  </si>
  <si>
    <t>　令和　　年　　月　　日付第　　　　　　　　号による交付決定及び令和　年　月　日第　　　　　　号による変更承認に係る事業の実績について、鳥取県補助金等交付規則第17条第１項の規定により、下記のとおり報告します。</t>
    <rPh sb="1" eb="3">
      <t>レイワ</t>
    </rPh>
    <rPh sb="5" eb="6">
      <t>ネン</t>
    </rPh>
    <rPh sb="8" eb="9">
      <t>ガツ</t>
    </rPh>
    <rPh sb="11" eb="12">
      <t>ニチ</t>
    </rPh>
    <rPh sb="12" eb="13">
      <t>ヅ</t>
    </rPh>
    <rPh sb="13" eb="14">
      <t>ダイ</t>
    </rPh>
    <rPh sb="22" eb="23">
      <t>ゴウ</t>
    </rPh>
    <rPh sb="26" eb="28">
      <t>コウフ</t>
    </rPh>
    <rPh sb="28" eb="30">
      <t>ケッテイ</t>
    </rPh>
    <rPh sb="30" eb="31">
      <t>オヨ</t>
    </rPh>
    <rPh sb="32" eb="34">
      <t>レイワ</t>
    </rPh>
    <rPh sb="35" eb="36">
      <t>ネン</t>
    </rPh>
    <rPh sb="37" eb="38">
      <t>ガツ</t>
    </rPh>
    <rPh sb="39" eb="40">
      <t>ニチ</t>
    </rPh>
    <rPh sb="40" eb="41">
      <t>ダイ</t>
    </rPh>
    <rPh sb="47" eb="48">
      <t>ゴウ</t>
    </rPh>
    <rPh sb="51" eb="53">
      <t>ヘンコウ</t>
    </rPh>
    <rPh sb="53" eb="55">
      <t>ショウニン</t>
    </rPh>
    <rPh sb="56" eb="57">
      <t>カカ</t>
    </rPh>
    <rPh sb="58" eb="60">
      <t>ジギョウ</t>
    </rPh>
    <rPh sb="61" eb="63">
      <t>ジッセキ</t>
    </rPh>
    <rPh sb="68" eb="71">
      <t>トットリケン</t>
    </rPh>
    <rPh sb="71" eb="74">
      <t>ホジョキン</t>
    </rPh>
    <rPh sb="74" eb="75">
      <t>ナド</t>
    </rPh>
    <rPh sb="75" eb="77">
      <t>コウフ</t>
    </rPh>
    <rPh sb="77" eb="79">
      <t>キソク</t>
    </rPh>
    <rPh sb="79" eb="80">
      <t>ダイ</t>
    </rPh>
    <rPh sb="82" eb="83">
      <t>ジョウ</t>
    </rPh>
    <rPh sb="83" eb="84">
      <t>ダイ</t>
    </rPh>
    <rPh sb="85" eb="86">
      <t>コウ</t>
    </rPh>
    <rPh sb="87" eb="89">
      <t>キテイ</t>
    </rPh>
    <rPh sb="93" eb="95">
      <t>カキ</t>
    </rPh>
    <rPh sb="99" eb="101">
      <t>ホウコク</t>
    </rPh>
    <phoneticPr fontId="1"/>
  </si>
  <si>
    <t>〒</t>
    <phoneticPr fontId="1"/>
  </si>
  <si>
    <t>補助金等の名称</t>
    <rPh sb="0" eb="2">
      <t>ホジョ</t>
    </rPh>
    <rPh sb="2" eb="3">
      <t>キン</t>
    </rPh>
    <rPh sb="3" eb="4">
      <t>トウ</t>
    </rPh>
    <rPh sb="5" eb="7">
      <t>メイショウ</t>
    </rPh>
    <phoneticPr fontId="1"/>
  </si>
  <si>
    <t>差　　額</t>
    <rPh sb="0" eb="1">
      <t>サ</t>
    </rPh>
    <rPh sb="3" eb="4">
      <t>ガク</t>
    </rPh>
    <phoneticPr fontId="1"/>
  </si>
  <si>
    <r>
      <t>交付決定通知書、額の確定通知書等の県が交付する文書の送付先　</t>
    </r>
    <r>
      <rPr>
        <sz val="9"/>
        <color theme="1"/>
        <rFont val="ＭＳ Ｐ明朝"/>
        <family val="1"/>
        <charset val="128"/>
      </rPr>
      <t>（申請者と同じ場合は記載不要）</t>
    </r>
    <rPh sb="0" eb="2">
      <t>コウフ</t>
    </rPh>
    <rPh sb="2" eb="4">
      <t>ケッテイ</t>
    </rPh>
    <rPh sb="4" eb="6">
      <t>ツウチ</t>
    </rPh>
    <rPh sb="6" eb="7">
      <t>ショ</t>
    </rPh>
    <rPh sb="8" eb="9">
      <t>ガク</t>
    </rPh>
    <rPh sb="10" eb="12">
      <t>カクテイ</t>
    </rPh>
    <rPh sb="12" eb="14">
      <t>ツウチ</t>
    </rPh>
    <rPh sb="14" eb="15">
      <t>ショ</t>
    </rPh>
    <rPh sb="15" eb="16">
      <t>トウ</t>
    </rPh>
    <rPh sb="17" eb="18">
      <t>ケン</t>
    </rPh>
    <rPh sb="19" eb="21">
      <t>コウフ</t>
    </rPh>
    <rPh sb="23" eb="25">
      <t>ブンショ</t>
    </rPh>
    <rPh sb="26" eb="28">
      <t>ソウフ</t>
    </rPh>
    <rPh sb="28" eb="29">
      <t>サキ</t>
    </rPh>
    <phoneticPr fontId="1"/>
  </si>
  <si>
    <r>
      <t>住所</t>
    </r>
    <r>
      <rPr>
        <sz val="8"/>
        <color theme="1"/>
        <rFont val="ＭＳ Ｐ明朝"/>
        <family val="1"/>
        <charset val="128"/>
      </rPr>
      <t xml:space="preserve">
（法人の場合は所在地）</t>
    </r>
    <rPh sb="0" eb="2">
      <t>ジュウショ</t>
    </rPh>
    <rPh sb="4" eb="6">
      <t>ホウジン</t>
    </rPh>
    <rPh sb="7" eb="9">
      <t>バアイ</t>
    </rPh>
    <rPh sb="10" eb="13">
      <t>ショザイチ</t>
    </rPh>
    <phoneticPr fontId="1"/>
  </si>
  <si>
    <t>〒</t>
    <phoneticPr fontId="1"/>
  </si>
  <si>
    <r>
      <t>氏名</t>
    </r>
    <r>
      <rPr>
        <sz val="8"/>
        <color theme="1"/>
        <rFont val="ＭＳ Ｐ明朝"/>
        <family val="1"/>
        <charset val="128"/>
      </rPr>
      <t xml:space="preserve">
（法人の場合は名称・代表者）</t>
    </r>
    <rPh sb="0" eb="2">
      <t>シメイ</t>
    </rPh>
    <rPh sb="4" eb="6">
      <t>ホウジン</t>
    </rPh>
    <rPh sb="7" eb="9">
      <t>バアイ</t>
    </rPh>
    <rPh sb="10" eb="12">
      <t>メイショウ</t>
    </rPh>
    <rPh sb="13" eb="16">
      <t>ダイヒョウシャ</t>
    </rPh>
    <phoneticPr fontId="1"/>
  </si>
  <si>
    <t>　－　　　－　</t>
    <phoneticPr fontId="1"/>
  </si>
  <si>
    <t>・とっとり住まいる支援事業建設等報告書（様式第６号）</t>
    <rPh sb="16" eb="18">
      <t>ホウコク</t>
    </rPh>
    <phoneticPr fontId="1"/>
  </si>
  <si>
    <t>←金額はチェックシートに連動して表示します。ただし各項目の交付決定額以下で調整されます。</t>
    <rPh sb="1" eb="3">
      <t>キンガク</t>
    </rPh>
    <rPh sb="12" eb="14">
      <t>レンドウ</t>
    </rPh>
    <rPh sb="16" eb="18">
      <t>ヒョウジ</t>
    </rPh>
    <rPh sb="25" eb="28">
      <t>カクコウモク</t>
    </rPh>
    <rPh sb="29" eb="31">
      <t>コウフ</t>
    </rPh>
    <rPh sb="31" eb="33">
      <t>ケッテイ</t>
    </rPh>
    <rPh sb="33" eb="34">
      <t>ガク</t>
    </rPh>
    <rPh sb="34" eb="36">
      <t>イカ</t>
    </rPh>
    <rPh sb="37" eb="39">
      <t>チョウセイ</t>
    </rPh>
    <phoneticPr fontId="1"/>
  </si>
  <si>
    <t>実績報告（事業報告書から自動計算）</t>
    <rPh sb="0" eb="2">
      <t>ジッセキ</t>
    </rPh>
    <rPh sb="2" eb="4">
      <t>ホウコク</t>
    </rPh>
    <rPh sb="5" eb="7">
      <t>ジギョウ</t>
    </rPh>
    <rPh sb="7" eb="10">
      <t>ホウコクショ</t>
    </rPh>
    <rPh sb="12" eb="14">
      <t>ジドウ</t>
    </rPh>
    <rPh sb="14" eb="16">
      <t>ケイサン</t>
    </rPh>
    <phoneticPr fontId="1"/>
  </si>
  <si>
    <t>実績報告の場合は、転居後の住所として下さい。</t>
    <rPh sb="0" eb="2">
      <t>ジッセキ</t>
    </rPh>
    <rPh sb="2" eb="4">
      <t>ホウコク</t>
    </rPh>
    <rPh sb="5" eb="7">
      <t>バアイ</t>
    </rPh>
    <rPh sb="9" eb="11">
      <t>テンキョ</t>
    </rPh>
    <rPh sb="11" eb="12">
      <t>ゴ</t>
    </rPh>
    <rPh sb="13" eb="15">
      <t>ジュウショ</t>
    </rPh>
    <rPh sb="18" eb="19">
      <t>クダ</t>
    </rPh>
    <phoneticPr fontId="1"/>
  </si>
  <si>
    <t>令和２年度</t>
    <rPh sb="0" eb="2">
      <t>レイワ</t>
    </rPh>
    <rPh sb="3" eb="5">
      <t>ネンド</t>
    </rPh>
    <phoneticPr fontId="1"/>
  </si>
  <si>
    <t>令和３年度</t>
    <rPh sb="0" eb="2">
      <t>レイワ</t>
    </rPh>
    <rPh sb="3" eb="5">
      <t>ネンド</t>
    </rPh>
    <phoneticPr fontId="1"/>
  </si>
  <si>
    <t>令和４年度</t>
    <rPh sb="0" eb="2">
      <t>レイワ</t>
    </rPh>
    <rPh sb="3" eb="5">
      <t>ネンド</t>
    </rPh>
    <phoneticPr fontId="1"/>
  </si>
  <si>
    <t>令和５年度</t>
    <rPh sb="0" eb="2">
      <t>レイワ</t>
    </rPh>
    <rPh sb="3" eb="5">
      <t>ネンド</t>
    </rPh>
    <phoneticPr fontId="1"/>
  </si>
  <si>
    <t>その他</t>
    <rPh sb="2" eb="3">
      <t>タ</t>
    </rPh>
    <phoneticPr fontId="1"/>
  </si>
  <si>
    <t>・</t>
    <phoneticPr fontId="1"/>
  </si>
  <si>
    <t>地域型グリーン化住宅事業の補助対象経費に含む</t>
    <rPh sb="13" eb="15">
      <t>ホジョ</t>
    </rPh>
    <rPh sb="15" eb="17">
      <t>タイショウ</t>
    </rPh>
    <rPh sb="17" eb="19">
      <t>ケイヒ</t>
    </rPh>
    <rPh sb="20" eb="21">
      <t>フク</t>
    </rPh>
    <phoneticPr fontId="1"/>
  </si>
  <si>
    <t>地域型グリーン化住宅事業の補助対象経費に含まない</t>
    <rPh sb="13" eb="15">
      <t>ホジョ</t>
    </rPh>
    <rPh sb="15" eb="17">
      <t>タイショウ</t>
    </rPh>
    <rPh sb="17" eb="19">
      <t>ケイヒ</t>
    </rPh>
    <rPh sb="20" eb="21">
      <t>フク</t>
    </rPh>
    <phoneticPr fontId="1"/>
  </si>
  <si>
    <t>・申請者の戸籍抄本</t>
    <rPh sb="1" eb="4">
      <t>シンセイシャ</t>
    </rPh>
    <rPh sb="5" eb="7">
      <t>コセキ</t>
    </rPh>
    <rPh sb="7" eb="9">
      <t>ショウホン</t>
    </rPh>
    <phoneticPr fontId="1"/>
  </si>
  <si>
    <r>
      <t xml:space="preserve">・補助対象住宅に転居後の世帯全員の住民票
</t>
    </r>
    <r>
      <rPr>
        <sz val="9"/>
        <color rgb="FFFF0000"/>
        <rFont val="ＭＳ Ｐ明朝"/>
        <family val="1"/>
        <charset val="128"/>
      </rPr>
      <t>　（続柄及び転居前の住所が記載されたもの）</t>
    </r>
    <phoneticPr fontId="1"/>
  </si>
  <si>
    <r>
      <t xml:space="preserve">・補助対象住宅に転居後の世帯全員の住民票
</t>
    </r>
    <r>
      <rPr>
        <sz val="9"/>
        <color rgb="FFFF0000"/>
        <rFont val="ＭＳ Ｐ明朝"/>
        <family val="1"/>
        <charset val="128"/>
      </rPr>
      <t>　（続柄及び転居前の住所が記載されたもの）</t>
    </r>
    <phoneticPr fontId="1"/>
  </si>
  <si>
    <t>･同居又は近居する直系親族と姓が異なる場合は、申請者の戸籍謄本等直系親族とわかる書類</t>
    <rPh sb="1" eb="3">
      <t>ドウキョ</t>
    </rPh>
    <rPh sb="3" eb="4">
      <t>マタ</t>
    </rPh>
    <rPh sb="5" eb="7">
      <t>キンキョ</t>
    </rPh>
    <rPh sb="9" eb="11">
      <t>チョッケイ</t>
    </rPh>
    <rPh sb="11" eb="13">
      <t>シンゾク</t>
    </rPh>
    <rPh sb="14" eb="15">
      <t>セイ</t>
    </rPh>
    <rPh sb="16" eb="17">
      <t>コト</t>
    </rPh>
    <rPh sb="19" eb="21">
      <t>バアイ</t>
    </rPh>
    <rPh sb="23" eb="26">
      <t>シンセイシャ</t>
    </rPh>
    <rPh sb="27" eb="29">
      <t>コセキ</t>
    </rPh>
    <rPh sb="29" eb="31">
      <t>トウホン</t>
    </rPh>
    <rPh sb="31" eb="32">
      <t>ナド</t>
    </rPh>
    <rPh sb="32" eb="34">
      <t>チョッケイ</t>
    </rPh>
    <rPh sb="34" eb="36">
      <t>シンゾク</t>
    </rPh>
    <rPh sb="40" eb="42">
      <t>ショルイ</t>
    </rPh>
    <phoneticPr fontId="1"/>
  </si>
  <si>
    <t>（実績報告時）交付申請（登録申請）時からの各階平面図、配置図の変更がある。</t>
    <rPh sb="1" eb="3">
      <t>ジッセキ</t>
    </rPh>
    <rPh sb="3" eb="5">
      <t>ホウコク</t>
    </rPh>
    <rPh sb="5" eb="6">
      <t>ジ</t>
    </rPh>
    <rPh sb="7" eb="9">
      <t>コウフ</t>
    </rPh>
    <rPh sb="9" eb="11">
      <t>シンセイ</t>
    </rPh>
    <rPh sb="12" eb="14">
      <t>トウロク</t>
    </rPh>
    <rPh sb="14" eb="16">
      <t>シンセイ</t>
    </rPh>
    <rPh sb="17" eb="18">
      <t>ジ</t>
    </rPh>
    <rPh sb="21" eb="23">
      <t>カクカイ</t>
    </rPh>
    <rPh sb="23" eb="26">
      <t>ヘイメンズ</t>
    </rPh>
    <rPh sb="27" eb="30">
      <t>ハイチズ</t>
    </rPh>
    <rPh sb="31" eb="33">
      <t>ヘンコウ</t>
    </rPh>
    <phoneticPr fontId="1"/>
  </si>
  <si>
    <t>同居、近居対象の
直系尊属の世帯</t>
    <rPh sb="0" eb="2">
      <t>ドウキョ</t>
    </rPh>
    <rPh sb="3" eb="5">
      <t>キンキョ</t>
    </rPh>
    <rPh sb="5" eb="7">
      <t>タイショウ</t>
    </rPh>
    <rPh sb="9" eb="11">
      <t>チョッケイ</t>
    </rPh>
    <rPh sb="11" eb="13">
      <t>ソンゾク</t>
    </rPh>
    <rPh sb="14" eb="16">
      <t>セタイ</t>
    </rPh>
    <phoneticPr fontId="1"/>
  </si>
  <si>
    <t>姓</t>
    <rPh sb="0" eb="1">
      <t>セイ</t>
    </rPh>
    <phoneticPr fontId="1"/>
  </si>
  <si>
    <t>建築確認申請又は工事届提出年月日</t>
    <rPh sb="0" eb="2">
      <t>ケンチク</t>
    </rPh>
    <rPh sb="2" eb="4">
      <t>カクニン</t>
    </rPh>
    <rPh sb="4" eb="6">
      <t>シンセイ</t>
    </rPh>
    <rPh sb="6" eb="7">
      <t>マタ</t>
    </rPh>
    <rPh sb="8" eb="10">
      <t>コウジ</t>
    </rPh>
    <rPh sb="10" eb="11">
      <t>トド</t>
    </rPh>
    <rPh sb="11" eb="13">
      <t>テイシュツ</t>
    </rPh>
    <rPh sb="13" eb="16">
      <t>ネンガッピ</t>
    </rPh>
    <phoneticPr fontId="1"/>
  </si>
  <si>
    <t>当該住宅は【とっとり健康省エネ住宅（NE-ST）】である。</t>
    <rPh sb="0" eb="4">
      <t>トウガイジュウタク</t>
    </rPh>
    <phoneticPr fontId="1"/>
  </si>
  <si>
    <t>こどもみらい住宅支援事業</t>
    <rPh sb="6" eb="12">
      <t>ジュウタクシエンジギョウ</t>
    </rPh>
    <phoneticPr fontId="1"/>
  </si>
  <si>
    <t>こどもみらい住宅支援事業事務局</t>
    <rPh sb="6" eb="12">
      <t>ジュウタクシエンジギョウ</t>
    </rPh>
    <rPh sb="12" eb="15">
      <t>ジムキョク</t>
    </rPh>
    <phoneticPr fontId="1"/>
  </si>
  <si>
    <t>0570-033-522</t>
    <phoneticPr fontId="1"/>
  </si>
  <si>
    <t>とっとり未来型省エネ住宅特別促進事業補助金</t>
    <rPh sb="4" eb="7">
      <t>ミライガタ</t>
    </rPh>
    <rPh sb="7" eb="8">
      <t>ショウ</t>
    </rPh>
    <rPh sb="10" eb="14">
      <t>ジュウタクトクベツ</t>
    </rPh>
    <rPh sb="14" eb="18">
      <t>ソクシンジギョウ</t>
    </rPh>
    <rPh sb="18" eb="21">
      <t>ホジョキン</t>
    </rPh>
    <phoneticPr fontId="1"/>
  </si>
  <si>
    <t>鳥取県〇〇事務所</t>
    <rPh sb="0" eb="3">
      <t>トットリケン</t>
    </rPh>
    <rPh sb="5" eb="8">
      <t>ジムショ</t>
    </rPh>
    <phoneticPr fontId="1"/>
  </si>
  <si>
    <t>085●-●●-●●●●</t>
    <phoneticPr fontId="1"/>
  </si>
  <si>
    <t>当該住宅は【再生可能エネルギー発電設備】を設置する。</t>
    <rPh sb="0" eb="4">
      <t>トウガイジュウタク</t>
    </rPh>
    <rPh sb="6" eb="8">
      <t>サイセイ</t>
    </rPh>
    <rPh sb="8" eb="10">
      <t>カノウ</t>
    </rPh>
    <rPh sb="15" eb="17">
      <t>ハツデン</t>
    </rPh>
    <rPh sb="17" eb="19">
      <t>セツビ</t>
    </rPh>
    <rPh sb="21" eb="23">
      <t>セッチ</t>
    </rPh>
    <phoneticPr fontId="1"/>
  </si>
  <si>
    <t>設備</t>
    <rPh sb="0" eb="2">
      <t>セツビ</t>
    </rPh>
    <phoneticPr fontId="1"/>
  </si>
  <si>
    <t>当該住宅は【ZEH】である。</t>
    <rPh sb="0" eb="4">
      <t>トウガイジュウタク</t>
    </rPh>
    <phoneticPr fontId="1"/>
  </si>
  <si>
    <t>ZEHでない場合、太陽光発電設備の将来的な設置に備えていること。</t>
    <rPh sb="6" eb="8">
      <t>バアイ</t>
    </rPh>
    <rPh sb="9" eb="16">
      <t>タイヨウコウハツデンセツビ</t>
    </rPh>
    <rPh sb="17" eb="19">
      <t>ショウライ</t>
    </rPh>
    <rPh sb="19" eb="20">
      <t>テキ</t>
    </rPh>
    <rPh sb="21" eb="23">
      <t>セッチ</t>
    </rPh>
    <rPh sb="24" eb="25">
      <t>ソナ</t>
    </rPh>
    <phoneticPr fontId="1"/>
  </si>
  <si>
    <t>※将来的な設置の備えとは、太陽光パネルの設置に配慮した屋根形状と積載荷重の考慮をいう。</t>
    <rPh sb="1" eb="4">
      <t>ショウライテキ</t>
    </rPh>
    <rPh sb="5" eb="7">
      <t>セッチ</t>
    </rPh>
    <rPh sb="8" eb="9">
      <t>ソナ</t>
    </rPh>
    <rPh sb="20" eb="22">
      <t>セッチ</t>
    </rPh>
    <phoneticPr fontId="1"/>
  </si>
  <si>
    <t>性能区分</t>
    <rPh sb="0" eb="2">
      <t>セイノウ</t>
    </rPh>
    <rPh sb="2" eb="4">
      <t>クブン</t>
    </rPh>
    <phoneticPr fontId="1"/>
  </si>
  <si>
    <t>補助金の名称</t>
    <rPh sb="0" eb="3">
      <t>ホジョキン</t>
    </rPh>
    <rPh sb="4" eb="6">
      <t>メイショウ</t>
    </rPh>
    <phoneticPr fontId="1"/>
  </si>
  <si>
    <t>令和</t>
    <rPh sb="0" eb="2">
      <t>レイワ</t>
    </rPh>
    <phoneticPr fontId="1"/>
  </si>
  <si>
    <t>《補助金の内訳》</t>
    <rPh sb="1" eb="4">
      <t>ホジョキン</t>
    </rPh>
    <rPh sb="5" eb="7">
      <t>ウチワケ</t>
    </rPh>
    <phoneticPr fontId="1"/>
  </si>
  <si>
    <t>とっとり住まいる支援事業補助金</t>
    <rPh sb="4" eb="5">
      <t>ス</t>
    </rPh>
    <rPh sb="8" eb="10">
      <t>シエン</t>
    </rPh>
    <rPh sb="10" eb="12">
      <t>ジギョウ</t>
    </rPh>
    <rPh sb="12" eb="15">
      <t>ホジョキン</t>
    </rPh>
    <phoneticPr fontId="1"/>
  </si>
  <si>
    <t>とっとり未来型省エネ住宅特別促進事業補助金</t>
    <rPh sb="4" eb="7">
      <t>ミライガタ</t>
    </rPh>
    <rPh sb="7" eb="8">
      <t>ショウ</t>
    </rPh>
    <rPh sb="10" eb="12">
      <t>ジュウタク</t>
    </rPh>
    <rPh sb="12" eb="14">
      <t>トクベツ</t>
    </rPh>
    <rPh sb="14" eb="18">
      <t>ソクシンジギョウ</t>
    </rPh>
    <rPh sb="18" eb="21">
      <t>ホジョキン</t>
    </rPh>
    <phoneticPr fontId="1"/>
  </si>
  <si>
    <t>添付書類は次ページをご確認ください。</t>
    <rPh sb="0" eb="4">
      <t>テンプショルイ</t>
    </rPh>
    <rPh sb="5" eb="6">
      <t>ジ</t>
    </rPh>
    <rPh sb="11" eb="13">
      <t>カクニン</t>
    </rPh>
    <phoneticPr fontId="1"/>
  </si>
  <si>
    <t>←金額は交付決定状況入力シートから引用します。</t>
    <rPh sb="1" eb="3">
      <t>キンガク</t>
    </rPh>
    <rPh sb="4" eb="6">
      <t>コウフ</t>
    </rPh>
    <rPh sb="6" eb="8">
      <t>ケッテイ</t>
    </rPh>
    <rPh sb="8" eb="10">
      <t>ジョウキョウ</t>
    </rPh>
    <rPh sb="10" eb="12">
      <t>ニュウリョク</t>
    </rPh>
    <rPh sb="17" eb="19">
      <t>インヨウ</t>
    </rPh>
    <phoneticPr fontId="1"/>
  </si>
  <si>
    <t>とっとり未来型省エネ住宅特別促進事業補助金</t>
    <phoneticPr fontId="1"/>
  </si>
  <si>
    <t>要</t>
  </si>
  <si>
    <t>令和４年度とっとり住まいる支援事業台帳</t>
    <rPh sb="0" eb="2">
      <t>レイワ</t>
    </rPh>
    <rPh sb="17" eb="19">
      <t>ダイチョウ</t>
    </rPh>
    <phoneticPr fontId="1"/>
  </si>
  <si>
    <t>行挿入、セル結合、計算式削除厳禁</t>
    <rPh sb="0" eb="1">
      <t>ギョウ</t>
    </rPh>
    <rPh sb="1" eb="3">
      <t>ソウニュウ</t>
    </rPh>
    <rPh sb="6" eb="8">
      <t>ケツゴウ</t>
    </rPh>
    <rPh sb="9" eb="12">
      <t>ケイサンシキ</t>
    </rPh>
    <rPh sb="12" eb="14">
      <t>サクジョ</t>
    </rPh>
    <rPh sb="14" eb="16">
      <t>ゲンキン</t>
    </rPh>
    <phoneticPr fontId="1"/>
  </si>
  <si>
    <t>申請</t>
    <rPh sb="0" eb="2">
      <t>シンセイ</t>
    </rPh>
    <phoneticPr fontId="1"/>
  </si>
  <si>
    <t>実績</t>
    <rPh sb="0" eb="2">
      <t>ジッセキ</t>
    </rPh>
    <phoneticPr fontId="1"/>
  </si>
  <si>
    <t>取消・取下、支払済の別（自動表示）</t>
    <rPh sb="3" eb="5">
      <t>トリサ</t>
    </rPh>
    <rPh sb="6" eb="8">
      <t>シハライ</t>
    </rPh>
    <rPh sb="8" eb="9">
      <t>ズ</t>
    </rPh>
    <rPh sb="10" eb="11">
      <t>ベツ</t>
    </rPh>
    <rPh sb="12" eb="14">
      <t>ジドウ</t>
    </rPh>
    <rPh sb="14" eb="16">
      <t>ヒョウジ</t>
    </rPh>
    <phoneticPr fontId="32"/>
  </si>
  <si>
    <t>通し番号</t>
    <rPh sb="0" eb="1">
      <t>トオ</t>
    </rPh>
    <rPh sb="2" eb="4">
      <t>バンゴウ</t>
    </rPh>
    <phoneticPr fontId="18"/>
  </si>
  <si>
    <t>区分</t>
    <rPh sb="0" eb="2">
      <t>クブン</t>
    </rPh>
    <phoneticPr fontId="18"/>
  </si>
  <si>
    <t>債務負担行為</t>
    <rPh sb="0" eb="2">
      <t>サイム</t>
    </rPh>
    <rPh sb="2" eb="4">
      <t>フタン</t>
    </rPh>
    <rPh sb="4" eb="6">
      <t>コウイ</t>
    </rPh>
    <phoneticPr fontId="32"/>
  </si>
  <si>
    <t>電子申請利用
（交付申請）</t>
    <rPh sb="0" eb="4">
      <t>デンシシンセイ</t>
    </rPh>
    <rPh sb="4" eb="6">
      <t>リヨウ</t>
    </rPh>
    <rPh sb="8" eb="12">
      <t>コウフシンセイ</t>
    </rPh>
    <phoneticPr fontId="1"/>
  </si>
  <si>
    <t>電子申請利用
（実績報告）</t>
    <rPh sb="0" eb="4">
      <t>デンシシンセイ</t>
    </rPh>
    <rPh sb="4" eb="6">
      <t>リヨウ</t>
    </rPh>
    <rPh sb="8" eb="10">
      <t>ジッセキ</t>
    </rPh>
    <rPh sb="10" eb="12">
      <t>ホウコク</t>
    </rPh>
    <phoneticPr fontId="1"/>
  </si>
  <si>
    <t>交付申請日
（登録の場合は、登録申請日）</t>
    <phoneticPr fontId="1"/>
  </si>
  <si>
    <t>申請者</t>
    <rPh sb="0" eb="3">
      <t>シンセイシャ</t>
    </rPh>
    <phoneticPr fontId="18"/>
  </si>
  <si>
    <t>建設地</t>
    <rPh sb="0" eb="3">
      <t>ケンセツチ</t>
    </rPh>
    <phoneticPr fontId="18"/>
  </si>
  <si>
    <t>新築助成（予定）</t>
    <rPh sb="0" eb="2">
      <t>シンチク</t>
    </rPh>
    <rPh sb="2" eb="4">
      <t>ジョセイ</t>
    </rPh>
    <rPh sb="5" eb="7">
      <t>ヨテイ</t>
    </rPh>
    <phoneticPr fontId="18"/>
  </si>
  <si>
    <t>交付決定額
（新築）</t>
    <rPh sb="0" eb="2">
      <t>コウフ</t>
    </rPh>
    <rPh sb="2" eb="4">
      <t>ケッテイ</t>
    </rPh>
    <rPh sb="4" eb="5">
      <t>ガク</t>
    </rPh>
    <rPh sb="7" eb="9">
      <t>シンチク</t>
    </rPh>
    <phoneticPr fontId="32"/>
  </si>
  <si>
    <t>改修助成（予定）</t>
    <rPh sb="0" eb="2">
      <t>カイシュウ</t>
    </rPh>
    <rPh sb="2" eb="4">
      <t>ジョセイ</t>
    </rPh>
    <rPh sb="5" eb="7">
      <t>ヨテイ</t>
    </rPh>
    <phoneticPr fontId="32"/>
  </si>
  <si>
    <t>予定工期</t>
    <rPh sb="0" eb="2">
      <t>ヨテイ</t>
    </rPh>
    <rPh sb="2" eb="4">
      <t>コウキ</t>
    </rPh>
    <phoneticPr fontId="18"/>
  </si>
  <si>
    <t>交付（登録）決定</t>
    <rPh sb="0" eb="2">
      <t>コウフ</t>
    </rPh>
    <rPh sb="3" eb="5">
      <t>トウロク</t>
    </rPh>
    <rPh sb="6" eb="8">
      <t>ケッテイ</t>
    </rPh>
    <phoneticPr fontId="18"/>
  </si>
  <si>
    <t>業者名</t>
    <rPh sb="0" eb="2">
      <t>ギョウシャ</t>
    </rPh>
    <rPh sb="2" eb="3">
      <t>メイ</t>
    </rPh>
    <phoneticPr fontId="18"/>
  </si>
  <si>
    <t>プレカット事業者名</t>
    <rPh sb="5" eb="8">
      <t>ジギョウシャ</t>
    </rPh>
    <rPh sb="8" eb="9">
      <t>メイ</t>
    </rPh>
    <phoneticPr fontId="1"/>
  </si>
  <si>
    <t>延面積</t>
    <rPh sb="0" eb="1">
      <t>ノ</t>
    </rPh>
    <rPh sb="1" eb="3">
      <t>メンセキ</t>
    </rPh>
    <phoneticPr fontId="32"/>
  </si>
  <si>
    <t>工事費</t>
    <rPh sb="0" eb="3">
      <t>コウジヒ</t>
    </rPh>
    <phoneticPr fontId="32"/>
  </si>
  <si>
    <t>建築確認</t>
    <rPh sb="0" eb="2">
      <t>ケンチク</t>
    </rPh>
    <rPh sb="2" eb="4">
      <t>カクニン</t>
    </rPh>
    <phoneticPr fontId="32"/>
  </si>
  <si>
    <t>変更承認</t>
    <rPh sb="0" eb="2">
      <t>ヘンコウ</t>
    </rPh>
    <rPh sb="2" eb="4">
      <t>ショウニン</t>
    </rPh>
    <phoneticPr fontId="32"/>
  </si>
  <si>
    <t>フラット35子育て支援型利用</t>
    <rPh sb="6" eb="8">
      <t>コソダ</t>
    </rPh>
    <rPh sb="9" eb="12">
      <t>シエンガタ</t>
    </rPh>
    <rPh sb="12" eb="14">
      <t>リヨウ</t>
    </rPh>
    <phoneticPr fontId="32"/>
  </si>
  <si>
    <t>補助金併用</t>
    <rPh sb="0" eb="3">
      <t>ホジョキン</t>
    </rPh>
    <rPh sb="3" eb="5">
      <t>ヘイヨウ</t>
    </rPh>
    <phoneticPr fontId="32"/>
  </si>
  <si>
    <t>省エネルギー性能</t>
    <rPh sb="0" eb="1">
      <t>ショウ</t>
    </rPh>
    <rPh sb="6" eb="8">
      <t>セイノウ</t>
    </rPh>
    <phoneticPr fontId="1"/>
  </si>
  <si>
    <t>新築助成（実績）</t>
    <rPh sb="0" eb="2">
      <t>シンチク</t>
    </rPh>
    <rPh sb="2" eb="4">
      <t>ジョセイ</t>
    </rPh>
    <rPh sb="5" eb="7">
      <t>ジッセキ</t>
    </rPh>
    <phoneticPr fontId="18"/>
  </si>
  <si>
    <t>改修助成（実績）</t>
    <rPh sb="0" eb="2">
      <t>カイシュウ</t>
    </rPh>
    <rPh sb="2" eb="4">
      <t>ジョセイ</t>
    </rPh>
    <rPh sb="5" eb="7">
      <t>ジッセキ</t>
    </rPh>
    <phoneticPr fontId="32"/>
  </si>
  <si>
    <t>額の確定</t>
    <rPh sb="0" eb="1">
      <t>ガク</t>
    </rPh>
    <rPh sb="2" eb="4">
      <t>カクテイ</t>
    </rPh>
    <phoneticPr fontId="32"/>
  </si>
  <si>
    <t>氏名</t>
    <rPh sb="0" eb="2">
      <t>シメイ</t>
    </rPh>
    <phoneticPr fontId="18"/>
  </si>
  <si>
    <t>郵便番号</t>
    <rPh sb="0" eb="4">
      <t>ユウビンバンゴウ</t>
    </rPh>
    <phoneticPr fontId="32"/>
  </si>
  <si>
    <t>住所</t>
    <rPh sb="0" eb="2">
      <t>ジュウショ</t>
    </rPh>
    <phoneticPr fontId="32"/>
  </si>
  <si>
    <t>電話</t>
    <rPh sb="0" eb="2">
      <t>デンワ</t>
    </rPh>
    <phoneticPr fontId="18"/>
  </si>
  <si>
    <t>県産材定額</t>
    <rPh sb="0" eb="1">
      <t>ケン</t>
    </rPh>
    <rPh sb="1" eb="3">
      <t>サンザイ</t>
    </rPh>
    <rPh sb="3" eb="5">
      <t>テイガク</t>
    </rPh>
    <phoneticPr fontId="1"/>
  </si>
  <si>
    <t>県産規格材活用</t>
    <rPh sb="0" eb="2">
      <t>ケンサン</t>
    </rPh>
    <rPh sb="2" eb="4">
      <t>キカク</t>
    </rPh>
    <rPh sb="4" eb="5">
      <t>ザイ</t>
    </rPh>
    <rPh sb="5" eb="7">
      <t>カツヨウ</t>
    </rPh>
    <phoneticPr fontId="18"/>
  </si>
  <si>
    <t>機械等級区分構造材</t>
    <rPh sb="0" eb="2">
      <t>キカイ</t>
    </rPh>
    <rPh sb="2" eb="4">
      <t>トウキュウ</t>
    </rPh>
    <rPh sb="4" eb="6">
      <t>クブン</t>
    </rPh>
    <rPh sb="6" eb="9">
      <t>コウゾウザイ</t>
    </rPh>
    <phoneticPr fontId="18"/>
  </si>
  <si>
    <t>県産ＣＬＴ材</t>
    <rPh sb="0" eb="2">
      <t>ケンサン</t>
    </rPh>
    <rPh sb="5" eb="6">
      <t>ザイ</t>
    </rPh>
    <phoneticPr fontId="18"/>
  </si>
  <si>
    <t>県産内外装材</t>
    <rPh sb="0" eb="2">
      <t>ケンサン</t>
    </rPh>
    <rPh sb="2" eb="5">
      <t>ナイガイソウ</t>
    </rPh>
    <rPh sb="5" eb="6">
      <t>ザイ</t>
    </rPh>
    <phoneticPr fontId="18"/>
  </si>
  <si>
    <t>子育て世帯等</t>
    <rPh sb="0" eb="2">
      <t>コソダ</t>
    </rPh>
    <rPh sb="3" eb="5">
      <t>セタイ</t>
    </rPh>
    <rPh sb="5" eb="6">
      <t>トウ</t>
    </rPh>
    <phoneticPr fontId="32"/>
  </si>
  <si>
    <t>三世代同居等</t>
    <rPh sb="0" eb="1">
      <t>サン</t>
    </rPh>
    <rPh sb="1" eb="3">
      <t>セダイ</t>
    </rPh>
    <rPh sb="3" eb="5">
      <t>ドウキョ</t>
    </rPh>
    <rPh sb="5" eb="6">
      <t>トウ</t>
    </rPh>
    <phoneticPr fontId="32"/>
  </si>
  <si>
    <t>伝統技能活用（４ポイント以上該当）</t>
    <rPh sb="0" eb="2">
      <t>デントウ</t>
    </rPh>
    <rPh sb="2" eb="4">
      <t>ギノウ</t>
    </rPh>
    <rPh sb="4" eb="6">
      <t>カツヨウ</t>
    </rPh>
    <rPh sb="12" eb="14">
      <t>イジョウ</t>
    </rPh>
    <rPh sb="14" eb="16">
      <t>ガイトウ</t>
    </rPh>
    <phoneticPr fontId="18"/>
  </si>
  <si>
    <t>県産材</t>
    <rPh sb="0" eb="3">
      <t>ケンサンザイ</t>
    </rPh>
    <phoneticPr fontId="32"/>
  </si>
  <si>
    <t>伝統</t>
    <rPh sb="0" eb="2">
      <t>デントウ</t>
    </rPh>
    <phoneticPr fontId="1"/>
  </si>
  <si>
    <t>交付決定額
（改修）</t>
    <rPh sb="0" eb="2">
      <t>コウフ</t>
    </rPh>
    <rPh sb="2" eb="4">
      <t>ケッテイ</t>
    </rPh>
    <rPh sb="4" eb="5">
      <t>ガク</t>
    </rPh>
    <rPh sb="7" eb="9">
      <t>カイシュウ</t>
    </rPh>
    <phoneticPr fontId="32"/>
  </si>
  <si>
    <t>県産規格材</t>
    <rPh sb="0" eb="2">
      <t>ケンサン</t>
    </rPh>
    <rPh sb="2" eb="4">
      <t>キカク</t>
    </rPh>
    <rPh sb="4" eb="5">
      <t>ザイ</t>
    </rPh>
    <phoneticPr fontId="18"/>
  </si>
  <si>
    <t>確定額
(千円)</t>
    <rPh sb="0" eb="2">
      <t>カクテイ</t>
    </rPh>
    <rPh sb="2" eb="3">
      <t>ガク</t>
    </rPh>
    <rPh sb="3" eb="4">
      <t>キンガク</t>
    </rPh>
    <rPh sb="5" eb="7">
      <t>センエン</t>
    </rPh>
    <phoneticPr fontId="32"/>
  </si>
  <si>
    <t>実績減</t>
    <rPh sb="0" eb="2">
      <t>ジッセキ</t>
    </rPh>
    <rPh sb="2" eb="3">
      <t>ゲン</t>
    </rPh>
    <phoneticPr fontId="1"/>
  </si>
  <si>
    <t>交付確定額
（改修）</t>
    <rPh sb="0" eb="2">
      <t>コウフ</t>
    </rPh>
    <rPh sb="2" eb="4">
      <t>カクテイ</t>
    </rPh>
    <rPh sb="4" eb="5">
      <t>ガク</t>
    </rPh>
    <rPh sb="7" eb="9">
      <t>カイシュウ</t>
    </rPh>
    <phoneticPr fontId="32"/>
  </si>
  <si>
    <t>自動表示</t>
    <rPh sb="0" eb="2">
      <t>ジドウ</t>
    </rPh>
    <rPh sb="2" eb="4">
      <t>ヒョウジ</t>
    </rPh>
    <phoneticPr fontId="1"/>
  </si>
  <si>
    <t>自動表示</t>
    <rPh sb="0" eb="2">
      <t>ジドウ</t>
    </rPh>
    <rPh sb="2" eb="4">
      <t>ヒョウジ</t>
    </rPh>
    <phoneticPr fontId="18"/>
  </si>
  <si>
    <t>支払済取下取消判定</t>
    <rPh sb="0" eb="2">
      <t>シハライ</t>
    </rPh>
    <rPh sb="2" eb="3">
      <t>ズ</t>
    </rPh>
    <rPh sb="3" eb="4">
      <t>ト</t>
    </rPh>
    <rPh sb="4" eb="5">
      <t>サ</t>
    </rPh>
    <rPh sb="5" eb="6">
      <t>ト</t>
    </rPh>
    <rPh sb="6" eb="7">
      <t>ケ</t>
    </rPh>
    <rPh sb="7" eb="9">
      <t>ハンテイ</t>
    </rPh>
    <phoneticPr fontId="1"/>
  </si>
  <si>
    <t>建売住宅の申請判定</t>
    <rPh sb="0" eb="2">
      <t>タテウリ</t>
    </rPh>
    <rPh sb="2" eb="4">
      <t>ジュウタク</t>
    </rPh>
    <rPh sb="5" eb="7">
      <t>シンセイ</t>
    </rPh>
    <rPh sb="7" eb="9">
      <t>ハンテイ</t>
    </rPh>
    <phoneticPr fontId="1"/>
  </si>
  <si>
    <t>選択式</t>
    <rPh sb="0" eb="2">
      <t>センタク</t>
    </rPh>
    <rPh sb="2" eb="3">
      <t>シキ</t>
    </rPh>
    <phoneticPr fontId="1"/>
  </si>
  <si>
    <r>
      <t>市町村名</t>
    </r>
    <r>
      <rPr>
        <sz val="10"/>
        <color rgb="FFFF0000"/>
        <rFont val="ＭＳ Ｐゴシック"/>
        <family val="3"/>
        <charset val="128"/>
        <scheme val="minor"/>
      </rPr>
      <t>（選択式）</t>
    </r>
    <rPh sb="0" eb="4">
      <t>シチョウソンメイ</t>
    </rPh>
    <rPh sb="5" eb="7">
      <t>センタク</t>
    </rPh>
    <rPh sb="7" eb="8">
      <t>シキ</t>
    </rPh>
    <phoneticPr fontId="32"/>
  </si>
  <si>
    <t>大字名、丁目、地番等</t>
    <rPh sb="4" eb="6">
      <t>チョウメ</t>
    </rPh>
    <rPh sb="7" eb="9">
      <t>チバン</t>
    </rPh>
    <rPh sb="9" eb="10">
      <t>トウ</t>
    </rPh>
    <phoneticPr fontId="32"/>
  </si>
  <si>
    <r>
      <t xml:space="preserve">実木材
使用量
</t>
    </r>
    <r>
      <rPr>
        <sz val="10"/>
        <color indexed="10"/>
        <rFont val="ＭＳ Ｐゴシック"/>
        <family val="3"/>
        <charset val="128"/>
      </rPr>
      <t>(m3)</t>
    </r>
    <rPh sb="0" eb="1">
      <t>ジツ</t>
    </rPh>
    <rPh sb="1" eb="3">
      <t>モクザイ</t>
    </rPh>
    <rPh sb="4" eb="7">
      <t>シヨウリョウ</t>
    </rPh>
    <phoneticPr fontId="32"/>
  </si>
  <si>
    <r>
      <rPr>
        <b/>
        <sz val="10"/>
        <color indexed="10"/>
        <rFont val="ＭＳ Ｐゴシック"/>
        <family val="3"/>
        <charset val="128"/>
      </rPr>
      <t>実</t>
    </r>
    <r>
      <rPr>
        <sz val="10"/>
        <color indexed="10"/>
        <rFont val="ＭＳ Ｐゴシック"/>
        <family val="3"/>
        <charset val="128"/>
      </rPr>
      <t xml:space="preserve">
使用量
(m3)</t>
    </r>
    <rPh sb="0" eb="1">
      <t>ジツ</t>
    </rPh>
    <rPh sb="2" eb="5">
      <t>シヨウリョウ</t>
    </rPh>
    <phoneticPr fontId="32"/>
  </si>
  <si>
    <t>補助金額
(千円)</t>
    <rPh sb="0" eb="3">
      <t>ホジョキン</t>
    </rPh>
    <rPh sb="3" eb="4">
      <t>ガク</t>
    </rPh>
    <rPh sb="6" eb="8">
      <t>センエン</t>
    </rPh>
    <phoneticPr fontId="32"/>
  </si>
  <si>
    <t xml:space="preserve">有
</t>
    <rPh sb="0" eb="1">
      <t>ア</t>
    </rPh>
    <phoneticPr fontId="32"/>
  </si>
  <si>
    <t>CLT使用量
(m3)</t>
    <rPh sb="3" eb="6">
      <t>シヨウリョウ</t>
    </rPh>
    <phoneticPr fontId="32"/>
  </si>
  <si>
    <t>算出値
(千円)</t>
    <rPh sb="0" eb="2">
      <t>サンシュツ</t>
    </rPh>
    <rPh sb="2" eb="3">
      <t>チ</t>
    </rPh>
    <rPh sb="5" eb="7">
      <t>センエン</t>
    </rPh>
    <phoneticPr fontId="32"/>
  </si>
  <si>
    <t>補助金額</t>
    <rPh sb="0" eb="3">
      <t>ホジョキン</t>
    </rPh>
    <rPh sb="3" eb="4">
      <t>ガク</t>
    </rPh>
    <phoneticPr fontId="1"/>
  </si>
  <si>
    <t>内外装材使用量
(m3)</t>
    <rPh sb="0" eb="3">
      <t>ナイガイソウ</t>
    </rPh>
    <rPh sb="3" eb="4">
      <t>ザイ</t>
    </rPh>
    <rPh sb="4" eb="7">
      <t>シヨウリョウ</t>
    </rPh>
    <phoneticPr fontId="32"/>
  </si>
  <si>
    <t>18歳以下</t>
    <rPh sb="2" eb="3">
      <t>サイ</t>
    </rPh>
    <rPh sb="3" eb="5">
      <t>イカ</t>
    </rPh>
    <phoneticPr fontId="32"/>
  </si>
  <si>
    <t>18歳以下なしかつ婚姻10年</t>
    <rPh sb="2" eb="3">
      <t>サイ</t>
    </rPh>
    <rPh sb="3" eb="5">
      <t>イカ</t>
    </rPh>
    <rPh sb="9" eb="11">
      <t>コンイン</t>
    </rPh>
    <rPh sb="13" eb="14">
      <t>ネン</t>
    </rPh>
    <phoneticPr fontId="32"/>
  </si>
  <si>
    <t xml:space="preserve">有
</t>
    <rPh sb="0" eb="1">
      <t>ア</t>
    </rPh>
    <phoneticPr fontId="32"/>
  </si>
  <si>
    <t>近居（同居除く）</t>
    <rPh sb="0" eb="2">
      <t>キンキョ</t>
    </rPh>
    <rPh sb="3" eb="5">
      <t>ドウキョ</t>
    </rPh>
    <rPh sb="5" eb="6">
      <t>ノゾ</t>
    </rPh>
    <phoneticPr fontId="32"/>
  </si>
  <si>
    <t>同居</t>
    <rPh sb="0" eb="2">
      <t>ドウキョ</t>
    </rPh>
    <phoneticPr fontId="32"/>
  </si>
  <si>
    <t>手刻み</t>
    <rPh sb="0" eb="1">
      <t>テ</t>
    </rPh>
    <rPh sb="1" eb="2">
      <t>キザ</t>
    </rPh>
    <phoneticPr fontId="32"/>
  </si>
  <si>
    <t>下見板張り</t>
    <rPh sb="0" eb="2">
      <t>シタミ</t>
    </rPh>
    <rPh sb="2" eb="3">
      <t>イタ</t>
    </rPh>
    <rPh sb="3" eb="4">
      <t>バ</t>
    </rPh>
    <phoneticPr fontId="32"/>
  </si>
  <si>
    <t>左官仕上げ</t>
    <rPh sb="0" eb="2">
      <t>サカン</t>
    </rPh>
    <rPh sb="2" eb="4">
      <t>シア</t>
    </rPh>
    <phoneticPr fontId="32"/>
  </si>
  <si>
    <t>国産瓦</t>
    <rPh sb="0" eb="2">
      <t>コクサン</t>
    </rPh>
    <rPh sb="2" eb="3">
      <t>ガワラ</t>
    </rPh>
    <phoneticPr fontId="32"/>
  </si>
  <si>
    <t>木製建具</t>
    <rPh sb="0" eb="2">
      <t>モクセイ</t>
    </rPh>
    <rPh sb="2" eb="4">
      <t>タテグ</t>
    </rPh>
    <phoneticPr fontId="32"/>
  </si>
  <si>
    <t>畳</t>
    <rPh sb="0" eb="1">
      <t>タタミ</t>
    </rPh>
    <phoneticPr fontId="32"/>
  </si>
  <si>
    <t>構造材現し</t>
    <rPh sb="0" eb="2">
      <t>コウゾウ</t>
    </rPh>
    <rPh sb="2" eb="3">
      <t>ザイ</t>
    </rPh>
    <rPh sb="3" eb="4">
      <t>アラワ</t>
    </rPh>
    <phoneticPr fontId="32"/>
  </si>
  <si>
    <t>ポイント数</t>
    <rPh sb="4" eb="5">
      <t>スウ</t>
    </rPh>
    <phoneticPr fontId="32"/>
  </si>
  <si>
    <r>
      <t>瓦の種類</t>
    </r>
    <r>
      <rPr>
        <sz val="10"/>
        <color rgb="FFFF0000"/>
        <rFont val="ＭＳ Ｐゴシック"/>
        <family val="3"/>
        <charset val="128"/>
        <scheme val="minor"/>
      </rPr>
      <t>（選択式）</t>
    </r>
    <rPh sb="0" eb="1">
      <t>カワラ</t>
    </rPh>
    <rPh sb="2" eb="4">
      <t>シュルイ</t>
    </rPh>
    <rPh sb="5" eb="8">
      <t>センタクシキ</t>
    </rPh>
    <phoneticPr fontId="1"/>
  </si>
  <si>
    <r>
      <t>左官材料の種類</t>
    </r>
    <r>
      <rPr>
        <sz val="10"/>
        <color rgb="FFFF0000"/>
        <rFont val="ＭＳ Ｐゴシック"/>
        <family val="3"/>
        <charset val="128"/>
        <scheme val="minor"/>
      </rPr>
      <t>（選択式）</t>
    </r>
    <rPh sb="0" eb="2">
      <t>サカン</t>
    </rPh>
    <rPh sb="2" eb="4">
      <t>ザイリョウ</t>
    </rPh>
    <rPh sb="5" eb="7">
      <t>シュルイ</t>
    </rPh>
    <rPh sb="8" eb="11">
      <t>センタクシキ</t>
    </rPh>
    <phoneticPr fontId="1"/>
  </si>
  <si>
    <t>実木材
使用量</t>
  </si>
  <si>
    <t>構造材使用量m3</t>
    <rPh sb="0" eb="3">
      <t>コウゾウザイ</t>
    </rPh>
    <rPh sb="3" eb="5">
      <t>シヨウ</t>
    </rPh>
    <rPh sb="5" eb="6">
      <t>リョウ</t>
    </rPh>
    <phoneticPr fontId="32"/>
  </si>
  <si>
    <t>内外装使用面積m2</t>
    <rPh sb="0" eb="3">
      <t>ナイガイソウ</t>
    </rPh>
    <rPh sb="3" eb="5">
      <t>シヨウ</t>
    </rPh>
    <rPh sb="5" eb="7">
      <t>メンセキ</t>
    </rPh>
    <phoneticPr fontId="32"/>
  </si>
  <si>
    <t>補助金額
（千円）</t>
    <rPh sb="0" eb="2">
      <t>ホジョ</t>
    </rPh>
    <rPh sb="2" eb="4">
      <t>キンガク</t>
    </rPh>
    <rPh sb="6" eb="8">
      <t>センエン</t>
    </rPh>
    <phoneticPr fontId="32"/>
  </si>
  <si>
    <r>
      <t>18歳以下</t>
    </r>
    <r>
      <rPr>
        <sz val="10"/>
        <color rgb="FFFF0000"/>
        <rFont val="ＭＳ Ｐゴシック"/>
        <family val="3"/>
        <charset val="128"/>
        <scheme val="minor"/>
      </rPr>
      <t>（選択式）</t>
    </r>
    <rPh sb="2" eb="3">
      <t>サイ</t>
    </rPh>
    <rPh sb="3" eb="5">
      <t>イカ</t>
    </rPh>
    <phoneticPr fontId="32"/>
  </si>
  <si>
    <r>
      <t>18歳以下なしかつ婚姻10年</t>
    </r>
    <r>
      <rPr>
        <sz val="8"/>
        <color rgb="FFFF0000"/>
        <rFont val="ＭＳ Ｐゴシック"/>
        <family val="3"/>
        <charset val="128"/>
        <scheme val="minor"/>
      </rPr>
      <t>（選択式）</t>
    </r>
    <rPh sb="2" eb="3">
      <t>サイ</t>
    </rPh>
    <rPh sb="3" eb="5">
      <t>イカ</t>
    </rPh>
    <rPh sb="9" eb="11">
      <t>コンイン</t>
    </rPh>
    <rPh sb="13" eb="14">
      <t>ネン</t>
    </rPh>
    <phoneticPr fontId="32"/>
  </si>
  <si>
    <r>
      <t>近居（子育て世帯）</t>
    </r>
    <r>
      <rPr>
        <sz val="10"/>
        <color rgb="FFFF0000"/>
        <rFont val="ＭＳ Ｐゴシック"/>
        <family val="3"/>
        <charset val="128"/>
        <scheme val="minor"/>
      </rPr>
      <t>（選択式）</t>
    </r>
    <rPh sb="0" eb="2">
      <t>キンキョ</t>
    </rPh>
    <phoneticPr fontId="32"/>
  </si>
  <si>
    <r>
      <t>同居（子育て世帯）</t>
    </r>
    <r>
      <rPr>
        <sz val="10"/>
        <color rgb="FFFF0000"/>
        <rFont val="ＭＳ Ｐゴシック"/>
        <family val="3"/>
        <charset val="128"/>
        <scheme val="minor"/>
      </rPr>
      <t>（選択式）</t>
    </r>
    <rPh sb="0" eb="2">
      <t>ドウキョ</t>
    </rPh>
    <rPh sb="3" eb="5">
      <t>コソダ</t>
    </rPh>
    <rPh sb="6" eb="8">
      <t>セタイ</t>
    </rPh>
    <phoneticPr fontId="32"/>
  </si>
  <si>
    <r>
      <t>同居（親世帯）</t>
    </r>
    <r>
      <rPr>
        <sz val="10"/>
        <color rgb="FFFF0000"/>
        <rFont val="ＭＳ Ｐゴシック"/>
        <family val="3"/>
        <charset val="128"/>
        <scheme val="minor"/>
      </rPr>
      <t>（選択式）</t>
    </r>
    <rPh sb="0" eb="2">
      <t>ドウキョ</t>
    </rPh>
    <rPh sb="3" eb="4">
      <t>オヤ</t>
    </rPh>
    <rPh sb="4" eb="6">
      <t>セタイ</t>
    </rPh>
    <phoneticPr fontId="32"/>
  </si>
  <si>
    <t>大工
面積</t>
    <rPh sb="0" eb="2">
      <t>ダイク</t>
    </rPh>
    <rPh sb="3" eb="5">
      <t>メンセキ</t>
    </rPh>
    <phoneticPr fontId="32"/>
  </si>
  <si>
    <t>左官
面積</t>
    <rPh sb="0" eb="2">
      <t>サカン</t>
    </rPh>
    <rPh sb="3" eb="5">
      <t>メンセキ</t>
    </rPh>
    <phoneticPr fontId="32"/>
  </si>
  <si>
    <t>建具
面積</t>
    <rPh sb="0" eb="2">
      <t>タテグ</t>
    </rPh>
    <rPh sb="3" eb="5">
      <t>メンセキ</t>
    </rPh>
    <phoneticPr fontId="32"/>
  </si>
  <si>
    <t>補助金額計
（千円）</t>
    <rPh sb="0" eb="2">
      <t>ホジョ</t>
    </rPh>
    <rPh sb="2" eb="4">
      <t>キンガク</t>
    </rPh>
    <rPh sb="4" eb="5">
      <t>ケイ</t>
    </rPh>
    <rPh sb="7" eb="9">
      <t>センエン</t>
    </rPh>
    <phoneticPr fontId="32"/>
  </si>
  <si>
    <t>(千円）</t>
    <rPh sb="1" eb="3">
      <t>センエン</t>
    </rPh>
    <phoneticPr fontId="18"/>
  </si>
  <si>
    <t>着工</t>
    <rPh sb="0" eb="2">
      <t>チャッコウ</t>
    </rPh>
    <phoneticPr fontId="18"/>
  </si>
  <si>
    <t>完成</t>
    <rPh sb="0" eb="2">
      <t>カンセイ</t>
    </rPh>
    <phoneticPr fontId="18"/>
  </si>
  <si>
    <t>日付</t>
    <rPh sb="0" eb="2">
      <t>ヒヅケ</t>
    </rPh>
    <phoneticPr fontId="18"/>
  </si>
  <si>
    <t>金額</t>
    <rPh sb="0" eb="2">
      <t>キンガク</t>
    </rPh>
    <phoneticPr fontId="18"/>
  </si>
  <si>
    <t>社名等</t>
    <rPh sb="0" eb="2">
      <t>シャメイ</t>
    </rPh>
    <rPh sb="2" eb="3">
      <t>トウ</t>
    </rPh>
    <phoneticPr fontId="32"/>
  </si>
  <si>
    <t>所在地</t>
    <rPh sb="0" eb="3">
      <t>ショザイチ</t>
    </rPh>
    <phoneticPr fontId="32"/>
  </si>
  <si>
    <r>
      <t>事業者名称</t>
    </r>
    <r>
      <rPr>
        <sz val="10"/>
        <color rgb="FFFF0000"/>
        <rFont val="ＭＳ Ｐゴシック"/>
        <family val="3"/>
        <charset val="128"/>
        <scheme val="minor"/>
      </rPr>
      <t>（選択式）</t>
    </r>
    <rPh sb="0" eb="3">
      <t>ジギョウシャ</t>
    </rPh>
    <rPh sb="3" eb="5">
      <t>メイショウ</t>
    </rPh>
    <phoneticPr fontId="1"/>
  </si>
  <si>
    <t>（m2）</t>
  </si>
  <si>
    <t>（万円）</t>
    <rPh sb="1" eb="2">
      <t>マン</t>
    </rPh>
    <rPh sb="2" eb="3">
      <t>エン</t>
    </rPh>
    <phoneticPr fontId="32"/>
  </si>
  <si>
    <r>
      <t xml:space="preserve">要・不要
</t>
    </r>
    <r>
      <rPr>
        <sz val="10"/>
        <color rgb="FFFF0000"/>
        <rFont val="ＭＳ Ｐゴシック"/>
        <family val="3"/>
        <charset val="128"/>
        <scheme val="minor"/>
      </rPr>
      <t>（選択式）</t>
    </r>
    <rPh sb="0" eb="1">
      <t>ヨウ</t>
    </rPh>
    <rPh sb="2" eb="4">
      <t>フヨウ</t>
    </rPh>
    <phoneticPr fontId="32"/>
  </si>
  <si>
    <t>承認日</t>
    <rPh sb="0" eb="2">
      <t>ショウニン</t>
    </rPh>
    <phoneticPr fontId="32"/>
  </si>
  <si>
    <t>変更内容</t>
    <rPh sb="0" eb="2">
      <t>ヘンコウ</t>
    </rPh>
    <rPh sb="2" eb="4">
      <t>ナイヨウ</t>
    </rPh>
    <phoneticPr fontId="1"/>
  </si>
  <si>
    <r>
      <t>申請区分</t>
    </r>
    <r>
      <rPr>
        <sz val="10"/>
        <color rgb="FFFF0000"/>
        <rFont val="ＭＳ Ｐゴシック"/>
        <family val="3"/>
        <charset val="128"/>
        <scheme val="minor"/>
      </rPr>
      <t>（選択式）</t>
    </r>
    <phoneticPr fontId="1"/>
  </si>
  <si>
    <t>申請受付日</t>
    <phoneticPr fontId="1"/>
  </si>
  <si>
    <t>証明書発行日</t>
    <phoneticPr fontId="1"/>
  </si>
  <si>
    <t>証明書文書番号</t>
    <phoneticPr fontId="1"/>
  </si>
  <si>
    <t>住まいる交付決定通知の文書番号</t>
    <phoneticPr fontId="1"/>
  </si>
  <si>
    <t>補助金名</t>
    <phoneticPr fontId="1"/>
  </si>
  <si>
    <t>交付主体</t>
    <phoneticPr fontId="1"/>
  </si>
  <si>
    <r>
      <t>外皮平均熱貫流率(U</t>
    </r>
    <r>
      <rPr>
        <vertAlign val="subscript"/>
        <sz val="10"/>
        <rFont val="ＭＳ Ｐゴシック"/>
        <family val="3"/>
        <charset val="128"/>
        <scheme val="minor"/>
      </rPr>
      <t>A</t>
    </r>
    <r>
      <rPr>
        <sz val="10"/>
        <rFont val="ＭＳ Ｐゴシック"/>
        <family val="3"/>
        <charset val="128"/>
        <scheme val="minor"/>
      </rPr>
      <t>値)</t>
    </r>
    <rPh sb="0" eb="4">
      <t>ガイヒヘイキン</t>
    </rPh>
    <rPh sb="4" eb="8">
      <t>ネツカンリュウリツ</t>
    </rPh>
    <phoneticPr fontId="1"/>
  </si>
  <si>
    <r>
      <t>冷房期の平均日射熱取得率(η</t>
    </r>
    <r>
      <rPr>
        <vertAlign val="subscript"/>
        <sz val="10"/>
        <rFont val="ＭＳ Ｐゴシック"/>
        <family val="3"/>
        <charset val="128"/>
        <scheme val="minor"/>
      </rPr>
      <t>AC</t>
    </r>
    <r>
      <rPr>
        <sz val="10"/>
        <rFont val="ＭＳ Ｐゴシック"/>
        <family val="3"/>
        <charset val="128"/>
        <scheme val="minor"/>
      </rPr>
      <t>値)</t>
    </r>
    <phoneticPr fontId="1"/>
  </si>
  <si>
    <t>一次エネルギー消費量(BEI)</t>
    <phoneticPr fontId="1"/>
  </si>
  <si>
    <t>県産材を最も多く供給した製材所名</t>
    <rPh sb="0" eb="3">
      <t>ケンサンザイ</t>
    </rPh>
    <rPh sb="4" eb="5">
      <t>モット</t>
    </rPh>
    <rPh sb="6" eb="7">
      <t>オオ</t>
    </rPh>
    <rPh sb="8" eb="10">
      <t>キョウキュウ</t>
    </rPh>
    <rPh sb="12" eb="15">
      <t>セイザイショ</t>
    </rPh>
    <rPh sb="15" eb="16">
      <t>メイ</t>
    </rPh>
    <phoneticPr fontId="1"/>
  </si>
  <si>
    <t>実績補助金額
(千円)</t>
    <rPh sb="0" eb="2">
      <t>ジッセキ</t>
    </rPh>
    <rPh sb="2" eb="5">
      <t>ホジョキン</t>
    </rPh>
    <rPh sb="5" eb="6">
      <t>ガク</t>
    </rPh>
    <rPh sb="8" eb="10">
      <t>センエン</t>
    </rPh>
    <phoneticPr fontId="32"/>
  </si>
  <si>
    <t>確定額(交決と実績の小さい方）</t>
    <rPh sb="0" eb="2">
      <t>カクテイ</t>
    </rPh>
    <rPh sb="2" eb="3">
      <t>ガク</t>
    </rPh>
    <rPh sb="4" eb="5">
      <t>コウ</t>
    </rPh>
    <rPh sb="5" eb="6">
      <t>ケツ</t>
    </rPh>
    <rPh sb="7" eb="9">
      <t>ジッセキ</t>
    </rPh>
    <rPh sb="10" eb="11">
      <t>チイ</t>
    </rPh>
    <rPh sb="13" eb="14">
      <t>ホウ</t>
    </rPh>
    <phoneticPr fontId="1"/>
  </si>
  <si>
    <t>県産規格材を最も多く供給した製材所名</t>
    <rPh sb="0" eb="1">
      <t>アガタ</t>
    </rPh>
    <rPh sb="1" eb="2">
      <t>サン</t>
    </rPh>
    <rPh sb="2" eb="4">
      <t>キカク</t>
    </rPh>
    <rPh sb="4" eb="5">
      <t>ザイ</t>
    </rPh>
    <rPh sb="6" eb="7">
      <t>モット</t>
    </rPh>
    <rPh sb="8" eb="9">
      <t>オオ</t>
    </rPh>
    <rPh sb="10" eb="12">
      <t>キョウキュウ</t>
    </rPh>
    <rPh sb="14" eb="17">
      <t>セイザイショ</t>
    </rPh>
    <rPh sb="17" eb="18">
      <t>メイ</t>
    </rPh>
    <phoneticPr fontId="1"/>
  </si>
  <si>
    <t>機械等級区分を行った事業者名</t>
    <rPh sb="0" eb="2">
      <t>キカイ</t>
    </rPh>
    <rPh sb="2" eb="4">
      <t>トウキュウ</t>
    </rPh>
    <rPh sb="4" eb="6">
      <t>クブン</t>
    </rPh>
    <rPh sb="7" eb="8">
      <t>オコナ</t>
    </rPh>
    <rPh sb="10" eb="13">
      <t>ジギョウシャ</t>
    </rPh>
    <rPh sb="13" eb="14">
      <t>メイ</t>
    </rPh>
    <phoneticPr fontId="1"/>
  </si>
  <si>
    <t>内外装材を最も多く供給した製材所名</t>
    <rPh sb="0" eb="1">
      <t>ナイ</t>
    </rPh>
    <rPh sb="1" eb="4">
      <t>ガイソウザイ</t>
    </rPh>
    <rPh sb="5" eb="6">
      <t>モット</t>
    </rPh>
    <rPh sb="7" eb="8">
      <t>オオ</t>
    </rPh>
    <rPh sb="9" eb="11">
      <t>キョウキュウ</t>
    </rPh>
    <rPh sb="13" eb="16">
      <t>セイザイショ</t>
    </rPh>
    <rPh sb="16" eb="17">
      <t>メイ</t>
    </rPh>
    <phoneticPr fontId="1"/>
  </si>
  <si>
    <t>木製建具事業者名</t>
    <rPh sb="0" eb="2">
      <t>モクセイ</t>
    </rPh>
    <rPh sb="2" eb="4">
      <t>タテグ</t>
    </rPh>
    <rPh sb="4" eb="7">
      <t>ジギョウシャ</t>
    </rPh>
    <rPh sb="7" eb="8">
      <t>メイ</t>
    </rPh>
    <phoneticPr fontId="1"/>
  </si>
  <si>
    <t>畳事業者名</t>
    <rPh sb="0" eb="1">
      <t>タタミ</t>
    </rPh>
    <rPh sb="1" eb="4">
      <t>ジギョウシャ</t>
    </rPh>
    <rPh sb="4" eb="5">
      <t>メイ</t>
    </rPh>
    <phoneticPr fontId="1"/>
  </si>
  <si>
    <t>構造材を最も多く供給した製材所名</t>
    <rPh sb="0" eb="3">
      <t>コウゾウザイ</t>
    </rPh>
    <rPh sb="4" eb="5">
      <t>モット</t>
    </rPh>
    <rPh sb="6" eb="7">
      <t>オオ</t>
    </rPh>
    <rPh sb="8" eb="10">
      <t>キョウキュウ</t>
    </rPh>
    <rPh sb="12" eb="15">
      <t>セイザイショ</t>
    </rPh>
    <rPh sb="15" eb="16">
      <t>メイ</t>
    </rPh>
    <phoneticPr fontId="1"/>
  </si>
  <si>
    <t>18歳未満</t>
    <rPh sb="2" eb="3">
      <t>サイ</t>
    </rPh>
    <rPh sb="3" eb="5">
      <t>ミマン</t>
    </rPh>
    <phoneticPr fontId="32"/>
  </si>
  <si>
    <t>婚姻後10年以内</t>
    <rPh sb="0" eb="3">
      <t>コンインゴ</t>
    </rPh>
    <rPh sb="5" eb="6">
      <t>ネン</t>
    </rPh>
    <rPh sb="6" eb="8">
      <t>イナイ</t>
    </rPh>
    <phoneticPr fontId="32"/>
  </si>
  <si>
    <t>有
有なら1を選択</t>
    <rPh sb="0" eb="1">
      <t>ア</t>
    </rPh>
    <rPh sb="3" eb="4">
      <t>ア</t>
    </rPh>
    <rPh sb="8" eb="10">
      <t>センタク</t>
    </rPh>
    <phoneticPr fontId="32"/>
  </si>
  <si>
    <t>近居（子育て世帯）</t>
    <rPh sb="0" eb="2">
      <t>キンキョ</t>
    </rPh>
    <phoneticPr fontId="32"/>
  </si>
  <si>
    <t>同居（子育て世帯）</t>
    <rPh sb="0" eb="2">
      <t>ドウキョ</t>
    </rPh>
    <rPh sb="3" eb="5">
      <t>コソダ</t>
    </rPh>
    <rPh sb="6" eb="8">
      <t>セタイ</t>
    </rPh>
    <phoneticPr fontId="32"/>
  </si>
  <si>
    <t>同居（親世帯）</t>
    <rPh sb="0" eb="2">
      <t>ドウキョ</t>
    </rPh>
    <rPh sb="3" eb="4">
      <t>オヤ</t>
    </rPh>
    <rPh sb="4" eb="6">
      <t>セタイ</t>
    </rPh>
    <phoneticPr fontId="32"/>
  </si>
  <si>
    <t>(区分）
実績・取消・取下</t>
    <rPh sb="1" eb="3">
      <t>クブン</t>
    </rPh>
    <rPh sb="5" eb="7">
      <t>ジッセキ</t>
    </rPh>
    <rPh sb="8" eb="10">
      <t>トリケシ</t>
    </rPh>
    <rPh sb="11" eb="13">
      <t>トリサ</t>
    </rPh>
    <phoneticPr fontId="32"/>
  </si>
  <si>
    <r>
      <t xml:space="preserve">実績報告日
</t>
    </r>
    <r>
      <rPr>
        <sz val="10"/>
        <color indexed="12"/>
        <rFont val="ＭＳ Ｐゴシック"/>
        <family val="3"/>
        <charset val="128"/>
      </rPr>
      <t>又は取下日等</t>
    </r>
    <rPh sb="0" eb="2">
      <t>ジッセキ</t>
    </rPh>
    <rPh sb="2" eb="4">
      <t>ホウコク</t>
    </rPh>
    <rPh sb="4" eb="5">
      <t>ビ</t>
    </rPh>
    <rPh sb="6" eb="7">
      <t>マタ</t>
    </rPh>
    <rPh sb="8" eb="10">
      <t>トリサ</t>
    </rPh>
    <rPh sb="10" eb="11">
      <t>ヒ</t>
    </rPh>
    <rPh sb="11" eb="12">
      <t>トウ</t>
    </rPh>
    <phoneticPr fontId="32"/>
  </si>
  <si>
    <t>額の
確定日</t>
    <rPh sb="0" eb="1">
      <t>ガク</t>
    </rPh>
    <rPh sb="3" eb="5">
      <t>カクテイ</t>
    </rPh>
    <rPh sb="5" eb="6">
      <t>ビ</t>
    </rPh>
    <phoneticPr fontId="18"/>
  </si>
  <si>
    <t>支払日</t>
    <rPh sb="0" eb="3">
      <t>シハライビ</t>
    </rPh>
    <phoneticPr fontId="32"/>
  </si>
  <si>
    <t>交付決定額</t>
    <rPh sb="0" eb="2">
      <t>コウフ</t>
    </rPh>
    <rPh sb="2" eb="4">
      <t>ケッテイ</t>
    </rPh>
    <rPh sb="4" eb="5">
      <t>ガク</t>
    </rPh>
    <phoneticPr fontId="32"/>
  </si>
  <si>
    <t>確定・支払金額
（千円）</t>
    <rPh sb="0" eb="2">
      <t>カクテイ</t>
    </rPh>
    <rPh sb="3" eb="5">
      <t>シハライ</t>
    </rPh>
    <rPh sb="5" eb="7">
      <t>キンガク</t>
    </rPh>
    <rPh sb="9" eb="11">
      <t>センエン</t>
    </rPh>
    <phoneticPr fontId="18"/>
  </si>
  <si>
    <t>実績減
（千円）</t>
    <rPh sb="0" eb="2">
      <t>ジッセキ</t>
    </rPh>
    <rPh sb="2" eb="3">
      <t>ゲン</t>
    </rPh>
    <rPh sb="5" eb="7">
      <t>センエン</t>
    </rPh>
    <phoneticPr fontId="18"/>
  </si>
  <si>
    <t>例1</t>
    <rPh sb="0" eb="1">
      <t>レイ</t>
    </rPh>
    <phoneticPr fontId="1"/>
  </si>
  <si>
    <t>新築</t>
  </si>
  <si>
    <t>鳥取　一郎</t>
    <rPh sb="0" eb="2">
      <t>トットリ</t>
    </rPh>
    <rPh sb="3" eb="5">
      <t>イチロウ</t>
    </rPh>
    <phoneticPr fontId="1"/>
  </si>
  <si>
    <t>680-8570</t>
    <phoneticPr fontId="1"/>
  </si>
  <si>
    <t>0857-26-7408</t>
    <phoneticPr fontId="1"/>
  </si>
  <si>
    <t>鳥取市</t>
  </si>
  <si>
    <t>東町１丁目271</t>
    <rPh sb="0" eb="2">
      <t>ヒガシマチ</t>
    </rPh>
    <phoneticPr fontId="1"/>
  </si>
  <si>
    <t>和瓦</t>
  </si>
  <si>
    <t>珪藻土塗</t>
  </si>
  <si>
    <t>月</t>
    <rPh sb="0" eb="1">
      <t>ガツ</t>
    </rPh>
    <phoneticPr fontId="1"/>
  </si>
  <si>
    <t>株式会社とっとり</t>
    <rPh sb="0" eb="4">
      <t>カブシキガイシャ</t>
    </rPh>
    <phoneticPr fontId="1"/>
  </si>
  <si>
    <t>鳥取市立川町６丁目176</t>
    <rPh sb="0" eb="3">
      <t>トットリシ</t>
    </rPh>
    <rPh sb="3" eb="5">
      <t>タチカワ</t>
    </rPh>
    <rPh sb="5" eb="6">
      <t>チョウ</t>
    </rPh>
    <rPh sb="7" eb="9">
      <t>チョウメ</t>
    </rPh>
    <phoneticPr fontId="1"/>
  </si>
  <si>
    <t>久大</t>
  </si>
  <si>
    <t>琴浦製材所</t>
    <rPh sb="0" eb="2">
      <t>コトウラ</t>
    </rPh>
    <rPh sb="2" eb="5">
      <t>セイザイショ</t>
    </rPh>
    <phoneticPr fontId="1"/>
  </si>
  <si>
    <t>境港製材所</t>
    <rPh sb="0" eb="2">
      <t>サカイミナト</t>
    </rPh>
    <rPh sb="2" eb="5">
      <t>セイザイショ</t>
    </rPh>
    <phoneticPr fontId="1"/>
  </si>
  <si>
    <t>北栄製材所</t>
    <rPh sb="0" eb="2">
      <t>ホクエイ</t>
    </rPh>
    <rPh sb="2" eb="5">
      <t>セイザイショ</t>
    </rPh>
    <phoneticPr fontId="1"/>
  </si>
  <si>
    <t>智頭畳店</t>
    <rPh sb="0" eb="2">
      <t>チズ</t>
    </rPh>
    <rPh sb="2" eb="3">
      <t>タタミ</t>
    </rPh>
    <rPh sb="3" eb="4">
      <t>ミセ</t>
    </rPh>
    <phoneticPr fontId="1"/>
  </si>
  <si>
    <t>実績</t>
  </si>
  <si>
    <t>例2</t>
    <rPh sb="0" eb="1">
      <t>レイ</t>
    </rPh>
    <phoneticPr fontId="1"/>
  </si>
  <si>
    <t>改修</t>
  </si>
  <si>
    <t>鳥取　太郎</t>
    <rPh sb="0" eb="2">
      <t>トットリ</t>
    </rPh>
    <rPh sb="3" eb="5">
      <t>タロウ</t>
    </rPh>
    <phoneticPr fontId="1"/>
  </si>
  <si>
    <t>680-0300</t>
    <phoneticPr fontId="1"/>
  </si>
  <si>
    <t>0857-26-7408</t>
  </si>
  <si>
    <t>郡家100番地</t>
    <rPh sb="5" eb="7">
      <t>バンチ</t>
    </rPh>
    <phoneticPr fontId="1"/>
  </si>
  <si>
    <t>大山</t>
  </si>
  <si>
    <t>不要</t>
  </si>
  <si>
    <t>八頭製材所</t>
    <rPh sb="0" eb="2">
      <t>ヤズ</t>
    </rPh>
    <rPh sb="2" eb="5">
      <t>セイザイショ</t>
    </rPh>
    <phoneticPr fontId="1"/>
  </si>
  <si>
    <t>日野製材所</t>
    <rPh sb="0" eb="2">
      <t>ヒノ</t>
    </rPh>
    <rPh sb="2" eb="5">
      <t>セイザイショ</t>
    </rPh>
    <phoneticPr fontId="1"/>
  </si>
  <si>
    <t>日南建具店</t>
    <rPh sb="0" eb="2">
      <t>ニチナン</t>
    </rPh>
    <rPh sb="2" eb="4">
      <t>タテグ</t>
    </rPh>
    <rPh sb="4" eb="5">
      <t>テン</t>
    </rPh>
    <phoneticPr fontId="1"/>
  </si>
  <si>
    <t>例3</t>
    <rPh sb="0" eb="1">
      <t>レイ</t>
    </rPh>
    <phoneticPr fontId="1"/>
  </si>
  <si>
    <t>登録</t>
  </si>
  <si>
    <t>680-8570</t>
  </si>
  <si>
    <t>0857-20-3649</t>
  </si>
  <si>
    <t>糀町１丁目160</t>
    <phoneticPr fontId="1"/>
  </si>
  <si>
    <t>ミヨシ</t>
  </si>
  <si>
    <t>倉吉　次郎</t>
    <rPh sb="0" eb="2">
      <t>クラヨシ</t>
    </rPh>
    <rPh sb="3" eb="5">
      <t>ジロウ</t>
    </rPh>
    <phoneticPr fontId="1"/>
  </si>
  <si>
    <t>658-0072</t>
    <phoneticPr fontId="1"/>
  </si>
  <si>
    <t>078-000-0000</t>
    <phoneticPr fontId="1"/>
  </si>
  <si>
    <t>米子市</t>
  </si>
  <si>
    <t>糀町１丁目160</t>
    <phoneticPr fontId="1"/>
  </si>
  <si>
    <t>江府製材所</t>
    <rPh sb="0" eb="2">
      <t>コウフ</t>
    </rPh>
    <rPh sb="2" eb="5">
      <t>セイザイショ</t>
    </rPh>
    <phoneticPr fontId="1"/>
  </si>
  <si>
    <t>倉吉プレカット</t>
    <rPh sb="0" eb="2">
      <t>クラヨシ</t>
    </rPh>
    <phoneticPr fontId="1"/>
  </si>
  <si>
    <t>南部製材所</t>
    <rPh sb="0" eb="2">
      <t>ナンブ</t>
    </rPh>
    <rPh sb="2" eb="5">
      <t>セイザイショ</t>
    </rPh>
    <phoneticPr fontId="1"/>
  </si>
  <si>
    <t>↑都道府県欄に全住所を一括掲載（R5の台帳からセル結合</t>
    <rPh sb="1" eb="5">
      <t>トドウフケン</t>
    </rPh>
    <rPh sb="5" eb="6">
      <t>ラン</t>
    </rPh>
    <rPh sb="7" eb="8">
      <t>ゼン</t>
    </rPh>
    <rPh sb="8" eb="10">
      <t>ジュウショ</t>
    </rPh>
    <rPh sb="11" eb="13">
      <t>イッカツ</t>
    </rPh>
    <rPh sb="13" eb="15">
      <t>ケイサイ</t>
    </rPh>
    <rPh sb="19" eb="21">
      <t>ダイチョウ</t>
    </rPh>
    <rPh sb="25" eb="27">
      <t>ケツゴウ</t>
    </rPh>
    <phoneticPr fontId="1"/>
  </si>
  <si>
    <t>合計</t>
    <rPh sb="0" eb="2">
      <t>ゴウケイ</t>
    </rPh>
    <phoneticPr fontId="1"/>
  </si>
  <si>
    <t>入力行</t>
    <rPh sb="0" eb="2">
      <t>ニュウリョク</t>
    </rPh>
    <rPh sb="2" eb="3">
      <t>ギョウ</t>
    </rPh>
    <phoneticPr fontId="1"/>
  </si>
  <si>
    <t/>
  </si>
  <si>
    <t>未来型</t>
    <rPh sb="0" eb="3">
      <t>ミライガタ</t>
    </rPh>
    <phoneticPr fontId="1"/>
  </si>
  <si>
    <t>内外装材に県産材を20㎡以上使用する。</t>
    <rPh sb="0" eb="4">
      <t>ナイガイソウザイ</t>
    </rPh>
    <rPh sb="5" eb="8">
      <t>ケンサンザイ</t>
    </rPh>
    <rPh sb="12" eb="14">
      <t>イジョウ</t>
    </rPh>
    <rPh sb="14" eb="16">
      <t>シヨウ</t>
    </rPh>
    <phoneticPr fontId="1"/>
  </si>
  <si>
    <t>〇</t>
  </si>
  <si>
    <t>とっとり未来型省エネ住宅特別促進事業補助金</t>
    <rPh sb="4" eb="6">
      <t>ミライ</t>
    </rPh>
    <rPh sb="6" eb="7">
      <t>ガタ</t>
    </rPh>
    <rPh sb="7" eb="8">
      <t>ショウ</t>
    </rPh>
    <rPh sb="10" eb="12">
      <t>ジュウタク</t>
    </rPh>
    <rPh sb="12" eb="14">
      <t>トクベツ</t>
    </rPh>
    <rPh sb="14" eb="16">
      <t>ソクシン</t>
    </rPh>
    <rPh sb="16" eb="18">
      <t>ジギョウ</t>
    </rPh>
    <rPh sb="18" eb="21">
      <t>ホジョキン</t>
    </rPh>
    <phoneticPr fontId="1"/>
  </si>
  <si>
    <t>添付書類</t>
    <rPh sb="0" eb="4">
      <t>テンプショルイ</t>
    </rPh>
    <phoneticPr fontId="1"/>
  </si>
  <si>
    <t>　　　　　　　とっとり未来型省エネ住宅特別促進事業建設等報告書【新築用】</t>
    <rPh sb="25" eb="27">
      <t>ケンセツ</t>
    </rPh>
    <rPh sb="27" eb="28">
      <t>トウ</t>
    </rPh>
    <rPh sb="28" eb="30">
      <t>ホウコク</t>
    </rPh>
    <rPh sb="30" eb="31">
      <t>ショ</t>
    </rPh>
    <rPh sb="32" eb="34">
      <t>シンチク</t>
    </rPh>
    <rPh sb="34" eb="35">
      <t>ヨウ</t>
    </rPh>
    <phoneticPr fontId="1"/>
  </si>
  <si>
    <t>　　　　　　　とっとり住まいる支援事業兼</t>
    <rPh sb="19" eb="20">
      <t>ケン</t>
    </rPh>
    <phoneticPr fontId="1"/>
  </si>
  <si>
    <t>　私は、とっとり住まいる支援事業補助金交付要綱及びとっとり未来型省エネ住宅特別促進事業補助金交付要綱を熟読し、交付申請（実績報告）内容について下記のとおり確認しました。</t>
    <rPh sb="1" eb="2">
      <t>ワタシ</t>
    </rPh>
    <rPh sb="8" eb="9">
      <t>ス</t>
    </rPh>
    <rPh sb="12" eb="16">
      <t>シエンジギョウ</t>
    </rPh>
    <rPh sb="16" eb="19">
      <t>ホジョキン</t>
    </rPh>
    <rPh sb="19" eb="21">
      <t>コウフ</t>
    </rPh>
    <rPh sb="21" eb="23">
      <t>ヨウコウ</t>
    </rPh>
    <rPh sb="51" eb="53">
      <t>ジュクドク</t>
    </rPh>
    <rPh sb="55" eb="57">
      <t>コウフ</t>
    </rPh>
    <rPh sb="57" eb="59">
      <t>シンセイ</t>
    </rPh>
    <rPh sb="60" eb="62">
      <t>ジッセキ</t>
    </rPh>
    <rPh sb="62" eb="64">
      <t>ホウコク</t>
    </rPh>
    <rPh sb="65" eb="67">
      <t>ナイヨウ</t>
    </rPh>
    <phoneticPr fontId="1"/>
  </si>
  <si>
    <t>とっとり住まいる支援事業兼とっとり未来型省エネ住宅特別促進事業建築等報告書【新築用】</t>
    <rPh sb="12" eb="13">
      <t>ケン</t>
    </rPh>
    <rPh sb="31" eb="34">
      <t>ケンチクナド</t>
    </rPh>
    <rPh sb="34" eb="36">
      <t>ホウコク</t>
    </rPh>
    <phoneticPr fontId="1"/>
  </si>
  <si>
    <t>・とっとり住まいる支援事業兼とっとり未来型省エネ住宅特別促進事業</t>
    <phoneticPr fontId="1"/>
  </si>
  <si>
    <t>　建設等報告書（様式第６号）</t>
    <phoneticPr fontId="1"/>
  </si>
  <si>
    <t>あなたが補助金実績報告で提出する書類は次のとおりです。</t>
    <rPh sb="4" eb="7">
      <t>ホジョキン</t>
    </rPh>
    <rPh sb="7" eb="11">
      <t>ジッセキホウコク</t>
    </rPh>
    <rPh sb="12" eb="14">
      <t>テイシュツ</t>
    </rPh>
    <rPh sb="16" eb="18">
      <t>ショルイ</t>
    </rPh>
    <rPh sb="19" eb="20">
      <t>ツギ</t>
    </rPh>
    <phoneticPr fontId="1"/>
  </si>
  <si>
    <t>　私は、とっとり住まいる支援事業補助金交付要綱及びとっとり未来型省エネ住宅特別促進事業補助金交付要綱を熟読し、実績報告内容について上記のとおり確認しました。</t>
    <rPh sb="1" eb="2">
      <t>ワタシ</t>
    </rPh>
    <rPh sb="8" eb="9">
      <t>ス</t>
    </rPh>
    <rPh sb="12" eb="16">
      <t>シエンジギョウ</t>
    </rPh>
    <rPh sb="16" eb="19">
      <t>ホジョキン</t>
    </rPh>
    <rPh sb="19" eb="21">
      <t>コウフ</t>
    </rPh>
    <rPh sb="21" eb="23">
      <t>ヨウコウ</t>
    </rPh>
    <rPh sb="51" eb="53">
      <t>ジュクドク</t>
    </rPh>
    <rPh sb="55" eb="57">
      <t>ジッセキ</t>
    </rPh>
    <rPh sb="57" eb="59">
      <t>ホウコク</t>
    </rPh>
    <rPh sb="59" eb="61">
      <t>ナイヨウ</t>
    </rPh>
    <rPh sb="65" eb="66">
      <t>ウエ</t>
    </rPh>
    <phoneticPr fontId="1"/>
  </si>
  <si>
    <t>住居表示</t>
    <rPh sb="0" eb="2">
      <t>ジュウキョ</t>
    </rPh>
    <rPh sb="2" eb="4">
      <t>ヒョウジ</t>
    </rPh>
    <phoneticPr fontId="1"/>
  </si>
  <si>
    <t>「地域型グリーン化事業」の補助対象経費に県産材の材料代を含めていない。</t>
    <rPh sb="1" eb="3">
      <t>チイキ</t>
    </rPh>
    <rPh sb="3" eb="4">
      <t>ガタ</t>
    </rPh>
    <rPh sb="8" eb="9">
      <t>カ</t>
    </rPh>
    <rPh sb="9" eb="11">
      <t>ジギョウ</t>
    </rPh>
    <rPh sb="13" eb="19">
      <t>ホジョタイショウケイヒ</t>
    </rPh>
    <rPh sb="20" eb="23">
      <t>ケンサンザイ</t>
    </rPh>
    <rPh sb="24" eb="27">
      <t>ザイリョウダイ</t>
    </rPh>
    <rPh sb="28" eb="29">
      <t>フク</t>
    </rPh>
    <phoneticPr fontId="1"/>
  </si>
  <si>
    <t>　</t>
  </si>
  <si>
    <t>とっとり未来型省エネ住宅特別促進事業補助金交付申請書兼実績報告書</t>
    <rPh sb="4" eb="7">
      <t>ミライガタ</t>
    </rPh>
    <rPh sb="7" eb="8">
      <t>ショウ</t>
    </rPh>
    <rPh sb="10" eb="12">
      <t>ジュウタク</t>
    </rPh>
    <rPh sb="12" eb="14">
      <t>トクベツ</t>
    </rPh>
    <rPh sb="14" eb="16">
      <t>ソクシン</t>
    </rPh>
    <rPh sb="16" eb="18">
      <t>ジギョウ</t>
    </rPh>
    <rPh sb="18" eb="21">
      <t>ホジョキン</t>
    </rPh>
    <rPh sb="21" eb="26">
      <t>コウフシンセイショ</t>
    </rPh>
    <rPh sb="26" eb="27">
      <t>ケン</t>
    </rPh>
    <rPh sb="27" eb="29">
      <t>ジッセキ</t>
    </rPh>
    <rPh sb="29" eb="32">
      <t>ホウコクショ</t>
    </rPh>
    <phoneticPr fontId="1"/>
  </si>
  <si>
    <t>交付申請</t>
    <rPh sb="0" eb="2">
      <t>コウフ</t>
    </rPh>
    <rPh sb="2" eb="4">
      <t>シンセイ</t>
    </rPh>
    <phoneticPr fontId="1"/>
  </si>
  <si>
    <t>実績報告</t>
    <rPh sb="0" eb="4">
      <t>ジッセキホウコク</t>
    </rPh>
    <phoneticPr fontId="1"/>
  </si>
  <si>
    <t>交付申請額</t>
    <rPh sb="0" eb="2">
      <t>コウフ</t>
    </rPh>
    <rPh sb="2" eb="4">
      <t>シンセイ</t>
    </rPh>
    <rPh sb="4" eb="5">
      <t>ガク</t>
    </rPh>
    <phoneticPr fontId="1"/>
  </si>
  <si>
    <t>交付申請</t>
    <rPh sb="0" eb="4">
      <t>コウフシンセイ</t>
    </rPh>
    <phoneticPr fontId="1"/>
  </si>
  <si>
    <t>とっとり住まいる支援事業補助金交付申請書兼実績報告書</t>
    <rPh sb="4" eb="5">
      <t>ス</t>
    </rPh>
    <rPh sb="8" eb="10">
      <t>シエン</t>
    </rPh>
    <rPh sb="10" eb="12">
      <t>ジギョウ</t>
    </rPh>
    <rPh sb="12" eb="15">
      <t>ホジョキン</t>
    </rPh>
    <rPh sb="15" eb="20">
      <t>コウフシンセイショ</t>
    </rPh>
    <rPh sb="20" eb="21">
      <t>ケン</t>
    </rPh>
    <rPh sb="21" eb="23">
      <t>ジッセキ</t>
    </rPh>
    <rPh sb="23" eb="26">
      <t>ホウコクショ</t>
    </rPh>
    <phoneticPr fontId="1"/>
  </si>
  <si>
    <t>　下記のとおり、補助金の交付を受けたいので、鳥取県補助金等交付規則第５条の規定により、関係書類を添えて申請します。</t>
    <phoneticPr fontId="1"/>
  </si>
  <si>
    <t>　下記のとおり、補助金の交付を受けたいので、鳥取県補助金等交付規則第５条の規定により、関係書類を添えて申請します。</t>
    <phoneticPr fontId="1"/>
  </si>
  <si>
    <t>登録番号</t>
    <rPh sb="0" eb="4">
      <t>トウロクバンゴウ</t>
    </rPh>
    <phoneticPr fontId="1"/>
  </si>
  <si>
    <t>←登録通知書の番号を記入してください。</t>
    <rPh sb="1" eb="6">
      <t>トウロクツウチショ</t>
    </rPh>
    <rPh sb="7" eb="9">
      <t>バンゴウ</t>
    </rPh>
    <rPh sb="10" eb="12">
      <t>キニュウ</t>
    </rPh>
    <phoneticPr fontId="1"/>
  </si>
  <si>
    <t>第</t>
    <rPh sb="0" eb="1">
      <t>ダイ</t>
    </rPh>
    <phoneticPr fontId="1"/>
  </si>
  <si>
    <t>号</t>
    <rPh sb="0" eb="1">
      <t>ゴウ</t>
    </rPh>
    <phoneticPr fontId="1"/>
  </si>
  <si>
    <t>③県産JAS製材の使用材積</t>
    <rPh sb="1" eb="3">
      <t>ケンサン</t>
    </rPh>
    <rPh sb="6" eb="7">
      <t>セイ</t>
    </rPh>
    <rPh sb="7" eb="8">
      <t>ザイ</t>
    </rPh>
    <rPh sb="9" eb="11">
      <t>シヨウ</t>
    </rPh>
    <rPh sb="11" eb="13">
      <t>ザイセキ</t>
    </rPh>
    <phoneticPr fontId="1"/>
  </si>
  <si>
    <t>横架材</t>
    <rPh sb="0" eb="3">
      <t>オウカザイ</t>
    </rPh>
    <phoneticPr fontId="1"/>
  </si>
  <si>
    <t>横架材以外</t>
    <rPh sb="0" eb="3">
      <t>オウカザイ</t>
    </rPh>
    <rPh sb="3" eb="5">
      <t>イガイ</t>
    </rPh>
    <phoneticPr fontId="1"/>
  </si>
  <si>
    <t>＜実績報告時の提出書類＞鳥取県産材活用協議会が発行する県産材の産地証明書の写し</t>
    <rPh sb="1" eb="3">
      <t>ジッセキ</t>
    </rPh>
    <rPh sb="3" eb="5">
      <t>ホウコク</t>
    </rPh>
    <rPh sb="5" eb="6">
      <t>ジ</t>
    </rPh>
    <rPh sb="7" eb="9">
      <t>テイシュツ</t>
    </rPh>
    <rPh sb="9" eb="11">
      <t>ショルイ</t>
    </rPh>
    <rPh sb="27" eb="28">
      <t>ケン</t>
    </rPh>
    <rPh sb="28" eb="30">
      <t>サンザイ</t>
    </rPh>
    <rPh sb="31" eb="33">
      <t>サンチ</t>
    </rPh>
    <rPh sb="33" eb="36">
      <t>ショウメイショ</t>
    </rPh>
    <rPh sb="37" eb="38">
      <t>ウツ</t>
    </rPh>
    <phoneticPr fontId="1"/>
  </si>
  <si>
    <t>＜実績報告時の提出書類＞鳥取県木材協同組合連合会が発行する日本農林規格県産材</t>
    <rPh sb="1" eb="3">
      <t>ジッセキ</t>
    </rPh>
    <rPh sb="3" eb="5">
      <t>ホウコク</t>
    </rPh>
    <rPh sb="5" eb="6">
      <t>ジ</t>
    </rPh>
    <rPh sb="7" eb="9">
      <t>テイシュツ</t>
    </rPh>
    <rPh sb="9" eb="11">
      <t>ショルイ</t>
    </rPh>
    <phoneticPr fontId="1"/>
  </si>
  <si>
    <t>（ＪＡＳ格付及び含水率20%以下）であることを証明する書類等</t>
    <rPh sb="4" eb="6">
      <t>カクヅケ</t>
    </rPh>
    <rPh sb="6" eb="7">
      <t>オヨ</t>
    </rPh>
    <rPh sb="8" eb="11">
      <t>ガンスイリツ</t>
    </rPh>
    <rPh sb="14" eb="16">
      <t>イカ</t>
    </rPh>
    <rPh sb="23" eb="25">
      <t>ショウメイ</t>
    </rPh>
    <rPh sb="27" eb="29">
      <t>ショルイ</t>
    </rPh>
    <rPh sb="29" eb="30">
      <t>ナド</t>
    </rPh>
    <phoneticPr fontId="1"/>
  </si>
  <si>
    <r>
      <t>・</t>
    </r>
    <r>
      <rPr>
        <sz val="9"/>
        <color rgb="FFFF0000"/>
        <rFont val="ＭＳ Ｐ明朝"/>
        <family val="1"/>
        <charset val="128"/>
      </rPr>
      <t>含水率20%以下</t>
    </r>
    <r>
      <rPr>
        <sz val="9"/>
        <color theme="1"/>
        <rFont val="ＭＳ Ｐ明朝"/>
        <family val="1"/>
        <charset val="128"/>
      </rPr>
      <t>の県産内外装材（木塀、門含む。）を１m2以上使用する場合、</t>
    </r>
    <r>
      <rPr>
        <sz val="9"/>
        <color rgb="FFFF0000"/>
        <rFont val="ＭＳ Ｐ明朝"/>
        <family val="1"/>
        <charset val="128"/>
      </rPr>
      <t>見付面積</t>
    </r>
    <r>
      <rPr>
        <sz val="9"/>
        <color theme="1"/>
        <rFont val="ＭＳ Ｐ明朝"/>
        <family val="1"/>
        <charset val="128"/>
      </rPr>
      <t>１m2につき３千円が交付されます。</t>
    </r>
    <rPh sb="1" eb="4">
      <t>ガンスイリツ</t>
    </rPh>
    <rPh sb="7" eb="9">
      <t>イカ</t>
    </rPh>
    <rPh sb="10" eb="12">
      <t>ケンサン</t>
    </rPh>
    <rPh sb="12" eb="13">
      <t>ナイ</t>
    </rPh>
    <rPh sb="13" eb="16">
      <t>ガイソウザイ</t>
    </rPh>
    <rPh sb="17" eb="18">
      <t>モク</t>
    </rPh>
    <rPh sb="18" eb="19">
      <t>ベイ</t>
    </rPh>
    <rPh sb="20" eb="21">
      <t>モン</t>
    </rPh>
    <rPh sb="21" eb="22">
      <t>フク</t>
    </rPh>
    <rPh sb="29" eb="31">
      <t>イジョウ</t>
    </rPh>
    <rPh sb="31" eb="33">
      <t>シヨウ</t>
    </rPh>
    <rPh sb="35" eb="37">
      <t>バアイ</t>
    </rPh>
    <rPh sb="38" eb="40">
      <t>ミツケ</t>
    </rPh>
    <rPh sb="40" eb="42">
      <t>メンセキ</t>
    </rPh>
    <rPh sb="49" eb="51">
      <t>センエン</t>
    </rPh>
    <rPh sb="52" eb="54">
      <t>コウフ</t>
    </rPh>
    <phoneticPr fontId="1"/>
  </si>
  <si>
    <t>・県産CLT材、県産内外装材、県産木塀の上限額は20万円になります。</t>
    <rPh sb="1" eb="3">
      <t>ケンサン</t>
    </rPh>
    <rPh sb="6" eb="7">
      <t>ザイ</t>
    </rPh>
    <rPh sb="8" eb="10">
      <t>ケンサン</t>
    </rPh>
    <rPh sb="10" eb="11">
      <t>ナイ</t>
    </rPh>
    <rPh sb="11" eb="14">
      <t>ガイソウザイ</t>
    </rPh>
    <rPh sb="15" eb="17">
      <t>ケンサン</t>
    </rPh>
    <rPh sb="17" eb="18">
      <t>モク</t>
    </rPh>
    <rPh sb="18" eb="19">
      <t>ベイ</t>
    </rPh>
    <rPh sb="20" eb="23">
      <t>ジョウゲンガク</t>
    </rPh>
    <rPh sb="26" eb="28">
      <t>マンエン</t>
    </rPh>
    <phoneticPr fontId="1"/>
  </si>
  <si>
    <t>横架材
使用量
(m3)</t>
    <rPh sb="0" eb="3">
      <t>オウカザイ</t>
    </rPh>
    <rPh sb="4" eb="7">
      <t>シヨウリョウ</t>
    </rPh>
    <phoneticPr fontId="32"/>
  </si>
  <si>
    <t>横架材以外
使用量
(m3)</t>
    <rPh sb="0" eb="3">
      <t>オウカザイ</t>
    </rPh>
    <rPh sb="3" eb="5">
      <t>イガイ</t>
    </rPh>
    <rPh sb="6" eb="9">
      <t>シヨウリョウ</t>
    </rPh>
    <phoneticPr fontId="32"/>
  </si>
  <si>
    <t>県産JAS製材</t>
    <rPh sb="0" eb="2">
      <t>ケンサン</t>
    </rPh>
    <rPh sb="5" eb="7">
      <t>セイザイ</t>
    </rPh>
    <phoneticPr fontId="1"/>
  </si>
  <si>
    <t>鳥取県産材活用協議会が発行する県産材の産地証明書の写し</t>
    <rPh sb="3" eb="5">
      <t>サンザイ</t>
    </rPh>
    <rPh sb="5" eb="7">
      <t>カツヨウ</t>
    </rPh>
    <rPh sb="7" eb="10">
      <t>キョウギカイ</t>
    </rPh>
    <rPh sb="15" eb="18">
      <t>ケンサンザイ</t>
    </rPh>
    <rPh sb="19" eb="21">
      <t>サンチ</t>
    </rPh>
    <rPh sb="21" eb="24">
      <t>ショウメイショ</t>
    </rPh>
    <rPh sb="25" eb="26">
      <t>ウツ</t>
    </rPh>
    <phoneticPr fontId="1"/>
  </si>
  <si>
    <t>（別途提出する鳥取県産材活用協議会が発行する県産材の産地証明書で証明できる場合を除く。）</t>
    <rPh sb="1" eb="3">
      <t>ベット</t>
    </rPh>
    <rPh sb="3" eb="5">
      <t>テイシュツ</t>
    </rPh>
    <rPh sb="22" eb="25">
      <t>ケンサンザイ</t>
    </rPh>
    <rPh sb="26" eb="28">
      <t>サンチ</t>
    </rPh>
    <rPh sb="28" eb="31">
      <t>ショウメイショ</t>
    </rPh>
    <rPh sb="32" eb="34">
      <t>ショウメイ</t>
    </rPh>
    <rPh sb="37" eb="39">
      <t>バアイ</t>
    </rPh>
    <rPh sb="40" eb="41">
      <t>ノゾ</t>
    </rPh>
    <phoneticPr fontId="1"/>
  </si>
  <si>
    <t>（ＪＡＳ格付及び含水率20%以下）であることを証明する書類</t>
  </si>
  <si>
    <r>
      <rPr>
        <sz val="9"/>
        <color rgb="FFFF0000"/>
        <rFont val="ＭＳ 明朝"/>
        <family val="1"/>
        <charset val="128"/>
      </rPr>
      <t>含水率の測定結果写真</t>
    </r>
    <r>
      <rPr>
        <sz val="9"/>
        <color rgb="FF0066FF"/>
        <rFont val="ＭＳ 明朝"/>
        <family val="1"/>
        <charset val="128"/>
      </rPr>
      <t>又は</t>
    </r>
    <r>
      <rPr>
        <sz val="9"/>
        <color rgb="FFFF0000"/>
        <rFont val="ＭＳ 明朝"/>
        <family val="1"/>
        <charset val="128"/>
      </rPr>
      <t>鳥取県産材活用協議会が発行する日本農林規格県産材</t>
    </r>
    <rPh sb="10" eb="11">
      <t>マタ</t>
    </rPh>
    <phoneticPr fontId="1"/>
  </si>
  <si>
    <t>＜実績報告時の提出書類＞施工後の写真（建築主名記載の工事看板入り）並びに全ての梁、桁及び母屋を記載した伏図（小屋伏図及び床伏図をいう。）に、居室で構造材現しになっているものを色分けした資料</t>
    <rPh sb="33" eb="34">
      <t>ナラ</t>
    </rPh>
    <rPh sb="39" eb="40">
      <t>ハリ</t>
    </rPh>
    <phoneticPr fontId="1"/>
  </si>
  <si>
    <t>居室において、小屋組又は床組みに使用した主要な横架材及び母屋の下端が見える場合（壁の部分を除く。）で、当該居室（収納を除く。）の見上げ面積が10平方メートル以上の状態のこと。（１ポイント、20m2以上の場合にあっては２ポイント）</t>
    <rPh sb="20" eb="22">
      <t>シュヨウ</t>
    </rPh>
    <rPh sb="23" eb="26">
      <t>オウカザイ</t>
    </rPh>
    <phoneticPr fontId="1"/>
  </si>
  <si>
    <t>④売買契約することで直系親族世帯と新たに近居すること。</t>
    <rPh sb="1" eb="5">
      <t>バイバイケイヤク</t>
    </rPh>
    <rPh sb="10" eb="16">
      <t>チョッケイシンゾクセタイ</t>
    </rPh>
    <rPh sb="17" eb="18">
      <t>アラ</t>
    </rPh>
    <phoneticPr fontId="1"/>
  </si>
  <si>
    <t>⑤売買契することで直系親族世帯と新たに同居すること。</t>
    <rPh sb="1" eb="3">
      <t>バイバイ</t>
    </rPh>
    <rPh sb="3" eb="4">
      <t>ケイ</t>
    </rPh>
    <rPh sb="9" eb="15">
      <t>チョッケイシンゾクセタイ</t>
    </rPh>
    <rPh sb="16" eb="17">
      <t>アラ</t>
    </rPh>
    <phoneticPr fontId="1"/>
  </si>
  <si>
    <t>⑥売買契約することで直系卑属の子育て世帯等と新たに同居する世帯であること。</t>
    <rPh sb="1" eb="5">
      <t>バイバイケイヤク</t>
    </rPh>
    <rPh sb="12" eb="14">
      <t>ヒゾク</t>
    </rPh>
    <phoneticPr fontId="1"/>
  </si>
  <si>
    <t>→DB列から範囲選択でコピぺ（行全体をコピペしないこと！）</t>
    <rPh sb="3" eb="4">
      <t>レツ</t>
    </rPh>
    <rPh sb="6" eb="10">
      <t>ハンイセンタク</t>
    </rPh>
    <rPh sb="15" eb="16">
      <t>ギョウ</t>
    </rPh>
    <rPh sb="16" eb="18">
      <t>ゼンタイ</t>
    </rPh>
    <phoneticPr fontId="1"/>
  </si>
  <si>
    <t>・県産JAS製材（含水率20%以下のJAS格付材）を1m3以上使用する場合、１m3につき１万円が交付されます。（上限25万円)</t>
    <rPh sb="1" eb="3">
      <t>ケンサン</t>
    </rPh>
    <rPh sb="6" eb="8">
      <t>セイザイ</t>
    </rPh>
    <rPh sb="7" eb="8">
      <t>ザイ</t>
    </rPh>
    <rPh sb="9" eb="12">
      <t>ガンスイリツ</t>
    </rPh>
    <rPh sb="15" eb="17">
      <t>イカ</t>
    </rPh>
    <rPh sb="21" eb="23">
      <t>カクヅケ</t>
    </rPh>
    <rPh sb="23" eb="24">
      <t>ザイ</t>
    </rPh>
    <rPh sb="29" eb="31">
      <t>イジョウ</t>
    </rPh>
    <rPh sb="31" eb="33">
      <t>シヨウ</t>
    </rPh>
    <rPh sb="35" eb="37">
      <t>バアイ</t>
    </rPh>
    <rPh sb="45" eb="47">
      <t>マンエン</t>
    </rPh>
    <rPh sb="48" eb="50">
      <t>コウフ</t>
    </rPh>
    <rPh sb="56" eb="58">
      <t>ジョウゲン</t>
    </rPh>
    <rPh sb="60" eb="62">
      <t>マンエン</t>
    </rPh>
    <phoneticPr fontId="1"/>
  </si>
  <si>
    <t>県産ヤング係数確認構造材</t>
    <rPh sb="0" eb="2">
      <t>ケンサン</t>
    </rPh>
    <rPh sb="5" eb="7">
      <t>ケイスウ</t>
    </rPh>
    <rPh sb="7" eb="9">
      <t>カクニン</t>
    </rPh>
    <rPh sb="9" eb="12">
      <t>コウゾウザイ</t>
    </rPh>
    <phoneticPr fontId="1"/>
  </si>
  <si>
    <t>県産ヤング係数確認構造材</t>
    <rPh sb="0" eb="2">
      <t>ケンサン</t>
    </rPh>
    <rPh sb="5" eb="7">
      <t>ケイスウ</t>
    </rPh>
    <rPh sb="7" eb="9">
      <t>カクニン</t>
    </rPh>
    <rPh sb="9" eb="12">
      <t>コウゾウザイ</t>
    </rPh>
    <phoneticPr fontId="18"/>
  </si>
  <si>
    <t>地域建築技能活用（４ポイント以上該当）</t>
    <rPh sb="0" eb="4">
      <t>チイキケンチク</t>
    </rPh>
    <rPh sb="4" eb="6">
      <t>ギノウ</t>
    </rPh>
    <rPh sb="6" eb="8">
      <t>カツヨウ</t>
    </rPh>
    <rPh sb="14" eb="16">
      <t>イジョウ</t>
    </rPh>
    <rPh sb="16" eb="18">
      <t>ガイトウ</t>
    </rPh>
    <phoneticPr fontId="18"/>
  </si>
  <si>
    <t>地域建築技能活用</t>
    <rPh sb="0" eb="2">
      <t>チイキ</t>
    </rPh>
    <rPh sb="2" eb="8">
      <t>ケンチクギノウカツヨウ</t>
    </rPh>
    <phoneticPr fontId="1"/>
  </si>
  <si>
    <t>はい</t>
  </si>
  <si>
    <t>登録決定通知（変更を行った場合は変更承認通知）記載の額を入力してください（０円も入力、空白不可）。</t>
    <rPh sb="0" eb="2">
      <t>トウロク</t>
    </rPh>
    <rPh sb="2" eb="4">
      <t>ケッテイ</t>
    </rPh>
    <rPh sb="4" eb="6">
      <t>ツウチ</t>
    </rPh>
    <rPh sb="7" eb="9">
      <t>ヘンコウ</t>
    </rPh>
    <rPh sb="10" eb="11">
      <t>オコナ</t>
    </rPh>
    <rPh sb="13" eb="15">
      <t>バアイ</t>
    </rPh>
    <rPh sb="16" eb="18">
      <t>ヘンコウ</t>
    </rPh>
    <rPh sb="18" eb="20">
      <t>ショウニン</t>
    </rPh>
    <rPh sb="20" eb="22">
      <t>ツウチ</t>
    </rPh>
    <rPh sb="23" eb="25">
      <t>キサイ</t>
    </rPh>
    <rPh sb="26" eb="27">
      <t>ガク</t>
    </rPh>
    <rPh sb="28" eb="30">
      <t>ニュウリョク</t>
    </rPh>
    <rPh sb="38" eb="39">
      <t>エン</t>
    </rPh>
    <rPh sb="40" eb="42">
      <t>ニュウリョク</t>
    </rPh>
    <rPh sb="43" eb="45">
      <t>クウハク</t>
    </rPh>
    <rPh sb="45" eb="47">
      <t>フカ</t>
    </rPh>
    <phoneticPr fontId="1"/>
  </si>
  <si>
    <t>登録住宅の交付申請兼実績報告用　令和7年4月1日改正</t>
    <rPh sb="0" eb="2">
      <t>トウロク</t>
    </rPh>
    <rPh sb="2" eb="4">
      <t>ジュウタク</t>
    </rPh>
    <rPh sb="5" eb="7">
      <t>コウフ</t>
    </rPh>
    <rPh sb="7" eb="9">
      <t>シンセイ</t>
    </rPh>
    <rPh sb="9" eb="10">
      <t>ケン</t>
    </rPh>
    <rPh sb="10" eb="12">
      <t>ジッセキ</t>
    </rPh>
    <rPh sb="12" eb="14">
      <t>ホウコク</t>
    </rPh>
    <rPh sb="14" eb="15">
      <t>ヨウ</t>
    </rPh>
    <phoneticPr fontId="1"/>
  </si>
  <si>
    <t>国補助利用者のうち、「地域型グリーン化事業補助金」利用者である。</t>
    <rPh sb="11" eb="14">
      <t>チイキガタ</t>
    </rPh>
    <rPh sb="18" eb="19">
      <t>カ</t>
    </rPh>
    <rPh sb="19" eb="21">
      <t>ジギョウ</t>
    </rPh>
    <rPh sb="21" eb="24">
      <t>ホジョキン</t>
    </rPh>
    <phoneticPr fontId="1"/>
  </si>
  <si>
    <t>規則様式第３号（第17条関係）</t>
    <rPh sb="0" eb="2">
      <t>キソク</t>
    </rPh>
    <rPh sb="2" eb="4">
      <t>ヨウシキ</t>
    </rPh>
    <rPh sb="4" eb="5">
      <t>ダイ</t>
    </rPh>
    <rPh sb="6" eb="7">
      <t>ゴウ</t>
    </rPh>
    <rPh sb="8" eb="9">
      <t>ダイ</t>
    </rPh>
    <rPh sb="11" eb="12">
      <t>ジョウ</t>
    </rPh>
    <rPh sb="12" eb="14">
      <t>カンケイ</t>
    </rPh>
    <phoneticPr fontId="1"/>
  </si>
  <si>
    <t>子育てグリーン住宅支援事業又は地域型グリーン化事業以外の補助金を併用する。</t>
    <rPh sb="13" eb="14">
      <t>マタ</t>
    </rPh>
    <rPh sb="15" eb="18">
      <t>チイキガタ</t>
    </rPh>
    <rPh sb="22" eb="23">
      <t>カ</t>
    </rPh>
    <rPh sb="23" eb="25">
      <t>ジギョウ</t>
    </rPh>
    <rPh sb="25" eb="27">
      <t>イガイ</t>
    </rPh>
    <rPh sb="28" eb="31">
      <t>ホジョキン</t>
    </rPh>
    <rPh sb="32" eb="34">
      <t>ヘイヨウ</t>
    </rPh>
    <phoneticPr fontId="1"/>
  </si>
  <si>
    <t>国補助事業の補助利用者である。（子育てグリーン住宅支援事業、地域型グリーン化事業など）</t>
    <rPh sb="0" eb="5">
      <t>クニホジョジギョウ</t>
    </rPh>
    <rPh sb="6" eb="8">
      <t>ホジョ</t>
    </rPh>
    <rPh sb="8" eb="10">
      <t>リヨウ</t>
    </rPh>
    <rPh sb="10" eb="11">
      <t>シャ</t>
    </rPh>
    <rPh sb="23" eb="25">
      <t>ジュウタク</t>
    </rPh>
    <rPh sb="25" eb="29">
      <t>シエンジギョウ</t>
    </rPh>
    <rPh sb="30" eb="33">
      <t>チイキガタ</t>
    </rPh>
    <rPh sb="37" eb="38">
      <t>カ</t>
    </rPh>
    <rPh sb="38" eb="40">
      <t>ジギョウ</t>
    </rPh>
    <phoneticPr fontId="1"/>
  </si>
  <si>
    <t>④県産ヤング係数確認構造材の使用材積</t>
    <phoneticPr fontId="1"/>
  </si>
  <si>
    <t>・県産ヤング係数確認構造材を１m3以上使用する場合、横架材１m3につき３万円、横架材以外1ｍ3につき2万円の合計が交付されます。（上限30万円）</t>
    <rPh sb="1" eb="3">
      <t>ケンサン</t>
    </rPh>
    <rPh sb="6" eb="8">
      <t>ケイスウ</t>
    </rPh>
    <rPh sb="8" eb="10">
      <t>カクニン</t>
    </rPh>
    <rPh sb="10" eb="13">
      <t>コウゾウザイ</t>
    </rPh>
    <rPh sb="17" eb="19">
      <t>イジョウ</t>
    </rPh>
    <rPh sb="19" eb="21">
      <t>シヨウ</t>
    </rPh>
    <rPh sb="23" eb="25">
      <t>バアイ</t>
    </rPh>
    <rPh sb="26" eb="29">
      <t>オウカザイ</t>
    </rPh>
    <rPh sb="36" eb="38">
      <t>マンエン</t>
    </rPh>
    <rPh sb="39" eb="42">
      <t>オウカザイ</t>
    </rPh>
    <rPh sb="42" eb="44">
      <t>イガイ</t>
    </rPh>
    <rPh sb="51" eb="53">
      <t>マンエン</t>
    </rPh>
    <rPh sb="54" eb="56">
      <t>ゴウケイ</t>
    </rPh>
    <rPh sb="57" eb="59">
      <t>コウフ</t>
    </rPh>
    <phoneticPr fontId="1"/>
  </si>
  <si>
    <t>＜実績報告時の提出書類＞県産ヤング係数確認構造材一覧表（様式第８号）</t>
    <rPh sb="1" eb="3">
      <t>ジッセキ</t>
    </rPh>
    <rPh sb="3" eb="5">
      <t>ホウコク</t>
    </rPh>
    <rPh sb="5" eb="6">
      <t>ジ</t>
    </rPh>
    <rPh sb="7" eb="9">
      <t>テイシュツ</t>
    </rPh>
    <rPh sb="9" eb="11">
      <t>ショルイ</t>
    </rPh>
    <rPh sb="12" eb="14">
      <t>ケンサン</t>
    </rPh>
    <rPh sb="17" eb="19">
      <t>ケイスウ</t>
    </rPh>
    <rPh sb="19" eb="21">
      <t>カクニン</t>
    </rPh>
    <phoneticPr fontId="1"/>
  </si>
  <si>
    <r>
      <t>※</t>
    </r>
    <r>
      <rPr>
        <sz val="10.5"/>
        <rFont val="ＭＳ Ｐ明朝"/>
        <family val="1"/>
        <charset val="128"/>
      </rPr>
      <t>国の子育て世帯等支援補助金</t>
    </r>
    <r>
      <rPr>
        <sz val="10.5"/>
        <color rgb="FFFF0000"/>
        <rFont val="ＭＳ Ｐ明朝"/>
        <family val="1"/>
        <charset val="128"/>
      </rPr>
      <t>（GX志向型を除く）</t>
    </r>
    <r>
      <rPr>
        <sz val="10.5"/>
        <rFont val="ＭＳ Ｐ明朝"/>
        <family val="1"/>
        <charset val="128"/>
      </rPr>
      <t>利用者</t>
    </r>
    <r>
      <rPr>
        <sz val="10.5"/>
        <color theme="1"/>
        <rFont val="ＭＳ Ｐ明朝"/>
        <family val="1"/>
        <charset val="128"/>
      </rPr>
      <t>にあっては補助額は０円となります。</t>
    </r>
    <rPh sb="17" eb="20">
      <t>シコウガタ</t>
    </rPh>
    <rPh sb="21" eb="22">
      <t>ノゾ</t>
    </rPh>
    <rPh sb="24" eb="27">
      <t>リヨウシャ</t>
    </rPh>
    <rPh sb="32" eb="35">
      <t>ホジョガク</t>
    </rPh>
    <rPh sb="37" eb="38">
      <t>エン</t>
    </rPh>
    <phoneticPr fontId="1"/>
  </si>
  <si>
    <t>①交付申請日時点で子育て世帯等であること。</t>
    <rPh sb="1" eb="3">
      <t>コウフ</t>
    </rPh>
    <rPh sb="3" eb="5">
      <t>シンセイ</t>
    </rPh>
    <rPh sb="5" eb="6">
      <t>ビ</t>
    </rPh>
    <rPh sb="6" eb="8">
      <t>ジテン</t>
    </rPh>
    <rPh sb="9" eb="11">
      <t>コソダ</t>
    </rPh>
    <rPh sb="12" eb="14">
      <t>セタイ</t>
    </rPh>
    <rPh sb="14" eb="15">
      <t>トウ</t>
    </rPh>
    <phoneticPr fontId="1"/>
  </si>
  <si>
    <t>次のア、イ、ウのいずれかに該当すること。</t>
    <rPh sb="0" eb="1">
      <t>ツギ</t>
    </rPh>
    <rPh sb="13" eb="15">
      <t>ガイトウ</t>
    </rPh>
    <phoneticPr fontId="1"/>
  </si>
  <si>
    <t>ア　 ①②③④の全てに該当　（直系尊属と新たに近居）</t>
    <rPh sb="8" eb="9">
      <t>スベ</t>
    </rPh>
    <rPh sb="11" eb="13">
      <t>ガイトウ</t>
    </rPh>
    <rPh sb="15" eb="17">
      <t>チョッケイ</t>
    </rPh>
    <rPh sb="17" eb="19">
      <t>ソンゾク</t>
    </rPh>
    <rPh sb="20" eb="21">
      <t>アラ</t>
    </rPh>
    <rPh sb="23" eb="25">
      <t>キンキョ</t>
    </rPh>
    <phoneticPr fontId="1"/>
  </si>
  <si>
    <t>イ　 ①②⑤又は①②③⑤の全てに該当　（直系尊属と新たに同居）</t>
    <rPh sb="6" eb="7">
      <t>マタ</t>
    </rPh>
    <rPh sb="13" eb="14">
      <t>スベ</t>
    </rPh>
    <rPh sb="16" eb="18">
      <t>ガイトウ</t>
    </rPh>
    <rPh sb="20" eb="24">
      <t>チョッケイソンゾク</t>
    </rPh>
    <rPh sb="25" eb="26">
      <t>アラ</t>
    </rPh>
    <rPh sb="28" eb="30">
      <t>ドウキョ</t>
    </rPh>
    <phoneticPr fontId="1"/>
  </si>
  <si>
    <t>ウ　 ①に該当せず②⑥の両方に該当　（直系卑属と新たに同居）</t>
    <rPh sb="5" eb="7">
      <t>ガイトウ</t>
    </rPh>
    <rPh sb="12" eb="14">
      <t>リョウホウ</t>
    </rPh>
    <rPh sb="15" eb="17">
      <t>ガイトウ</t>
    </rPh>
    <rPh sb="19" eb="21">
      <t>チョッケイ</t>
    </rPh>
    <rPh sb="21" eb="23">
      <t>ヒゾク</t>
    </rPh>
    <rPh sb="24" eb="25">
      <t>アラ</t>
    </rPh>
    <rPh sb="27" eb="29">
      <t>ドウキョ</t>
    </rPh>
    <phoneticPr fontId="1"/>
  </si>
  <si>
    <t>②交付申請日時点では、三世代の同居ではないこと。</t>
    <rPh sb="1" eb="5">
      <t>コウフシンセイ</t>
    </rPh>
    <rPh sb="5" eb="6">
      <t>ビ</t>
    </rPh>
    <rPh sb="6" eb="8">
      <t>ジテン</t>
    </rPh>
    <rPh sb="11" eb="14">
      <t>サンセダイ</t>
    </rPh>
    <rPh sb="15" eb="17">
      <t>ドウキョ</t>
    </rPh>
    <phoneticPr fontId="1"/>
  </si>
  <si>
    <t>③交付申請日時点では、直系尊属と近居ではないこと。</t>
    <rPh sb="1" eb="3">
      <t>コウフ</t>
    </rPh>
    <rPh sb="3" eb="5">
      <t>シンセイ</t>
    </rPh>
    <rPh sb="5" eb="6">
      <t>ビ</t>
    </rPh>
    <rPh sb="6" eb="8">
      <t>ジテン</t>
    </rPh>
    <rPh sb="11" eb="13">
      <t>チョッケイ</t>
    </rPh>
    <rPh sb="13" eb="15">
      <t>ソンゾク</t>
    </rPh>
    <rPh sb="16" eb="18">
      <t>キンキョ</t>
    </rPh>
    <phoneticPr fontId="1"/>
  </si>
  <si>
    <t>５　地域建築技能活用住宅　（補助金額：20万円）</t>
    <rPh sb="2" eb="6">
      <t>チイキケンチク</t>
    </rPh>
    <rPh sb="6" eb="8">
      <t>ギノウ</t>
    </rPh>
    <rPh sb="8" eb="10">
      <t>カツヨウ</t>
    </rPh>
    <rPh sb="10" eb="12">
      <t>ジュウタク</t>
    </rPh>
    <phoneticPr fontId="1"/>
  </si>
  <si>
    <t>次の①～⑦の地域建築技能を活用し、ポイント数の合計が４ポイント以上の場合に定額20万円を支援（黄色のポイント数は自動計算されます。）</t>
    <rPh sb="0" eb="1">
      <t>ツギ</t>
    </rPh>
    <rPh sb="6" eb="8">
      <t>チイキ</t>
    </rPh>
    <rPh sb="8" eb="10">
      <t>ケンチク</t>
    </rPh>
    <rPh sb="10" eb="12">
      <t>ギノウ</t>
    </rPh>
    <rPh sb="13" eb="15">
      <t>カツヨウ</t>
    </rPh>
    <rPh sb="34" eb="36">
      <t>バアイ</t>
    </rPh>
    <rPh sb="37" eb="39">
      <t>テイガク</t>
    </rPh>
    <rPh sb="41" eb="43">
      <t>マンエン</t>
    </rPh>
    <rPh sb="44" eb="46">
      <t>シエン</t>
    </rPh>
    <rPh sb="47" eb="49">
      <t>キイロ</t>
    </rPh>
    <rPh sb="54" eb="55">
      <t>スウ</t>
    </rPh>
    <rPh sb="56" eb="58">
      <t>ジドウ</t>
    </rPh>
    <rPh sb="58" eb="60">
      <t>ケイサン</t>
    </rPh>
    <phoneticPr fontId="1"/>
  </si>
  <si>
    <t>＜実績報告時の提出書類＞手刻み加工を除く各地域建築技能に係る面積等の算出過程、施工面積及び施工箇所を図示した立面図、展開図等並びに地域建築技能ごとに次の書類</t>
    <rPh sb="21" eb="25">
      <t>チイキケンチク</t>
    </rPh>
    <rPh sb="62" eb="63">
      <t>ナラ</t>
    </rPh>
    <rPh sb="65" eb="67">
      <t>チイキ</t>
    </rPh>
    <rPh sb="67" eb="69">
      <t>ケンチク</t>
    </rPh>
    <rPh sb="69" eb="71">
      <t>ギノウ</t>
    </rPh>
    <rPh sb="74" eb="75">
      <t>ツギ</t>
    </rPh>
    <rPh sb="76" eb="78">
      <t>ショルイ</t>
    </rPh>
    <phoneticPr fontId="1"/>
  </si>
  <si>
    <r>
      <t>国補助利用者のうち、「国の子育て世帯等支援補助金</t>
    </r>
    <r>
      <rPr>
        <sz val="11"/>
        <color rgb="FFFF0000"/>
        <rFont val="ＭＳ Ｐ明朝"/>
        <family val="1"/>
        <charset val="128"/>
      </rPr>
      <t>（GX志向型を除く）</t>
    </r>
    <r>
      <rPr>
        <sz val="11"/>
        <rFont val="ＭＳ Ｐ明朝"/>
        <family val="1"/>
        <charset val="128"/>
      </rPr>
      <t>」利用者である。</t>
    </r>
    <rPh sb="0" eb="1">
      <t>クニ</t>
    </rPh>
    <rPh sb="1" eb="3">
      <t>ホジョ</t>
    </rPh>
    <rPh sb="3" eb="5">
      <t>リヨウ</t>
    </rPh>
    <rPh sb="5" eb="6">
      <t>シャ</t>
    </rPh>
    <rPh sb="11" eb="12">
      <t>クニ</t>
    </rPh>
    <rPh sb="13" eb="15">
      <t>コソダ</t>
    </rPh>
    <rPh sb="16" eb="18">
      <t>セタイ</t>
    </rPh>
    <rPh sb="18" eb="19">
      <t>トウ</t>
    </rPh>
    <rPh sb="19" eb="21">
      <t>シエン</t>
    </rPh>
    <rPh sb="21" eb="24">
      <t>ホジョキン</t>
    </rPh>
    <rPh sb="27" eb="30">
      <t>シコウガタ</t>
    </rPh>
    <rPh sb="31" eb="32">
      <t>ノゾ</t>
    </rPh>
    <rPh sb="35" eb="38">
      <t>リヨウシャ</t>
    </rPh>
    <rPh sb="37" eb="38">
      <t>シャ</t>
    </rPh>
    <phoneticPr fontId="1"/>
  </si>
  <si>
    <r>
      <t>国補助利用者のうち、「子育てグリーン住宅支援事業補助金</t>
    </r>
    <r>
      <rPr>
        <sz val="11"/>
        <color rgb="FFFF0000"/>
        <rFont val="ＭＳ Ｐ明朝"/>
        <family val="1"/>
        <charset val="128"/>
      </rPr>
      <t>（GX志向型）</t>
    </r>
    <r>
      <rPr>
        <sz val="11"/>
        <rFont val="ＭＳ Ｐ明朝"/>
        <family val="1"/>
        <charset val="128"/>
      </rPr>
      <t>」利用者である。</t>
    </r>
    <rPh sb="0" eb="1">
      <t>クニ</t>
    </rPh>
    <rPh sb="1" eb="3">
      <t>ホジョ</t>
    </rPh>
    <rPh sb="3" eb="5">
      <t>リヨウ</t>
    </rPh>
    <rPh sb="5" eb="6">
      <t>シャ</t>
    </rPh>
    <rPh sb="11" eb="13">
      <t>コソダ</t>
    </rPh>
    <rPh sb="18" eb="24">
      <t>ジュウタクシエンジギョウ</t>
    </rPh>
    <rPh sb="24" eb="27">
      <t>ホジョキン</t>
    </rPh>
    <rPh sb="30" eb="33">
      <t>シコウガタ</t>
    </rPh>
    <rPh sb="35" eb="38">
      <t>リヨウシャ</t>
    </rPh>
    <rPh sb="37" eb="38">
      <t>シャ</t>
    </rPh>
    <phoneticPr fontId="1"/>
  </si>
  <si>
    <t>Ver.1.0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</si>
</sst>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DBNum3][$-411]#,##0"/>
    <numFmt numFmtId="177" formatCode="[DBNum3][$-411]0"/>
    <numFmt numFmtId="178" formatCode="0_ "/>
    <numFmt numFmtId="179" formatCode="&quot;令和&quot;General"/>
    <numFmt numFmtId="180" formatCode="0.0"/>
    <numFmt numFmtId="181" formatCode="General&quot;m3&quot;"/>
    <numFmt numFmtId="182" formatCode="General&quot;m2&quot;"/>
    <numFmt numFmtId="183" formatCode="0.0_ "/>
    <numFmt numFmtId="184" formatCode="&quot;金&quot;#,##0"/>
    <numFmt numFmtId="185" formatCode="[$-411]ge\.m\.d;@"/>
    <numFmt numFmtId="186" formatCode="#,##0_ "/>
    <numFmt numFmtId="187" formatCode="0.000"/>
    <numFmt numFmtId="188" formatCode="0.00_ "/>
    <numFmt numFmtId="189" formatCode="0_);[Red]\(0\)"/>
  </numFmts>
  <fonts count="54" x14ac:knownFonts="1">
    <font>
      <sz val="11"/>
      <color theme="1"/>
      <name val="ＭＳ Ｐゴシック"/>
      <family val="2"/>
      <charset val="128"/>
      <scheme val="minor"/>
    </font>
    <font>
      <sz val="6"/>
      <name val="ＭＳ Ｐゴシック"/>
      <family val="2"/>
      <charset val="128"/>
      <scheme val="minor"/>
    </font>
    <font>
      <b/>
      <sz val="9"/>
      <color indexed="81"/>
      <name val="ＭＳ Ｐゴシック"/>
      <family val="3"/>
      <charset val="128"/>
    </font>
    <font>
      <sz val="9"/>
      <color theme="1"/>
      <name val="ＭＳ Ｐ明朝"/>
      <family val="1"/>
      <charset val="128"/>
    </font>
    <font>
      <sz val="11"/>
      <color theme="1"/>
      <name val="ＭＳ Ｐ明朝"/>
      <family val="1"/>
      <charset val="128"/>
    </font>
    <font>
      <b/>
      <sz val="16"/>
      <color theme="1"/>
      <name val="ＭＳ Ｐ明朝"/>
      <family val="1"/>
      <charset val="128"/>
    </font>
    <font>
      <sz val="11"/>
      <color rgb="FFFF0000"/>
      <name val="ＭＳ Ｐ明朝"/>
      <family val="1"/>
      <charset val="128"/>
    </font>
    <font>
      <sz val="14"/>
      <color theme="1"/>
      <name val="ＭＳ Ｐ明朝"/>
      <family val="1"/>
      <charset val="128"/>
    </font>
    <font>
      <sz val="10"/>
      <color theme="1"/>
      <name val="ＭＳ Ｐ明朝"/>
      <family val="1"/>
      <charset val="128"/>
    </font>
    <font>
      <sz val="10"/>
      <color rgb="FFFF0000"/>
      <name val="ＭＳ Ｐ明朝"/>
      <family val="1"/>
      <charset val="128"/>
    </font>
    <font>
      <sz val="9"/>
      <color rgb="FFFF0000"/>
      <name val="ＭＳ Ｐ明朝"/>
      <family val="1"/>
      <charset val="128"/>
    </font>
    <font>
      <sz val="8"/>
      <color theme="1"/>
      <name val="ＭＳ Ｐ明朝"/>
      <family val="1"/>
      <charset val="128"/>
    </font>
    <font>
      <sz val="11"/>
      <name val="ＭＳ Ｐ明朝"/>
      <family val="1"/>
      <charset val="128"/>
    </font>
    <font>
      <sz val="11"/>
      <color rgb="FF0066FF"/>
      <name val="ＭＳ Ｐ明朝"/>
      <family val="1"/>
      <charset val="128"/>
    </font>
    <font>
      <sz val="10"/>
      <color rgb="FF0066FF"/>
      <name val="ＭＳ Ｐ明朝"/>
      <family val="1"/>
      <charset val="128"/>
    </font>
    <font>
      <sz val="9"/>
      <color rgb="FF0066FF"/>
      <name val="ＭＳ Ｐ明朝"/>
      <family val="1"/>
      <charset val="128"/>
    </font>
    <font>
      <sz val="9"/>
      <color rgb="FF0066FF"/>
      <name val="ＭＳ 明朝"/>
      <family val="1"/>
      <charset val="128"/>
    </font>
    <font>
      <sz val="9"/>
      <color rgb="FFFF0000"/>
      <name val="ＭＳ 明朝"/>
      <family val="1"/>
      <charset val="128"/>
    </font>
    <font>
      <sz val="11"/>
      <color theme="1"/>
      <name val="ＭＳ Ｐゴシック"/>
      <family val="2"/>
      <charset val="128"/>
      <scheme val="minor"/>
    </font>
    <font>
      <u/>
      <sz val="10"/>
      <color rgb="FF0066FF"/>
      <name val="ＭＳ 明朝"/>
      <family val="1"/>
      <charset val="128"/>
    </font>
    <font>
      <sz val="10"/>
      <color theme="1"/>
      <name val="ＭＳ 明朝"/>
      <family val="1"/>
      <charset val="128"/>
    </font>
    <font>
      <sz val="10"/>
      <name val="ＭＳ Ｐ明朝"/>
      <family val="1"/>
      <charset val="128"/>
    </font>
    <font>
      <sz val="12"/>
      <color theme="1"/>
      <name val="ＭＳ Ｐ明朝"/>
      <family val="1"/>
      <charset val="128"/>
    </font>
    <font>
      <sz val="11"/>
      <color theme="1"/>
      <name val="ＭＳ 明朝"/>
      <family val="1"/>
      <charset val="128"/>
    </font>
    <font>
      <sz val="11"/>
      <color rgb="FFFF0000"/>
      <name val="ＭＳ 明朝"/>
      <family val="1"/>
      <charset val="128"/>
    </font>
    <font>
      <sz val="11"/>
      <color rgb="FF0000FF"/>
      <name val="ＭＳ Ｐ明朝"/>
      <family val="1"/>
      <charset val="128"/>
    </font>
    <font>
      <sz val="11"/>
      <color rgb="FFFFFF00"/>
      <name val="ＭＳ Ｐ明朝"/>
      <family val="1"/>
      <charset val="128"/>
    </font>
    <font>
      <sz val="11"/>
      <color rgb="FF0000FF"/>
      <name val="ＭＳ 明朝"/>
      <family val="1"/>
      <charset val="128"/>
    </font>
    <font>
      <sz val="10.5"/>
      <color theme="1"/>
      <name val="ＭＳ Ｐ明朝"/>
      <family val="1"/>
      <charset val="128"/>
    </font>
    <font>
      <sz val="9"/>
      <color theme="1"/>
      <name val="ＭＳ Ｐゴシック"/>
      <family val="2"/>
      <charset val="128"/>
      <scheme val="minor"/>
    </font>
    <font>
      <sz val="10"/>
      <color theme="1"/>
      <name val="ＭＳ Ｐゴシック"/>
      <family val="2"/>
      <charset val="128"/>
      <scheme val="minor"/>
    </font>
    <font>
      <sz val="10"/>
      <color rgb="FFFF0000"/>
      <name val="ＭＳ Ｐゴシック"/>
      <family val="2"/>
      <charset val="128"/>
      <scheme val="minor"/>
    </font>
    <font>
      <b/>
      <sz val="18"/>
      <color theme="3"/>
      <name val="ＭＳ Ｐゴシック"/>
      <family val="2"/>
      <charset val="128"/>
      <scheme val="major"/>
    </font>
    <font>
      <sz val="11"/>
      <color theme="1"/>
      <name val="ＭＳ Ｐゴシック"/>
      <family val="3"/>
      <charset val="128"/>
      <scheme val="minor"/>
    </font>
    <font>
      <sz val="10"/>
      <name val="ＭＳ Ｐゴシック"/>
      <family val="2"/>
      <charset val="128"/>
      <scheme val="minor"/>
    </font>
    <font>
      <sz val="10"/>
      <name val="ＭＳ Ｐゴシック"/>
      <family val="3"/>
      <charset val="128"/>
      <scheme val="minor"/>
    </font>
    <font>
      <sz val="9"/>
      <color theme="1"/>
      <name val="ＭＳ Ｐゴシック"/>
      <family val="3"/>
      <charset val="128"/>
      <scheme val="minor"/>
    </font>
    <font>
      <sz val="10"/>
      <color rgb="FFFF0000"/>
      <name val="ＭＳ Ｐゴシック"/>
      <family val="3"/>
      <charset val="128"/>
      <scheme val="minor"/>
    </font>
    <font>
      <sz val="10"/>
      <color indexed="10"/>
      <name val="ＭＳ Ｐゴシック"/>
      <family val="3"/>
      <charset val="128"/>
    </font>
    <font>
      <b/>
      <sz val="10"/>
      <color indexed="10"/>
      <name val="ＭＳ Ｐゴシック"/>
      <family val="3"/>
      <charset val="128"/>
    </font>
    <font>
      <sz val="10"/>
      <color rgb="FFFF0000"/>
      <name val="ＭＳ Ｐゴシック"/>
      <family val="3"/>
      <charset val="128"/>
    </font>
    <font>
      <sz val="8"/>
      <color theme="1"/>
      <name val="ＭＳ Ｐゴシック"/>
      <family val="2"/>
      <charset val="128"/>
      <scheme val="minor"/>
    </font>
    <font>
      <b/>
      <sz val="10"/>
      <color indexed="8"/>
      <name val="ＭＳ Ｐゴシック"/>
      <family val="3"/>
      <charset val="128"/>
    </font>
    <font>
      <sz val="8"/>
      <color rgb="FFFF0000"/>
      <name val="ＭＳ Ｐゴシック"/>
      <family val="3"/>
      <charset val="128"/>
      <scheme val="minor"/>
    </font>
    <font>
      <vertAlign val="subscript"/>
      <sz val="10"/>
      <name val="ＭＳ Ｐゴシック"/>
      <family val="3"/>
      <charset val="128"/>
      <scheme val="minor"/>
    </font>
    <font>
      <sz val="10"/>
      <name val="ＭＳ Ｐゴシック"/>
      <family val="3"/>
      <charset val="128"/>
    </font>
    <font>
      <sz val="10"/>
      <color indexed="12"/>
      <name val="ＭＳ Ｐゴシック"/>
      <family val="3"/>
      <charset val="128"/>
    </font>
    <font>
      <sz val="14"/>
      <color theme="1"/>
      <name val="ＭＳ Ｐゴシック"/>
      <family val="3"/>
      <charset val="128"/>
      <scheme val="minor"/>
    </font>
    <font>
      <b/>
      <sz val="10"/>
      <color rgb="FFFF0000"/>
      <name val="ＭＳ Ｐゴシック"/>
      <family val="3"/>
      <charset val="128"/>
      <scheme val="minor"/>
    </font>
    <font>
      <sz val="11"/>
      <color theme="1"/>
      <name val="ＭＳ ゴシック"/>
      <family val="3"/>
      <charset val="128"/>
    </font>
    <font>
      <sz val="8"/>
      <color rgb="FFFF0000"/>
      <name val="ＭＳ Ｐ明朝"/>
      <family val="1"/>
      <charset val="128"/>
    </font>
    <font>
      <sz val="10.5"/>
      <name val="ＭＳ Ｐ明朝"/>
      <family val="1"/>
      <charset val="128"/>
    </font>
    <font>
      <sz val="9"/>
      <name val="ＭＳ Ｐ明朝"/>
      <family val="1"/>
      <charset val="128"/>
    </font>
    <font>
      <sz val="10.5"/>
      <color rgb="FFFF0000"/>
      <name val="ＭＳ Ｐ明朝"/>
      <family val="1"/>
      <charset val="128"/>
    </font>
  </fonts>
  <fills count="15">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8" tint="0.79998168889431442"/>
        <bgColor indexed="64"/>
      </patternFill>
    </fill>
    <fill>
      <patternFill patternType="solid">
        <fgColor rgb="FF66FF66"/>
        <bgColor indexed="64"/>
      </patternFill>
    </fill>
    <fill>
      <patternFill patternType="solid">
        <fgColor rgb="FFFFCCFF"/>
        <bgColor indexed="64"/>
      </patternFill>
    </fill>
    <fill>
      <patternFill patternType="solid">
        <fgColor rgb="FF66FFFF"/>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FC000"/>
        <bgColor indexed="64"/>
      </patternFill>
    </fill>
    <fill>
      <patternFill patternType="solid">
        <fgColor rgb="FF66CCFF"/>
        <bgColor indexed="64"/>
      </patternFill>
    </fill>
    <fill>
      <patternFill patternType="solid">
        <fgColor rgb="FFCCFFCC"/>
        <bgColor indexed="64"/>
      </patternFill>
    </fill>
    <fill>
      <patternFill patternType="solid">
        <fgColor theme="0" tint="-0.34998626667073579"/>
        <bgColor indexed="64"/>
      </patternFill>
    </fill>
  </fills>
  <borders count="3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top style="thin">
        <color indexed="64"/>
      </top>
      <bottom/>
      <diagonal/>
    </border>
    <border>
      <left style="dashed">
        <color indexed="64"/>
      </left>
      <right/>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thin">
        <color indexed="64"/>
      </top>
      <bottom style="dotted">
        <color indexed="64"/>
      </bottom>
      <diagonal/>
    </border>
    <border>
      <left style="thin">
        <color indexed="64"/>
      </left>
      <right style="thin">
        <color indexed="64"/>
      </right>
      <top/>
      <bottom/>
      <diagonal/>
    </border>
  </borders>
  <cellStyleXfs count="2">
    <xf numFmtId="0" fontId="0" fillId="0" borderId="0">
      <alignment vertical="center"/>
    </xf>
    <xf numFmtId="38" fontId="18" fillId="0" borderId="0" applyFont="0" applyFill="0" applyBorder="0" applyAlignment="0" applyProtection="0">
      <alignment vertical="center"/>
    </xf>
  </cellStyleXfs>
  <cellXfs count="550">
    <xf numFmtId="0" fontId="0" fillId="0" borderId="0" xfId="0">
      <alignment vertical="center"/>
    </xf>
    <xf numFmtId="0" fontId="4" fillId="0" borderId="0" xfId="0" applyFont="1">
      <alignment vertical="center"/>
    </xf>
    <xf numFmtId="0" fontId="5" fillId="0" borderId="0" xfId="0" applyFont="1">
      <alignment vertical="center"/>
    </xf>
    <xf numFmtId="0" fontId="4" fillId="3" borderId="0" xfId="0" applyFont="1" applyFill="1">
      <alignment vertical="center"/>
    </xf>
    <xf numFmtId="0" fontId="6" fillId="3" borderId="0" xfId="0" applyFont="1" applyFill="1">
      <alignment vertical="center"/>
    </xf>
    <xf numFmtId="0" fontId="4" fillId="0" borderId="0" xfId="0" applyFont="1" applyAlignment="1">
      <alignment horizontal="right" vertical="center"/>
    </xf>
    <xf numFmtId="0" fontId="4" fillId="0" borderId="6" xfId="0" applyFont="1" applyBorder="1">
      <alignment vertical="center"/>
    </xf>
    <xf numFmtId="0" fontId="4" fillId="0" borderId="7" xfId="0" applyFont="1" applyBorder="1">
      <alignment vertical="center"/>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3" xfId="0" applyFont="1" applyBorder="1">
      <alignment vertical="center"/>
    </xf>
    <xf numFmtId="0" fontId="8" fillId="0" borderId="0" xfId="0" applyFont="1" applyAlignment="1">
      <alignment horizontal="center" vertical="center"/>
    </xf>
    <xf numFmtId="0" fontId="8" fillId="0" borderId="0" xfId="0" applyFont="1">
      <alignment vertical="center"/>
    </xf>
    <xf numFmtId="0" fontId="3" fillId="0" borderId="0" xfId="0" applyFont="1">
      <alignment vertical="center"/>
    </xf>
    <xf numFmtId="0" fontId="6" fillId="0" borderId="19" xfId="0" applyFont="1" applyBorder="1">
      <alignment vertical="center"/>
    </xf>
    <xf numFmtId="0" fontId="9" fillId="3" borderId="0" xfId="0" applyFont="1" applyFill="1">
      <alignment vertical="center"/>
    </xf>
    <xf numFmtId="0" fontId="4" fillId="0" borderId="10" xfId="0" applyFont="1" applyBorder="1">
      <alignment vertical="center"/>
    </xf>
    <xf numFmtId="0" fontId="6" fillId="0" borderId="11" xfId="0" applyFont="1" applyBorder="1">
      <alignment vertical="center"/>
    </xf>
    <xf numFmtId="0" fontId="4" fillId="0" borderId="25" xfId="0" applyFont="1" applyBorder="1">
      <alignment vertical="center"/>
    </xf>
    <xf numFmtId="0" fontId="4" fillId="0" borderId="26" xfId="0" applyFont="1" applyBorder="1">
      <alignment vertical="center"/>
    </xf>
    <xf numFmtId="0" fontId="4" fillId="0" borderId="27" xfId="0" applyFont="1" applyBorder="1">
      <alignment vertical="center"/>
    </xf>
    <xf numFmtId="0" fontId="6" fillId="0" borderId="0" xfId="0" applyFont="1">
      <alignment vertical="center"/>
    </xf>
    <xf numFmtId="0" fontId="9" fillId="0" borderId="0" xfId="0" applyFont="1">
      <alignment vertical="center"/>
    </xf>
    <xf numFmtId="0" fontId="10" fillId="0" borderId="0" xfId="0" applyFont="1">
      <alignment vertical="center"/>
    </xf>
    <xf numFmtId="0" fontId="4" fillId="0" borderId="0" xfId="0" applyFont="1" applyAlignment="1">
      <alignment horizontal="left" vertical="center"/>
    </xf>
    <xf numFmtId="0" fontId="3" fillId="3" borderId="0" xfId="0" applyFont="1" applyFill="1" applyAlignment="1">
      <alignment horizontal="right" vertical="center"/>
    </xf>
    <xf numFmtId="0" fontId="3" fillId="3" borderId="0" xfId="0" applyFont="1" applyFill="1">
      <alignment vertical="center"/>
    </xf>
    <xf numFmtId="0" fontId="4" fillId="0" borderId="8" xfId="0" applyFont="1" applyBorder="1">
      <alignment vertical="center"/>
    </xf>
    <xf numFmtId="0" fontId="11" fillId="0" borderId="3" xfId="0" applyFont="1" applyBorder="1">
      <alignment vertical="center"/>
    </xf>
    <xf numFmtId="0" fontId="4" fillId="0" borderId="8" xfId="0" applyFont="1" applyBorder="1" applyAlignment="1">
      <alignment vertical="center" wrapText="1"/>
    </xf>
    <xf numFmtId="0" fontId="4" fillId="0" borderId="14" xfId="0" applyFont="1" applyBorder="1" applyAlignment="1">
      <alignment vertical="center" shrinkToFit="1"/>
    </xf>
    <xf numFmtId="0" fontId="4" fillId="0" borderId="9" xfId="0" applyFont="1" applyBorder="1" applyAlignment="1">
      <alignment vertical="center" wrapText="1"/>
    </xf>
    <xf numFmtId="0" fontId="8" fillId="0" borderId="0" xfId="0" applyFont="1" applyAlignment="1">
      <alignment horizontal="right" vertical="center"/>
    </xf>
    <xf numFmtId="0" fontId="3" fillId="0" borderId="0" xfId="0" applyFont="1" applyAlignment="1">
      <alignment horizontal="left" vertical="center" wrapText="1"/>
    </xf>
    <xf numFmtId="0" fontId="3" fillId="0" borderId="0" xfId="0" applyFont="1" applyAlignment="1">
      <alignment vertical="top" wrapText="1"/>
    </xf>
    <xf numFmtId="0" fontId="3" fillId="0" borderId="0" xfId="0" applyFont="1" applyAlignment="1">
      <alignment vertical="top"/>
    </xf>
    <xf numFmtId="0" fontId="8" fillId="0" borderId="10" xfId="0" applyFont="1" applyBorder="1" applyAlignment="1">
      <alignment vertical="center" wrapText="1"/>
    </xf>
    <xf numFmtId="0" fontId="4" fillId="0" borderId="0" xfId="0" applyFont="1" applyAlignment="1">
      <alignment horizontal="left" vertical="center" wrapText="1"/>
    </xf>
    <xf numFmtId="0" fontId="4" fillId="0" borderId="0" xfId="0" applyFont="1" applyAlignment="1">
      <alignment horizontal="center" vertical="center"/>
    </xf>
    <xf numFmtId="0" fontId="4" fillId="0" borderId="5" xfId="0" applyFont="1" applyBorder="1">
      <alignment vertical="center"/>
    </xf>
    <xf numFmtId="0" fontId="4" fillId="0" borderId="28" xfId="0" applyFont="1" applyBorder="1">
      <alignment vertical="center"/>
    </xf>
    <xf numFmtId="0" fontId="13" fillId="0" borderId="0" xfId="0" applyFont="1" applyAlignment="1">
      <alignment horizontal="left" vertical="center"/>
    </xf>
    <xf numFmtId="0" fontId="13" fillId="0" borderId="0" xfId="0" applyFont="1">
      <alignment vertical="center"/>
    </xf>
    <xf numFmtId="0" fontId="15" fillId="0" borderId="0" xfId="0" applyFont="1" applyAlignment="1">
      <alignment horizontal="left" vertical="center"/>
    </xf>
    <xf numFmtId="0" fontId="15" fillId="0" borderId="0" xfId="0" applyFont="1" applyAlignment="1">
      <alignment horizontal="left" vertical="center" wrapText="1"/>
    </xf>
    <xf numFmtId="0" fontId="14" fillId="0" borderId="0" xfId="0" applyFont="1" applyAlignment="1">
      <alignment horizontal="left" vertical="center"/>
    </xf>
    <xf numFmtId="0" fontId="14" fillId="0" borderId="0" xfId="0" applyFont="1" applyAlignment="1">
      <alignment vertical="top"/>
    </xf>
    <xf numFmtId="0" fontId="13" fillId="0" borderId="0" xfId="0" applyFont="1" applyAlignment="1">
      <alignment horizontal="left" vertical="center" wrapText="1"/>
    </xf>
    <xf numFmtId="0" fontId="13" fillId="0" borderId="0" xfId="0" applyFont="1" applyAlignment="1">
      <alignment vertical="center" wrapText="1"/>
    </xf>
    <xf numFmtId="0" fontId="6" fillId="0" borderId="0" xfId="0" applyFont="1" applyAlignment="1">
      <alignment horizontal="right" vertical="center"/>
    </xf>
    <xf numFmtId="0" fontId="15" fillId="0" borderId="0" xfId="0" applyFont="1" applyAlignment="1">
      <alignment vertical="top"/>
    </xf>
    <xf numFmtId="0" fontId="4" fillId="2" borderId="12" xfId="0" applyFont="1" applyFill="1" applyBorder="1">
      <alignment vertical="center"/>
    </xf>
    <xf numFmtId="0" fontId="12" fillId="2" borderId="12" xfId="0" applyFont="1" applyFill="1" applyBorder="1" applyAlignment="1">
      <alignment vertical="center" wrapText="1"/>
    </xf>
    <xf numFmtId="0" fontId="16" fillId="0" borderId="0" xfId="0" applyFont="1">
      <alignment vertical="center"/>
    </xf>
    <xf numFmtId="0" fontId="19" fillId="0" borderId="0" xfId="0" applyFont="1">
      <alignment vertical="center"/>
    </xf>
    <xf numFmtId="0" fontId="20" fillId="0" borderId="0" xfId="0" applyFont="1">
      <alignment vertical="center"/>
    </xf>
    <xf numFmtId="0" fontId="4" fillId="0" borderId="12" xfId="0" applyFont="1" applyBorder="1" applyAlignment="1">
      <alignment horizontal="center" vertical="center" wrapText="1"/>
    </xf>
    <xf numFmtId="0" fontId="4" fillId="0" borderId="12" xfId="0" applyFont="1" applyBorder="1" applyAlignment="1">
      <alignment vertical="center" wrapText="1"/>
    </xf>
    <xf numFmtId="0" fontId="4" fillId="0" borderId="0" xfId="0" applyFont="1" applyAlignment="1">
      <alignment horizontal="right" vertical="top"/>
    </xf>
    <xf numFmtId="0" fontId="4" fillId="0" borderId="0" xfId="0" applyFont="1" applyAlignment="1">
      <alignment vertical="top"/>
    </xf>
    <xf numFmtId="0" fontId="23" fillId="0" borderId="0" xfId="0" applyFont="1">
      <alignment vertical="center"/>
    </xf>
    <xf numFmtId="180" fontId="4" fillId="3" borderId="0" xfId="0" applyNumberFormat="1" applyFont="1" applyFill="1">
      <alignment vertical="center"/>
    </xf>
    <xf numFmtId="0" fontId="4" fillId="0" borderId="12" xfId="0" applyFont="1" applyBorder="1" applyProtection="1">
      <alignment vertical="center"/>
      <protection locked="0"/>
    </xf>
    <xf numFmtId="178" fontId="4" fillId="0" borderId="10" xfId="0" applyNumberFormat="1" applyFont="1" applyBorder="1" applyProtection="1">
      <alignment vertical="center"/>
      <protection locked="0"/>
    </xf>
    <xf numFmtId="0" fontId="4" fillId="0" borderId="12" xfId="0" applyFont="1" applyBorder="1" applyAlignment="1" applyProtection="1">
      <alignment vertical="center" wrapText="1"/>
      <protection locked="0"/>
    </xf>
    <xf numFmtId="49" fontId="4" fillId="0" borderId="12" xfId="0" applyNumberFormat="1" applyFont="1" applyBorder="1" applyAlignment="1" applyProtection="1">
      <alignment vertical="center" wrapText="1"/>
      <protection locked="0"/>
    </xf>
    <xf numFmtId="0" fontId="25" fillId="3" borderId="0" xfId="0" applyFont="1" applyFill="1">
      <alignment vertical="center"/>
    </xf>
    <xf numFmtId="0" fontId="26" fillId="3" borderId="0" xfId="0" applyFont="1" applyFill="1">
      <alignment vertical="center"/>
    </xf>
    <xf numFmtId="0" fontId="26" fillId="3" borderId="12" xfId="0" applyFont="1" applyFill="1" applyBorder="1" applyProtection="1">
      <alignment vertical="center"/>
      <protection locked="0"/>
    </xf>
    <xf numFmtId="0" fontId="27" fillId="0" borderId="0" xfId="0" applyFont="1">
      <alignment vertical="center"/>
    </xf>
    <xf numFmtId="0" fontId="23" fillId="0" borderId="0" xfId="0" applyFont="1" applyAlignment="1">
      <alignment vertical="center" wrapText="1"/>
    </xf>
    <xf numFmtId="38" fontId="23" fillId="0" borderId="12" xfId="1" applyFont="1" applyBorder="1" applyProtection="1">
      <alignment vertical="center"/>
      <protection locked="0"/>
    </xf>
    <xf numFmtId="38" fontId="23" fillId="2" borderId="12" xfId="1" applyFont="1" applyFill="1" applyBorder="1">
      <alignment vertical="center"/>
    </xf>
    <xf numFmtId="38" fontId="23" fillId="2" borderId="12" xfId="0" applyNumberFormat="1" applyFont="1" applyFill="1" applyBorder="1">
      <alignment vertical="center"/>
    </xf>
    <xf numFmtId="38" fontId="23" fillId="0" borderId="12" xfId="1" applyFont="1" applyFill="1" applyBorder="1" applyProtection="1">
      <alignment vertical="center"/>
      <protection locked="0"/>
    </xf>
    <xf numFmtId="0" fontId="25" fillId="0" borderId="0" xfId="0" applyFont="1">
      <alignment vertical="center"/>
    </xf>
    <xf numFmtId="0" fontId="4" fillId="0" borderId="0" xfId="0" applyFont="1" applyProtection="1">
      <alignment vertical="center"/>
      <protection locked="0"/>
    </xf>
    <xf numFmtId="49" fontId="4" fillId="0" borderId="0" xfId="0" applyNumberFormat="1" applyFont="1" applyAlignment="1">
      <alignment horizontal="right" vertical="center"/>
    </xf>
    <xf numFmtId="0" fontId="26" fillId="0" borderId="0" xfId="0" applyFont="1">
      <alignment vertical="center"/>
    </xf>
    <xf numFmtId="176" fontId="4" fillId="0" borderId="3" xfId="0" applyNumberFormat="1" applyFont="1" applyBorder="1">
      <alignment vertical="center"/>
    </xf>
    <xf numFmtId="0" fontId="4" fillId="0" borderId="4" xfId="0" applyFont="1" applyBorder="1">
      <alignment vertical="center"/>
    </xf>
    <xf numFmtId="0" fontId="8" fillId="0" borderId="8" xfId="0" applyFont="1" applyBorder="1">
      <alignment vertical="center"/>
    </xf>
    <xf numFmtId="0" fontId="8" fillId="0" borderId="4" xfId="0" applyFont="1" applyBorder="1">
      <alignment vertical="center"/>
    </xf>
    <xf numFmtId="0" fontId="28" fillId="0" borderId="9" xfId="0" applyFont="1" applyBorder="1">
      <alignment vertical="center"/>
    </xf>
    <xf numFmtId="0" fontId="28" fillId="0" borderId="10" xfId="0" applyFont="1" applyBorder="1">
      <alignment vertical="center"/>
    </xf>
    <xf numFmtId="0" fontId="8" fillId="0" borderId="0" xfId="0" applyFont="1" applyAlignment="1"/>
    <xf numFmtId="0" fontId="8" fillId="0" borderId="0" xfId="0" applyFont="1" applyAlignment="1">
      <alignment vertical="center" wrapText="1"/>
    </xf>
    <xf numFmtId="0" fontId="11" fillId="0" borderId="0" xfId="0" applyFont="1">
      <alignment vertical="center"/>
    </xf>
    <xf numFmtId="0" fontId="8" fillId="0" borderId="6" xfId="0" applyFont="1" applyBorder="1" applyAlignment="1">
      <alignment horizontal="center" vertical="center"/>
    </xf>
    <xf numFmtId="0" fontId="9" fillId="4" borderId="12" xfId="0" applyFont="1" applyFill="1" applyBorder="1">
      <alignment vertical="center"/>
    </xf>
    <xf numFmtId="0" fontId="4" fillId="0" borderId="12" xfId="0" applyFont="1" applyBorder="1" applyAlignment="1">
      <alignment horizontal="center" vertical="center"/>
    </xf>
    <xf numFmtId="0" fontId="4" fillId="0" borderId="0" xfId="0" applyFont="1" applyAlignment="1">
      <alignment vertical="center" wrapText="1"/>
    </xf>
    <xf numFmtId="0" fontId="12" fillId="0" borderId="0" xfId="0" applyFont="1">
      <alignment vertical="center"/>
    </xf>
    <xf numFmtId="0" fontId="4" fillId="0" borderId="0" xfId="0" applyFont="1" applyAlignment="1" applyProtection="1">
      <alignment vertical="center" wrapText="1"/>
      <protection locked="0"/>
    </xf>
    <xf numFmtId="49" fontId="4" fillId="0" borderId="0" xfId="0" applyNumberFormat="1" applyFont="1" applyAlignment="1" applyProtection="1">
      <alignment vertical="center" wrapText="1"/>
      <protection locked="0"/>
    </xf>
    <xf numFmtId="0" fontId="4" fillId="0" borderId="2" xfId="0" applyFont="1" applyBorder="1">
      <alignment vertical="center"/>
    </xf>
    <xf numFmtId="0" fontId="4" fillId="0" borderId="12" xfId="0" applyFont="1" applyBorder="1" applyAlignment="1">
      <alignment horizontal="left" vertical="center"/>
    </xf>
    <xf numFmtId="0" fontId="4" fillId="0" borderId="12" xfId="0" applyFont="1" applyBorder="1" applyAlignment="1">
      <alignment horizontal="left" vertical="center" wrapText="1"/>
    </xf>
    <xf numFmtId="0" fontId="9" fillId="0" borderId="0" xfId="0" applyFont="1" applyAlignment="1">
      <alignment horizontal="center" vertical="center"/>
    </xf>
    <xf numFmtId="0" fontId="4" fillId="0" borderId="0" xfId="0" applyFont="1" applyAlignment="1" applyProtection="1">
      <alignment horizontal="left" vertical="center"/>
      <protection locked="0"/>
    </xf>
    <xf numFmtId="0" fontId="8" fillId="0" borderId="8" xfId="0" applyFont="1" applyBorder="1" applyAlignment="1">
      <alignment horizontal="left" vertical="center" wrapText="1"/>
    </xf>
    <xf numFmtId="0" fontId="8" fillId="0" borderId="0" xfId="0" applyFont="1" applyAlignment="1">
      <alignment horizontal="left" vertical="center" wrapText="1"/>
    </xf>
    <xf numFmtId="0" fontId="8" fillId="0" borderId="4" xfId="0" applyFont="1" applyBorder="1" applyAlignment="1">
      <alignment horizontal="left" vertical="center" wrapText="1"/>
    </xf>
    <xf numFmtId="0" fontId="23" fillId="0" borderId="12" xfId="0" applyFont="1" applyBorder="1" applyAlignment="1">
      <alignment horizontal="center" vertical="center"/>
    </xf>
    <xf numFmtId="0" fontId="23" fillId="0" borderId="12" xfId="0" applyFont="1" applyBorder="1" applyAlignment="1">
      <alignment vertical="center" shrinkToFit="1"/>
    </xf>
    <xf numFmtId="0" fontId="9" fillId="0" borderId="0" xfId="0" applyFont="1" applyAlignment="1">
      <alignment horizontal="left" vertical="center"/>
    </xf>
    <xf numFmtId="179" fontId="4" fillId="0" borderId="0" xfId="0" applyNumberFormat="1" applyFont="1" applyProtection="1">
      <alignment vertical="center"/>
      <protection locked="0"/>
    </xf>
    <xf numFmtId="184" fontId="4" fillId="0" borderId="0" xfId="0" applyNumberFormat="1" applyFont="1" applyAlignment="1">
      <alignment horizontal="right" vertical="center"/>
    </xf>
    <xf numFmtId="176" fontId="4" fillId="0" borderId="0" xfId="0" applyNumberFormat="1" applyFont="1">
      <alignment vertical="center"/>
    </xf>
    <xf numFmtId="176" fontId="4" fillId="0" borderId="0" xfId="0" applyNumberFormat="1" applyFont="1" applyAlignment="1">
      <alignment horizontal="right" vertical="center"/>
    </xf>
    <xf numFmtId="0" fontId="26" fillId="3" borderId="0" xfId="0" applyFont="1" applyFill="1" applyProtection="1">
      <alignment vertical="center"/>
      <protection locked="0"/>
    </xf>
    <xf numFmtId="0" fontId="29" fillId="0" borderId="0" xfId="0" applyFont="1">
      <alignment vertical="center"/>
    </xf>
    <xf numFmtId="0" fontId="30" fillId="0" borderId="0" xfId="0" applyFont="1" applyAlignment="1">
      <alignment horizontal="center" vertical="center"/>
    </xf>
    <xf numFmtId="0" fontId="30" fillId="0" borderId="0" xfId="0" applyFont="1">
      <alignment vertical="center"/>
    </xf>
    <xf numFmtId="185" fontId="30" fillId="0" borderId="0" xfId="0" applyNumberFormat="1" applyFont="1">
      <alignment vertical="center"/>
    </xf>
    <xf numFmtId="0" fontId="31" fillId="0" borderId="0" xfId="0" applyFont="1">
      <alignment vertical="center"/>
    </xf>
    <xf numFmtId="178" fontId="30" fillId="0" borderId="0" xfId="0" applyNumberFormat="1" applyFont="1">
      <alignment vertical="center"/>
    </xf>
    <xf numFmtId="186" fontId="30" fillId="0" borderId="0" xfId="0" applyNumberFormat="1" applyFont="1">
      <alignment vertical="center"/>
    </xf>
    <xf numFmtId="185" fontId="30" fillId="6" borderId="0" xfId="0" applyNumberFormat="1" applyFont="1" applyFill="1">
      <alignment vertical="center"/>
    </xf>
    <xf numFmtId="0" fontId="30" fillId="6" borderId="0" xfId="0" applyFont="1" applyFill="1">
      <alignment vertical="center"/>
    </xf>
    <xf numFmtId="0" fontId="30" fillId="6" borderId="0" xfId="0" applyFont="1" applyFill="1" applyAlignment="1">
      <alignment horizontal="center" vertical="center"/>
    </xf>
    <xf numFmtId="178" fontId="30" fillId="6" borderId="0" xfId="0" applyNumberFormat="1" applyFont="1" applyFill="1">
      <alignment vertical="center"/>
    </xf>
    <xf numFmtId="186" fontId="30" fillId="6" borderId="0" xfId="0" applyNumberFormat="1" applyFont="1" applyFill="1">
      <alignment vertical="center"/>
    </xf>
    <xf numFmtId="178" fontId="30" fillId="7" borderId="10" xfId="0" applyNumberFormat="1" applyFont="1" applyFill="1" applyBorder="1">
      <alignment vertical="center"/>
    </xf>
    <xf numFmtId="0" fontId="29" fillId="0" borderId="13" xfId="0" applyFont="1" applyBorder="1" applyAlignment="1">
      <alignment vertical="top" wrapText="1"/>
    </xf>
    <xf numFmtId="0" fontId="33" fillId="0" borderId="13" xfId="0" applyFont="1" applyBorder="1" applyAlignment="1">
      <alignment vertical="top" wrapText="1"/>
    </xf>
    <xf numFmtId="0" fontId="30" fillId="0" borderId="13" xfId="0" applyFont="1" applyBorder="1" applyAlignment="1">
      <alignment horizontal="center" vertical="top" wrapText="1"/>
    </xf>
    <xf numFmtId="0" fontId="30" fillId="0" borderId="13" xfId="0" applyFont="1" applyBorder="1" applyAlignment="1">
      <alignment vertical="top" wrapText="1"/>
    </xf>
    <xf numFmtId="0" fontId="34" fillId="0" borderId="13" xfId="0" applyFont="1" applyBorder="1" applyAlignment="1">
      <alignment vertical="top" wrapText="1"/>
    </xf>
    <xf numFmtId="0" fontId="35" fillId="0" borderId="13" xfId="0" applyFont="1" applyBorder="1" applyAlignment="1">
      <alignment vertical="top" wrapText="1"/>
    </xf>
    <xf numFmtId="185" fontId="30" fillId="0" borderId="13" xfId="0" applyNumberFormat="1" applyFont="1" applyBorder="1" applyAlignment="1">
      <alignment vertical="top" wrapText="1"/>
    </xf>
    <xf numFmtId="0" fontId="30" fillId="0" borderId="1" xfId="0" applyFont="1" applyBorder="1" applyAlignment="1">
      <alignment vertical="top" wrapText="1"/>
    </xf>
    <xf numFmtId="0" fontId="30" fillId="0" borderId="2" xfId="0" applyFont="1" applyBorder="1" applyAlignment="1">
      <alignment horizontal="center" vertical="top" wrapText="1"/>
    </xf>
    <xf numFmtId="0" fontId="30" fillId="0" borderId="2" xfId="0" applyFont="1" applyBorder="1" applyAlignment="1">
      <alignment vertical="top" wrapText="1"/>
    </xf>
    <xf numFmtId="0" fontId="30" fillId="0" borderId="3" xfId="0" applyFont="1" applyBorder="1" applyAlignment="1">
      <alignment horizontal="center" vertical="top" wrapText="1"/>
    </xf>
    <xf numFmtId="0" fontId="30" fillId="0" borderId="1" xfId="0" applyFont="1" applyBorder="1" applyAlignment="1">
      <alignment horizontal="center" vertical="top" wrapText="1"/>
    </xf>
    <xf numFmtId="0" fontId="30" fillId="0" borderId="3" xfId="0" applyFont="1" applyBorder="1" applyAlignment="1">
      <alignment vertical="top"/>
    </xf>
    <xf numFmtId="178" fontId="30" fillId="8" borderId="0" xfId="0" applyNumberFormat="1" applyFont="1" applyFill="1" applyAlignment="1">
      <alignment vertical="top"/>
    </xf>
    <xf numFmtId="178" fontId="30" fillId="8" borderId="0" xfId="0" applyNumberFormat="1" applyFont="1" applyFill="1" applyAlignment="1">
      <alignment vertical="top" wrapText="1"/>
    </xf>
    <xf numFmtId="178" fontId="30" fillId="9" borderId="0" xfId="0" applyNumberFormat="1" applyFont="1" applyFill="1" applyAlignment="1">
      <alignment vertical="top" wrapText="1"/>
    </xf>
    <xf numFmtId="185" fontId="30" fillId="0" borderId="6" xfId="0" applyNumberFormat="1" applyFont="1" applyBorder="1" applyAlignment="1">
      <alignment vertical="top" wrapText="1"/>
    </xf>
    <xf numFmtId="185" fontId="30" fillId="0" borderId="5" xfId="0" applyNumberFormat="1" applyFont="1" applyBorder="1" applyAlignment="1">
      <alignment vertical="top" wrapText="1"/>
    </xf>
    <xf numFmtId="185" fontId="30" fillId="0" borderId="6" xfId="0" applyNumberFormat="1" applyFont="1" applyBorder="1" applyAlignment="1">
      <alignment vertical="top"/>
    </xf>
    <xf numFmtId="186" fontId="30" fillId="0" borderId="7" xfId="0" applyNumberFormat="1" applyFont="1" applyBorder="1" applyAlignment="1">
      <alignment vertical="top"/>
    </xf>
    <xf numFmtId="0" fontId="30" fillId="0" borderId="6" xfId="0" applyFont="1" applyBorder="1" applyAlignment="1">
      <alignment vertical="top" wrapText="1"/>
    </xf>
    <xf numFmtId="0" fontId="30" fillId="0" borderId="7" xfId="0" applyFont="1" applyBorder="1" applyAlignment="1">
      <alignment vertical="top" wrapText="1"/>
    </xf>
    <xf numFmtId="0" fontId="30" fillId="0" borderId="7" xfId="0" applyFont="1" applyBorder="1" applyAlignment="1">
      <alignment horizontal="center" vertical="top" wrapText="1"/>
    </xf>
    <xf numFmtId="0" fontId="30" fillId="0" borderId="6" xfId="0" applyFont="1" applyBorder="1" applyAlignment="1">
      <alignment vertical="top"/>
    </xf>
    <xf numFmtId="0" fontId="30" fillId="0" borderId="5" xfId="0" applyFont="1" applyBorder="1" applyAlignment="1">
      <alignment vertical="top" wrapText="1"/>
    </xf>
    <xf numFmtId="0" fontId="30" fillId="0" borderId="0" xfId="0" applyFont="1" applyAlignment="1">
      <alignment vertical="top" wrapText="1"/>
    </xf>
    <xf numFmtId="178" fontId="30" fillId="8" borderId="0" xfId="0" applyNumberFormat="1" applyFont="1" applyFill="1" applyAlignment="1">
      <alignment horizontal="center" vertical="top" wrapText="1"/>
    </xf>
    <xf numFmtId="178" fontId="30" fillId="9" borderId="1" xfId="0" applyNumberFormat="1" applyFont="1" applyFill="1" applyBorder="1" applyAlignment="1">
      <alignment vertical="top" wrapText="1"/>
    </xf>
    <xf numFmtId="178" fontId="30" fillId="9" borderId="2" xfId="0" applyNumberFormat="1" applyFont="1" applyFill="1" applyBorder="1" applyAlignment="1">
      <alignment vertical="top" wrapText="1"/>
    </xf>
    <xf numFmtId="185" fontId="30" fillId="0" borderId="5" xfId="0" applyNumberFormat="1" applyFont="1" applyBorder="1" applyAlignment="1">
      <alignment vertical="top"/>
    </xf>
    <xf numFmtId="186" fontId="30" fillId="0" borderId="5" xfId="0" applyNumberFormat="1" applyFont="1" applyBorder="1" applyAlignment="1">
      <alignment vertical="top"/>
    </xf>
    <xf numFmtId="0" fontId="36" fillId="0" borderId="29" xfId="0" applyFont="1" applyBorder="1">
      <alignment vertical="center"/>
    </xf>
    <xf numFmtId="0" fontId="33" fillId="0" borderId="29" xfId="0" applyFont="1" applyBorder="1">
      <alignment vertical="center"/>
    </xf>
    <xf numFmtId="0" fontId="30" fillId="0" borderId="29" xfId="0" applyFont="1" applyBorder="1" applyAlignment="1">
      <alignment horizontal="center" vertical="center"/>
    </xf>
    <xf numFmtId="0" fontId="30" fillId="0" borderId="29" xfId="0" applyFont="1" applyBorder="1">
      <alignment vertical="center"/>
    </xf>
    <xf numFmtId="185" fontId="30" fillId="0" borderId="29" xfId="0" applyNumberFormat="1" applyFont="1" applyBorder="1">
      <alignment vertical="center"/>
    </xf>
    <xf numFmtId="0" fontId="30" fillId="0" borderId="13" xfId="0" applyFont="1" applyBorder="1">
      <alignment vertical="center"/>
    </xf>
    <xf numFmtId="0" fontId="30" fillId="0" borderId="13" xfId="0" applyFont="1" applyBorder="1" applyAlignment="1">
      <alignment horizontal="center" vertical="center"/>
    </xf>
    <xf numFmtId="0" fontId="30" fillId="0" borderId="1" xfId="0" applyFont="1" applyBorder="1">
      <alignment vertical="center"/>
    </xf>
    <xf numFmtId="178" fontId="30" fillId="0" borderId="13" xfId="0" applyNumberFormat="1" applyFont="1" applyBorder="1">
      <alignment vertical="center"/>
    </xf>
    <xf numFmtId="178" fontId="30" fillId="4" borderId="1" xfId="0" applyNumberFormat="1" applyFont="1" applyFill="1" applyBorder="1">
      <alignment vertical="center"/>
    </xf>
    <xf numFmtId="178" fontId="30" fillId="4" borderId="3" xfId="0" applyNumberFormat="1" applyFont="1" applyFill="1" applyBorder="1">
      <alignment vertical="center"/>
    </xf>
    <xf numFmtId="178" fontId="30" fillId="2" borderId="1" xfId="0" applyNumberFormat="1" applyFont="1" applyFill="1" applyBorder="1">
      <alignment vertical="center"/>
    </xf>
    <xf numFmtId="178" fontId="30" fillId="2" borderId="2" xfId="0" applyNumberFormat="1" applyFont="1" applyFill="1" applyBorder="1">
      <alignment vertical="center"/>
    </xf>
    <xf numFmtId="178" fontId="30" fillId="2" borderId="3" xfId="0" applyNumberFormat="1" applyFont="1" applyFill="1" applyBorder="1">
      <alignment vertical="center"/>
    </xf>
    <xf numFmtId="178" fontId="30" fillId="10" borderId="1" xfId="0" applyNumberFormat="1" applyFont="1" applyFill="1" applyBorder="1">
      <alignment vertical="center"/>
    </xf>
    <xf numFmtId="178" fontId="30" fillId="10" borderId="2" xfId="0" applyNumberFormat="1" applyFont="1" applyFill="1" applyBorder="1">
      <alignment vertical="center"/>
    </xf>
    <xf numFmtId="178" fontId="30" fillId="10" borderId="3" xfId="0" applyNumberFormat="1" applyFont="1" applyFill="1" applyBorder="1">
      <alignment vertical="center"/>
    </xf>
    <xf numFmtId="178" fontId="37" fillId="6" borderId="3" xfId="0" applyNumberFormat="1" applyFont="1" applyFill="1" applyBorder="1">
      <alignment vertical="center"/>
    </xf>
    <xf numFmtId="178" fontId="30" fillId="7" borderId="1" xfId="0" applyNumberFormat="1" applyFont="1" applyFill="1" applyBorder="1">
      <alignment vertical="center"/>
    </xf>
    <xf numFmtId="178" fontId="30" fillId="7" borderId="2" xfId="0" applyNumberFormat="1" applyFont="1" applyFill="1" applyBorder="1">
      <alignment vertical="center"/>
    </xf>
    <xf numFmtId="178" fontId="30" fillId="7" borderId="3" xfId="0" applyNumberFormat="1" applyFont="1" applyFill="1" applyBorder="1">
      <alignment vertical="center"/>
    </xf>
    <xf numFmtId="178" fontId="30" fillId="11" borderId="1" xfId="0" applyNumberFormat="1" applyFont="1" applyFill="1" applyBorder="1">
      <alignment vertical="center"/>
    </xf>
    <xf numFmtId="178" fontId="30" fillId="11" borderId="2" xfId="0" applyNumberFormat="1" applyFont="1" applyFill="1" applyBorder="1">
      <alignment vertical="center"/>
    </xf>
    <xf numFmtId="178" fontId="30" fillId="11" borderId="3" xfId="0" applyNumberFormat="1" applyFont="1" applyFill="1" applyBorder="1">
      <alignment vertical="center"/>
    </xf>
    <xf numFmtId="178" fontId="30" fillId="3" borderId="1" xfId="0" applyNumberFormat="1" applyFont="1" applyFill="1" applyBorder="1">
      <alignment vertical="center"/>
    </xf>
    <xf numFmtId="178" fontId="30" fillId="3" borderId="2" xfId="0" applyNumberFormat="1" applyFont="1" applyFill="1" applyBorder="1">
      <alignment vertical="center"/>
    </xf>
    <xf numFmtId="178" fontId="30" fillId="3" borderId="3" xfId="0" applyNumberFormat="1" applyFont="1" applyFill="1" applyBorder="1">
      <alignment vertical="center"/>
    </xf>
    <xf numFmtId="178" fontId="30" fillId="4" borderId="2" xfId="0" applyNumberFormat="1" applyFont="1" applyFill="1" applyBorder="1" applyAlignment="1">
      <alignment vertical="center" wrapText="1"/>
    </xf>
    <xf numFmtId="178" fontId="30" fillId="4" borderId="3" xfId="0" applyNumberFormat="1" applyFont="1" applyFill="1" applyBorder="1" applyAlignment="1">
      <alignment vertical="center" wrapText="1"/>
    </xf>
    <xf numFmtId="178" fontId="30" fillId="9" borderId="0" xfId="0" applyNumberFormat="1" applyFont="1" applyFill="1" applyAlignment="1">
      <alignment vertical="center" wrapText="1"/>
    </xf>
    <xf numFmtId="185" fontId="30" fillId="0" borderId="9" xfId="0" applyNumberFormat="1" applyFont="1" applyBorder="1" applyAlignment="1">
      <alignment vertical="top" wrapText="1"/>
    </xf>
    <xf numFmtId="185" fontId="30" fillId="0" borderId="10" xfId="0" applyNumberFormat="1" applyFont="1" applyBorder="1" applyAlignment="1">
      <alignment vertical="top" wrapText="1"/>
    </xf>
    <xf numFmtId="185" fontId="30" fillId="0" borderId="0" xfId="0" applyNumberFormat="1" applyFont="1" applyAlignment="1">
      <alignment horizontal="center" vertical="top" wrapText="1"/>
    </xf>
    <xf numFmtId="185" fontId="30" fillId="0" borderId="8" xfId="0" applyNumberFormat="1" applyFont="1" applyBorder="1" applyAlignment="1">
      <alignment vertical="top"/>
    </xf>
    <xf numFmtId="186" fontId="30" fillId="0" borderId="4" xfId="0" applyNumberFormat="1" applyFont="1" applyBorder="1" applyAlignment="1">
      <alignment vertical="top"/>
    </xf>
    <xf numFmtId="0" fontId="30" fillId="0" borderId="8" xfId="0" applyFont="1" applyBorder="1">
      <alignment vertical="center"/>
    </xf>
    <xf numFmtId="0" fontId="30" fillId="0" borderId="4" xfId="0" applyFont="1" applyBorder="1">
      <alignment vertical="center"/>
    </xf>
    <xf numFmtId="0" fontId="30" fillId="0" borderId="4" xfId="0" applyFont="1" applyBorder="1" applyAlignment="1">
      <alignment horizontal="center" vertical="center"/>
    </xf>
    <xf numFmtId="187" fontId="30" fillId="0" borderId="29" xfId="0" applyNumberFormat="1" applyFont="1" applyBorder="1">
      <alignment vertical="center"/>
    </xf>
    <xf numFmtId="185" fontId="30" fillId="0" borderId="8" xfId="0" applyNumberFormat="1" applyFont="1" applyBorder="1" applyAlignment="1">
      <alignment vertical="top" wrapText="1"/>
    </xf>
    <xf numFmtId="0" fontId="30" fillId="0" borderId="4" xfId="0" applyFont="1" applyBorder="1" applyAlignment="1">
      <alignment vertical="top" wrapText="1"/>
    </xf>
    <xf numFmtId="178" fontId="30" fillId="4" borderId="2" xfId="0" applyNumberFormat="1" applyFont="1" applyFill="1" applyBorder="1">
      <alignment vertical="center"/>
    </xf>
    <xf numFmtId="178" fontId="37" fillId="6" borderId="1" xfId="0" applyNumberFormat="1" applyFont="1" applyFill="1" applyBorder="1">
      <alignment vertical="center"/>
    </xf>
    <xf numFmtId="178" fontId="30" fillId="8" borderId="13" xfId="0" applyNumberFormat="1" applyFont="1" applyFill="1" applyBorder="1" applyAlignment="1">
      <alignment vertical="center" wrapText="1"/>
    </xf>
    <xf numFmtId="178" fontId="30" fillId="4" borderId="1" xfId="0" applyNumberFormat="1" applyFont="1" applyFill="1" applyBorder="1" applyAlignment="1">
      <alignment vertical="center" wrapText="1"/>
    </xf>
    <xf numFmtId="178" fontId="30" fillId="3" borderId="5" xfId="0" applyNumberFormat="1" applyFont="1" applyFill="1" applyBorder="1">
      <alignment vertical="center"/>
    </xf>
    <xf numFmtId="178" fontId="30" fillId="4" borderId="13" xfId="0" applyNumberFormat="1" applyFont="1" applyFill="1" applyBorder="1" applyAlignment="1">
      <alignment vertical="center" wrapText="1"/>
    </xf>
    <xf numFmtId="0" fontId="30" fillId="0" borderId="9" xfId="0" applyFont="1" applyBorder="1" applyAlignment="1">
      <alignment vertical="top"/>
    </xf>
    <xf numFmtId="185" fontId="30" fillId="0" borderId="10" xfId="0" applyNumberFormat="1" applyFont="1" applyBorder="1" applyAlignment="1">
      <alignment vertical="top"/>
    </xf>
    <xf numFmtId="186" fontId="30" fillId="0" borderId="10" xfId="0" applyNumberFormat="1" applyFont="1" applyBorder="1" applyAlignment="1"/>
    <xf numFmtId="186" fontId="30" fillId="0" borderId="11" xfId="0" applyNumberFormat="1" applyFont="1" applyBorder="1" applyAlignment="1"/>
    <xf numFmtId="0" fontId="36" fillId="5" borderId="14" xfId="0" applyFont="1" applyFill="1" applyBorder="1" applyAlignment="1">
      <alignment vertical="center" wrapText="1"/>
    </xf>
    <xf numFmtId="0" fontId="33" fillId="0" borderId="29" xfId="0" applyFont="1" applyBorder="1" applyAlignment="1">
      <alignment vertical="center" wrapText="1"/>
    </xf>
    <xf numFmtId="0" fontId="31" fillId="0" borderId="29" xfId="0" applyFont="1" applyBorder="1" applyAlignment="1">
      <alignment horizontal="center" vertical="center" wrapText="1"/>
    </xf>
    <xf numFmtId="0" fontId="30" fillId="5" borderId="29" xfId="0" applyFont="1" applyFill="1" applyBorder="1" applyAlignment="1">
      <alignment horizontal="center" vertical="center" wrapText="1"/>
    </xf>
    <xf numFmtId="0" fontId="37" fillId="0" borderId="29" xfId="0" applyFont="1" applyBorder="1" applyAlignment="1">
      <alignment vertical="center" wrapText="1"/>
    </xf>
    <xf numFmtId="185" fontId="30" fillId="0" borderId="29" xfId="0" applyNumberFormat="1" applyFont="1" applyBorder="1" applyAlignment="1">
      <alignment vertical="center" wrapText="1"/>
    </xf>
    <xf numFmtId="0" fontId="30" fillId="0" borderId="29" xfId="0" applyFont="1" applyBorder="1" applyAlignment="1">
      <alignment vertical="center" wrapText="1"/>
    </xf>
    <xf numFmtId="0" fontId="30" fillId="0" borderId="29" xfId="0" applyFont="1" applyBorder="1" applyAlignment="1">
      <alignment horizontal="center" vertical="center" wrapText="1"/>
    </xf>
    <xf numFmtId="178" fontId="30" fillId="0" borderId="29" xfId="0" applyNumberFormat="1" applyFont="1" applyBorder="1" applyAlignment="1">
      <alignment vertical="center" wrapText="1"/>
    </xf>
    <xf numFmtId="178" fontId="30" fillId="0" borderId="13" xfId="0" applyNumberFormat="1" applyFont="1" applyBorder="1" applyAlignment="1">
      <alignment vertical="center" wrapText="1"/>
    </xf>
    <xf numFmtId="178" fontId="30" fillId="5" borderId="13" xfId="0" applyNumberFormat="1" applyFont="1" applyFill="1" applyBorder="1" applyAlignment="1">
      <alignment vertical="center" wrapText="1"/>
    </xf>
    <xf numFmtId="178" fontId="30" fillId="5" borderId="29" xfId="0" applyNumberFormat="1" applyFont="1" applyFill="1" applyBorder="1" applyAlignment="1">
      <alignment vertical="center" wrapText="1"/>
    </xf>
    <xf numFmtId="178" fontId="40" fillId="0" borderId="29" xfId="0" applyNumberFormat="1" applyFont="1" applyBorder="1" applyAlignment="1">
      <alignment vertical="center" wrapText="1"/>
    </xf>
    <xf numFmtId="178" fontId="30" fillId="4" borderId="29" xfId="0" applyNumberFormat="1" applyFont="1" applyFill="1" applyBorder="1" applyAlignment="1">
      <alignment vertical="center" wrapText="1"/>
    </xf>
    <xf numFmtId="178" fontId="41" fillId="0" borderId="13" xfId="0" applyNumberFormat="1" applyFont="1" applyBorder="1" applyAlignment="1">
      <alignment vertical="center" wrapText="1"/>
    </xf>
    <xf numFmtId="178" fontId="30" fillId="0" borderId="14" xfId="0" applyNumberFormat="1" applyFont="1" applyBorder="1" applyAlignment="1">
      <alignment vertical="center" wrapText="1"/>
    </xf>
    <xf numFmtId="178" fontId="42" fillId="8" borderId="0" xfId="0" applyNumberFormat="1" applyFont="1" applyFill="1" applyAlignment="1">
      <alignment vertical="center" wrapText="1"/>
    </xf>
    <xf numFmtId="178" fontId="42" fillId="12" borderId="0" xfId="0" applyNumberFormat="1" applyFont="1" applyFill="1" applyAlignment="1">
      <alignment vertical="center" wrapText="1"/>
    </xf>
    <xf numFmtId="178" fontId="30" fillId="9" borderId="13" xfId="0" applyNumberFormat="1" applyFont="1" applyFill="1" applyBorder="1" applyAlignment="1">
      <alignment vertical="center" wrapText="1"/>
    </xf>
    <xf numFmtId="185" fontId="30" fillId="0" borderId="13" xfId="0" applyNumberFormat="1" applyFont="1" applyBorder="1">
      <alignment vertical="center"/>
    </xf>
    <xf numFmtId="186" fontId="30" fillId="4" borderId="13" xfId="0" applyNumberFormat="1" applyFont="1" applyFill="1" applyBorder="1">
      <alignment vertical="center"/>
    </xf>
    <xf numFmtId="0" fontId="30" fillId="0" borderId="13" xfId="0" applyFont="1" applyBorder="1" applyAlignment="1">
      <alignment vertical="center" wrapText="1"/>
    </xf>
    <xf numFmtId="0" fontId="30" fillId="0" borderId="13" xfId="0" applyFont="1" applyBorder="1" applyAlignment="1">
      <alignment horizontal="center" vertical="center" wrapText="1"/>
    </xf>
    <xf numFmtId="185" fontId="30" fillId="0" borderId="13" xfId="0" applyNumberFormat="1" applyFont="1" applyBorder="1" applyAlignment="1">
      <alignment vertical="center" wrapText="1"/>
    </xf>
    <xf numFmtId="0" fontId="35" fillId="0" borderId="13" xfId="0" applyFont="1" applyBorder="1" applyAlignment="1">
      <alignment vertical="center" wrapText="1"/>
    </xf>
    <xf numFmtId="0" fontId="30" fillId="0" borderId="0" xfId="0" applyFont="1" applyAlignment="1">
      <alignment vertical="center" wrapText="1"/>
    </xf>
    <xf numFmtId="178" fontId="30" fillId="4" borderId="12" xfId="0" applyNumberFormat="1" applyFont="1" applyFill="1" applyBorder="1" applyAlignment="1">
      <alignment vertical="center" wrapText="1"/>
    </xf>
    <xf numFmtId="178" fontId="30" fillId="4" borderId="14" xfId="0" applyNumberFormat="1" applyFont="1" applyFill="1" applyBorder="1" applyAlignment="1">
      <alignment vertical="center" wrapText="1"/>
    </xf>
    <xf numFmtId="178" fontId="45" fillId="0" borderId="29" xfId="0" applyNumberFormat="1" applyFont="1" applyBorder="1" applyAlignment="1">
      <alignment vertical="center" wrapText="1"/>
    </xf>
    <xf numFmtId="178" fontId="30" fillId="8" borderId="14" xfId="0" applyNumberFormat="1" applyFont="1" applyFill="1" applyBorder="1" applyAlignment="1">
      <alignment vertical="center" wrapText="1"/>
    </xf>
    <xf numFmtId="178" fontId="30" fillId="0" borderId="0" xfId="0" applyNumberFormat="1" applyFont="1" applyAlignment="1">
      <alignment vertical="center" wrapText="1"/>
    </xf>
    <xf numFmtId="178" fontId="42" fillId="8" borderId="9" xfId="0" applyNumberFormat="1" applyFont="1" applyFill="1" applyBorder="1" applyAlignment="1">
      <alignment vertical="center" wrapText="1"/>
    </xf>
    <xf numFmtId="178" fontId="42" fillId="8" borderId="10" xfId="0" applyNumberFormat="1" applyFont="1" applyFill="1" applyBorder="1" applyAlignment="1">
      <alignment vertical="center" wrapText="1"/>
    </xf>
    <xf numFmtId="178" fontId="42" fillId="12" borderId="10" xfId="0" applyNumberFormat="1" applyFont="1" applyFill="1" applyBorder="1" applyAlignment="1">
      <alignment vertical="center" wrapText="1"/>
    </xf>
    <xf numFmtId="178" fontId="30" fillId="0" borderId="12" xfId="0" applyNumberFormat="1" applyFont="1" applyBorder="1" applyAlignment="1">
      <alignment vertical="center" wrapText="1"/>
    </xf>
    <xf numFmtId="0" fontId="30" fillId="0" borderId="12" xfId="0" applyFont="1" applyBorder="1" applyAlignment="1">
      <alignment vertical="center" wrapText="1"/>
    </xf>
    <xf numFmtId="185" fontId="30" fillId="0" borderId="12" xfId="0" applyNumberFormat="1" applyFont="1" applyBorder="1" applyAlignment="1">
      <alignment vertical="center" wrapText="1"/>
    </xf>
    <xf numFmtId="186" fontId="30" fillId="4" borderId="12" xfId="0" applyNumberFormat="1" applyFont="1" applyFill="1" applyBorder="1" applyAlignment="1">
      <alignment vertical="center" wrapText="1"/>
    </xf>
    <xf numFmtId="0" fontId="36" fillId="5" borderId="12" xfId="0" applyFont="1" applyFill="1" applyBorder="1">
      <alignment vertical="center"/>
    </xf>
    <xf numFmtId="0" fontId="33" fillId="0" borderId="12" xfId="0" applyFont="1" applyBorder="1">
      <alignment vertical="center"/>
    </xf>
    <xf numFmtId="0" fontId="0" fillId="0" borderId="12" xfId="0" applyBorder="1" applyAlignment="1">
      <alignment horizontal="center" vertical="center"/>
    </xf>
    <xf numFmtId="0" fontId="0" fillId="5" borderId="12" xfId="0" applyFill="1" applyBorder="1" applyAlignment="1">
      <alignment horizontal="center" vertical="center" shrinkToFit="1"/>
    </xf>
    <xf numFmtId="0" fontId="0" fillId="0" borderId="12" xfId="0" applyBorder="1">
      <alignment vertical="center"/>
    </xf>
    <xf numFmtId="185" fontId="0" fillId="0" borderId="12" xfId="0" applyNumberFormat="1" applyBorder="1">
      <alignment vertical="center"/>
    </xf>
    <xf numFmtId="0" fontId="0" fillId="5" borderId="12" xfId="0" applyFill="1" applyBorder="1">
      <alignment vertical="center"/>
    </xf>
    <xf numFmtId="0" fontId="0" fillId="5" borderId="12" xfId="0" applyFill="1" applyBorder="1" applyAlignment="1">
      <alignment horizontal="center" vertical="center"/>
    </xf>
    <xf numFmtId="178" fontId="0" fillId="5" borderId="12" xfId="0" applyNumberFormat="1" applyFill="1" applyBorder="1">
      <alignment vertical="center"/>
    </xf>
    <xf numFmtId="178" fontId="0" fillId="4" borderId="12" xfId="0" applyNumberFormat="1" applyFill="1" applyBorder="1">
      <alignment vertical="center"/>
    </xf>
    <xf numFmtId="178" fontId="33" fillId="4" borderId="12" xfId="0" applyNumberFormat="1" applyFont="1" applyFill="1" applyBorder="1">
      <alignment vertical="center"/>
    </xf>
    <xf numFmtId="178" fontId="0" fillId="0" borderId="12" xfId="0" applyNumberFormat="1" applyBorder="1">
      <alignment vertical="center"/>
    </xf>
    <xf numFmtId="188" fontId="0" fillId="0" borderId="12" xfId="0" applyNumberFormat="1" applyBorder="1">
      <alignment vertical="center"/>
    </xf>
    <xf numFmtId="185" fontId="0" fillId="5" borderId="1" xfId="0" applyNumberFormat="1" applyFill="1" applyBorder="1">
      <alignment vertical="center"/>
    </xf>
    <xf numFmtId="0" fontId="0" fillId="5" borderId="2" xfId="0" applyFill="1" applyBorder="1">
      <alignment vertical="center"/>
    </xf>
    <xf numFmtId="185" fontId="0" fillId="5" borderId="2" xfId="0" applyNumberFormat="1" applyFill="1" applyBorder="1">
      <alignment vertical="center"/>
    </xf>
    <xf numFmtId="0" fontId="0" fillId="5" borderId="3" xfId="0" applyFill="1" applyBorder="1">
      <alignment vertical="center"/>
    </xf>
    <xf numFmtId="186" fontId="0" fillId="4" borderId="12" xfId="0" applyNumberFormat="1" applyFill="1" applyBorder="1">
      <alignment vertical="center"/>
    </xf>
    <xf numFmtId="38" fontId="0" fillId="5" borderId="12" xfId="1" applyFont="1" applyFill="1" applyBorder="1">
      <alignment vertical="center"/>
    </xf>
    <xf numFmtId="183" fontId="0" fillId="0" borderId="12" xfId="0" applyNumberFormat="1" applyBorder="1">
      <alignment vertical="center"/>
    </xf>
    <xf numFmtId="0" fontId="30" fillId="13" borderId="0" xfId="0" applyFont="1" applyFill="1">
      <alignment vertical="center"/>
    </xf>
    <xf numFmtId="0" fontId="36" fillId="14" borderId="12" xfId="0" applyFont="1" applyFill="1" applyBorder="1">
      <alignment vertical="center"/>
    </xf>
    <xf numFmtId="0" fontId="33" fillId="14" borderId="12" xfId="0" applyFont="1" applyFill="1" applyBorder="1">
      <alignment vertical="center"/>
    </xf>
    <xf numFmtId="0" fontId="0" fillId="14" borderId="12" xfId="0" applyFill="1" applyBorder="1" applyAlignment="1">
      <alignment horizontal="center" vertical="center"/>
    </xf>
    <xf numFmtId="0" fontId="0" fillId="14" borderId="12" xfId="0" applyFill="1" applyBorder="1" applyAlignment="1">
      <alignment horizontal="center" vertical="center" shrinkToFit="1"/>
    </xf>
    <xf numFmtId="0" fontId="0" fillId="14" borderId="12" xfId="0" applyFill="1" applyBorder="1">
      <alignment vertical="center"/>
    </xf>
    <xf numFmtId="185" fontId="0" fillId="14" borderId="12" xfId="0" applyNumberFormat="1" applyFill="1" applyBorder="1">
      <alignment vertical="center"/>
    </xf>
    <xf numFmtId="178" fontId="0" fillId="14" borderId="12" xfId="0" applyNumberFormat="1" applyFill="1" applyBorder="1">
      <alignment vertical="center"/>
    </xf>
    <xf numFmtId="178" fontId="33" fillId="14" borderId="12" xfId="0" applyNumberFormat="1" applyFont="1" applyFill="1" applyBorder="1">
      <alignment vertical="center"/>
    </xf>
    <xf numFmtId="188" fontId="0" fillId="14" borderId="12" xfId="0" applyNumberFormat="1" applyFill="1" applyBorder="1">
      <alignment vertical="center"/>
    </xf>
    <xf numFmtId="185" fontId="0" fillId="14" borderId="1" xfId="0" applyNumberFormat="1" applyFill="1" applyBorder="1">
      <alignment vertical="center"/>
    </xf>
    <xf numFmtId="185" fontId="0" fillId="14" borderId="2" xfId="0" applyNumberFormat="1" applyFill="1" applyBorder="1">
      <alignment vertical="center"/>
    </xf>
    <xf numFmtId="185" fontId="0" fillId="14" borderId="3" xfId="0" applyNumberFormat="1" applyFill="1" applyBorder="1">
      <alignment vertical="center"/>
    </xf>
    <xf numFmtId="186" fontId="0" fillId="14" borderId="12" xfId="0" applyNumberFormat="1" applyFill="1" applyBorder="1">
      <alignment vertical="center"/>
    </xf>
    <xf numFmtId="38" fontId="0" fillId="14" borderId="12" xfId="1" applyFont="1" applyFill="1" applyBorder="1">
      <alignment vertical="center"/>
    </xf>
    <xf numFmtId="0" fontId="0" fillId="14" borderId="0" xfId="0" applyFill="1">
      <alignment vertical="center"/>
    </xf>
    <xf numFmtId="183" fontId="0" fillId="14" borderId="12" xfId="0" applyNumberFormat="1" applyFill="1" applyBorder="1">
      <alignment vertical="center"/>
    </xf>
    <xf numFmtId="0" fontId="47" fillId="0" borderId="12" xfId="0" applyFont="1" applyBorder="1">
      <alignment vertical="center"/>
    </xf>
    <xf numFmtId="179" fontId="0" fillId="5" borderId="1" xfId="0" applyNumberFormat="1" applyFill="1" applyBorder="1">
      <alignment vertical="center"/>
    </xf>
    <xf numFmtId="178" fontId="30" fillId="13" borderId="0" xfId="0" applyNumberFormat="1" applyFont="1" applyFill="1">
      <alignment vertical="center"/>
    </xf>
    <xf numFmtId="0" fontId="33" fillId="13" borderId="0" xfId="0" applyFont="1" applyFill="1">
      <alignment vertical="center"/>
    </xf>
    <xf numFmtId="178" fontId="30" fillId="13" borderId="0" xfId="0" applyNumberFormat="1" applyFont="1" applyFill="1" applyAlignment="1">
      <alignment horizontal="center" vertical="center"/>
    </xf>
    <xf numFmtId="185" fontId="30" fillId="13" borderId="0" xfId="0" applyNumberFormat="1" applyFont="1" applyFill="1">
      <alignment vertical="center"/>
    </xf>
    <xf numFmtId="0" fontId="30" fillId="13" borderId="0" xfId="0" applyFont="1" applyFill="1" applyAlignment="1">
      <alignment horizontal="center" vertical="center"/>
    </xf>
    <xf numFmtId="178" fontId="48" fillId="0" borderId="0" xfId="0" applyNumberFormat="1" applyFont="1">
      <alignment vertical="center"/>
    </xf>
    <xf numFmtId="178" fontId="0" fillId="4" borderId="12" xfId="0" applyNumberFormat="1" applyFill="1" applyBorder="1" applyAlignment="1">
      <alignment horizontal="right" vertical="center"/>
    </xf>
    <xf numFmtId="49" fontId="4" fillId="0" borderId="0" xfId="0" applyNumberFormat="1" applyFont="1" applyProtection="1">
      <alignment vertical="center"/>
      <protection locked="0"/>
    </xf>
    <xf numFmtId="0" fontId="49" fillId="0" borderId="0" xfId="0" applyFont="1" applyProtection="1">
      <alignment vertical="center"/>
      <protection locked="0"/>
    </xf>
    <xf numFmtId="49" fontId="49" fillId="0" borderId="0" xfId="0" applyNumberFormat="1" applyFont="1" applyProtection="1">
      <alignment vertical="center"/>
      <protection locked="0"/>
    </xf>
    <xf numFmtId="0" fontId="8" fillId="0" borderId="6" xfId="0" applyFont="1" applyBorder="1">
      <alignment vertical="center"/>
    </xf>
    <xf numFmtId="0" fontId="8" fillId="0" borderId="5" xfId="0" applyFont="1" applyBorder="1">
      <alignment vertical="center"/>
    </xf>
    <xf numFmtId="0" fontId="8" fillId="0" borderId="7" xfId="0" applyFont="1" applyBorder="1">
      <alignment vertical="center"/>
    </xf>
    <xf numFmtId="178" fontId="0" fillId="5" borderId="12" xfId="0" applyNumberFormat="1" applyFill="1" applyBorder="1" applyAlignment="1">
      <alignment vertical="center" wrapText="1"/>
    </xf>
    <xf numFmtId="0" fontId="4" fillId="0" borderId="2" xfId="0" applyFont="1" applyBorder="1" applyProtection="1">
      <alignment vertical="center"/>
      <protection locked="0"/>
    </xf>
    <xf numFmtId="0" fontId="4" fillId="0" borderId="3" xfId="0" applyFont="1" applyBorder="1" applyProtection="1">
      <alignment vertical="center"/>
      <protection locked="0"/>
    </xf>
    <xf numFmtId="0" fontId="3" fillId="0" borderId="8" xfId="0" applyFont="1" applyBorder="1" applyAlignment="1">
      <alignment horizontal="left" vertical="center"/>
    </xf>
    <xf numFmtId="0" fontId="3" fillId="0" borderId="0" xfId="0" applyFont="1" applyAlignment="1">
      <alignment horizontal="left" vertical="center"/>
    </xf>
    <xf numFmtId="0" fontId="3" fillId="0" borderId="4" xfId="0" applyFont="1" applyBorder="1" applyAlignment="1">
      <alignment horizontal="left" vertical="center"/>
    </xf>
    <xf numFmtId="0" fontId="49" fillId="0" borderId="0" xfId="0" applyFont="1">
      <alignment vertical="center"/>
    </xf>
    <xf numFmtId="49" fontId="49" fillId="0" borderId="0" xfId="0" applyNumberFormat="1" applyFont="1">
      <alignment vertical="center"/>
    </xf>
    <xf numFmtId="0" fontId="4" fillId="0" borderId="8" xfId="0" applyFont="1" applyBorder="1" applyAlignment="1">
      <alignment horizontal="left" vertical="center" shrinkToFit="1"/>
    </xf>
    <xf numFmtId="1" fontId="4" fillId="0" borderId="0" xfId="0" applyNumberFormat="1" applyFont="1" applyAlignment="1">
      <alignment horizontal="center" vertical="center"/>
    </xf>
    <xf numFmtId="178" fontId="38" fillId="0" borderId="29" xfId="0" applyNumberFormat="1" applyFont="1" applyBorder="1" applyAlignment="1">
      <alignment vertical="center" wrapText="1"/>
    </xf>
    <xf numFmtId="0" fontId="28" fillId="0" borderId="0" xfId="0" applyFont="1">
      <alignment vertical="center"/>
    </xf>
    <xf numFmtId="0" fontId="12" fillId="0" borderId="0" xfId="0" applyFont="1" applyAlignment="1">
      <alignment horizontal="right" vertical="center"/>
    </xf>
    <xf numFmtId="49" fontId="12" fillId="0" borderId="0" xfId="0" applyNumberFormat="1" applyFont="1">
      <alignment vertical="center"/>
    </xf>
    <xf numFmtId="0" fontId="4" fillId="0" borderId="1" xfId="0" applyFont="1" applyBorder="1" applyAlignment="1">
      <alignment horizontal="left" vertical="center" shrinkToFit="1"/>
    </xf>
    <xf numFmtId="0" fontId="4" fillId="0" borderId="2" xfId="0" applyFont="1" applyBorder="1" applyAlignment="1">
      <alignment horizontal="left" vertical="center" shrinkToFit="1"/>
    </xf>
    <xf numFmtId="0" fontId="4" fillId="0" borderId="3" xfId="0" applyFont="1" applyBorder="1" applyAlignment="1">
      <alignment horizontal="left" vertical="center" shrinkToFit="1"/>
    </xf>
    <xf numFmtId="180" fontId="4" fillId="2" borderId="1" xfId="0" applyNumberFormat="1" applyFont="1" applyFill="1" applyBorder="1" applyAlignment="1">
      <alignment horizontal="center" vertical="center"/>
    </xf>
    <xf numFmtId="180" fontId="4" fillId="2" borderId="2" xfId="0" applyNumberFormat="1" applyFont="1" applyFill="1" applyBorder="1" applyAlignment="1">
      <alignment horizontal="center" vertical="center"/>
    </xf>
    <xf numFmtId="0" fontId="52" fillId="0" borderId="0" xfId="0" applyFont="1" applyAlignment="1">
      <alignment horizontal="left" vertical="center" wrapText="1"/>
    </xf>
    <xf numFmtId="0" fontId="4" fillId="0" borderId="6" xfId="0" applyFont="1" applyBorder="1" applyAlignment="1">
      <alignment horizontal="left" vertical="center" shrinkToFit="1"/>
    </xf>
    <xf numFmtId="181" fontId="4" fillId="0" borderId="1" xfId="0" applyNumberFormat="1" applyFont="1" applyBorder="1" applyAlignment="1" applyProtection="1">
      <alignment horizontal="right" vertical="center"/>
      <protection locked="0"/>
    </xf>
    <xf numFmtId="181" fontId="4" fillId="0" borderId="2" xfId="0" applyNumberFormat="1" applyFont="1" applyBorder="1" applyAlignment="1" applyProtection="1">
      <alignment horizontal="right" vertical="center"/>
      <protection locked="0"/>
    </xf>
    <xf numFmtId="181" fontId="4" fillId="0" borderId="3" xfId="0" applyNumberFormat="1" applyFont="1" applyBorder="1" applyAlignment="1" applyProtection="1">
      <alignment horizontal="right" vertical="center"/>
      <protection locked="0"/>
    </xf>
    <xf numFmtId="181" fontId="4" fillId="0" borderId="8" xfId="0" applyNumberFormat="1" applyFont="1" applyBorder="1" applyAlignment="1" applyProtection="1">
      <alignment horizontal="right" vertical="center"/>
      <protection locked="0"/>
    </xf>
    <xf numFmtId="181" fontId="4" fillId="0" borderId="0" xfId="0" applyNumberFormat="1" applyFont="1" applyAlignment="1" applyProtection="1">
      <alignment horizontal="right" vertical="center"/>
      <protection locked="0"/>
    </xf>
    <xf numFmtId="181" fontId="4" fillId="0" borderId="4" xfId="0" applyNumberFormat="1" applyFont="1" applyBorder="1" applyAlignment="1" applyProtection="1">
      <alignment horizontal="right" vertical="center"/>
      <protection locked="0"/>
    </xf>
    <xf numFmtId="1" fontId="4" fillId="2" borderId="1" xfId="0" applyNumberFormat="1" applyFont="1" applyFill="1" applyBorder="1" applyAlignment="1">
      <alignment horizontal="center" vertical="center"/>
    </xf>
    <xf numFmtId="1" fontId="4" fillId="2" borderId="2" xfId="0" applyNumberFormat="1" applyFont="1" applyFill="1" applyBorder="1" applyAlignment="1">
      <alignment horizontal="center" vertical="center"/>
    </xf>
    <xf numFmtId="0" fontId="12" fillId="0" borderId="6" xfId="0" applyFont="1" applyBorder="1" applyAlignment="1">
      <alignment horizontal="center" vertical="center" shrinkToFit="1"/>
    </xf>
    <xf numFmtId="0" fontId="12" fillId="0" borderId="5" xfId="0" applyFont="1" applyBorder="1" applyAlignment="1">
      <alignment horizontal="center" vertical="center" shrinkToFit="1"/>
    </xf>
    <xf numFmtId="0" fontId="12" fillId="0" borderId="7" xfId="0" applyFont="1" applyBorder="1" applyAlignment="1">
      <alignment horizontal="center" vertical="center" shrinkToFit="1"/>
    </xf>
    <xf numFmtId="181" fontId="4" fillId="0" borderId="6" xfId="0" applyNumberFormat="1" applyFont="1" applyBorder="1" applyAlignment="1" applyProtection="1">
      <alignment horizontal="right" vertical="center"/>
      <protection locked="0"/>
    </xf>
    <xf numFmtId="181" fontId="4" fillId="0" borderId="5" xfId="0" applyNumberFormat="1" applyFont="1" applyBorder="1" applyAlignment="1" applyProtection="1">
      <alignment horizontal="right" vertical="center"/>
      <protection locked="0"/>
    </xf>
    <xf numFmtId="181" fontId="4" fillId="0" borderId="7" xfId="0" applyNumberFormat="1" applyFont="1" applyBorder="1" applyAlignment="1" applyProtection="1">
      <alignment horizontal="right" vertical="center"/>
      <protection locked="0"/>
    </xf>
    <xf numFmtId="181" fontId="4" fillId="0" borderId="9" xfId="0" applyNumberFormat="1" applyFont="1" applyBorder="1" applyAlignment="1" applyProtection="1">
      <alignment horizontal="right" vertical="center"/>
      <protection locked="0"/>
    </xf>
    <xf numFmtId="181" fontId="4" fillId="0" borderId="10" xfId="0" applyNumberFormat="1" applyFont="1" applyBorder="1" applyAlignment="1" applyProtection="1">
      <alignment horizontal="right" vertical="center"/>
      <protection locked="0"/>
    </xf>
    <xf numFmtId="181" fontId="4" fillId="0" borderId="11" xfId="0" applyNumberFormat="1" applyFont="1" applyBorder="1" applyAlignment="1" applyProtection="1">
      <alignment horizontal="right" vertical="center"/>
      <protection locked="0"/>
    </xf>
    <xf numFmtId="181" fontId="4" fillId="0" borderId="8" xfId="0" applyNumberFormat="1" applyFont="1" applyBorder="1" applyAlignment="1" applyProtection="1">
      <alignment horizontal="center" vertical="center"/>
      <protection locked="0"/>
    </xf>
    <xf numFmtId="181" fontId="4" fillId="0" borderId="0" xfId="0" applyNumberFormat="1" applyFont="1" applyAlignment="1" applyProtection="1">
      <alignment horizontal="center" vertical="center"/>
      <protection locked="0"/>
    </xf>
    <xf numFmtId="0" fontId="12" fillId="0" borderId="9" xfId="0" applyFont="1" applyBorder="1" applyAlignment="1">
      <alignment horizontal="center" vertical="center" shrinkToFit="1"/>
    </xf>
    <xf numFmtId="0" fontId="12" fillId="0" borderId="10" xfId="0" applyFont="1" applyBorder="1" applyAlignment="1">
      <alignment horizontal="center" vertical="center" shrinkToFit="1"/>
    </xf>
    <xf numFmtId="0" fontId="12" fillId="0" borderId="11" xfId="0" applyFont="1" applyBorder="1" applyAlignment="1">
      <alignment horizontal="center" vertical="center" shrinkToFit="1"/>
    </xf>
    <xf numFmtId="0" fontId="8" fillId="0" borderId="9"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50" fillId="0" borderId="0" xfId="0" applyFont="1" applyAlignment="1">
      <alignment horizontal="left"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6" fillId="0" borderId="0" xfId="0" applyFont="1" applyAlignment="1">
      <alignment horizontal="left"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7" fillId="0" borderId="0" xfId="0" applyFont="1" applyAlignment="1">
      <alignment horizontal="left" vertical="center"/>
    </xf>
    <xf numFmtId="0" fontId="4" fillId="0" borderId="0" xfId="0" applyFont="1" applyAlignment="1">
      <alignment horizontal="left" vertical="center" wrapTex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179" fontId="4" fillId="0" borderId="2" xfId="0" applyNumberFormat="1" applyFont="1" applyBorder="1" applyAlignment="1" applyProtection="1">
      <alignment horizontal="right" vertical="center"/>
      <protection locked="0"/>
    </xf>
    <xf numFmtId="177" fontId="4" fillId="0" borderId="2" xfId="0" applyNumberFormat="1" applyFont="1" applyBorder="1" applyAlignment="1" applyProtection="1">
      <alignment horizontal="center" vertical="center"/>
      <protection locked="0"/>
    </xf>
    <xf numFmtId="0" fontId="4" fillId="0" borderId="1"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6" fillId="0" borderId="20" xfId="0" applyFont="1" applyBorder="1" applyAlignment="1">
      <alignment horizontal="left" vertical="center" wrapText="1"/>
    </xf>
    <xf numFmtId="0" fontId="6" fillId="0" borderId="5" xfId="0" applyFont="1" applyBorder="1" applyAlignment="1">
      <alignment horizontal="left" vertical="center" wrapText="1"/>
    </xf>
    <xf numFmtId="0" fontId="6" fillId="0" borderId="22" xfId="0" applyFont="1" applyBorder="1" applyAlignment="1">
      <alignment horizontal="left" vertical="center" wrapText="1"/>
    </xf>
    <xf numFmtId="0" fontId="6" fillId="0" borderId="21" xfId="0" applyFont="1" applyBorder="1" applyAlignment="1">
      <alignment horizontal="left" vertical="center" wrapText="1"/>
    </xf>
    <xf numFmtId="0" fontId="6" fillId="0" borderId="10" xfId="0" applyFont="1" applyBorder="1" applyAlignment="1">
      <alignment horizontal="left" vertical="center" wrapText="1"/>
    </xf>
    <xf numFmtId="0" fontId="6" fillId="0" borderId="23" xfId="0" applyFont="1" applyBorder="1" applyAlignment="1">
      <alignment horizontal="left" vertical="center" wrapText="1"/>
    </xf>
    <xf numFmtId="0" fontId="4" fillId="0" borderId="9" xfId="0" applyFont="1" applyBorder="1" applyAlignment="1">
      <alignment horizontal="right" vertical="center"/>
    </xf>
    <xf numFmtId="0" fontId="4" fillId="0" borderId="10" xfId="0" applyFont="1" applyBorder="1" applyAlignment="1">
      <alignment horizontal="right" vertical="center"/>
    </xf>
    <xf numFmtId="0" fontId="4" fillId="0" borderId="5"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1" xfId="0"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49" fontId="4" fillId="0" borderId="9" xfId="0" applyNumberFormat="1" applyFont="1" applyBorder="1" applyAlignment="1" applyProtection="1">
      <alignment horizontal="left" vertical="center"/>
      <protection locked="0"/>
    </xf>
    <xf numFmtId="49" fontId="4" fillId="0" borderId="10" xfId="0" applyNumberFormat="1" applyFont="1" applyBorder="1" applyAlignment="1" applyProtection="1">
      <alignment horizontal="left" vertical="center"/>
      <protection locked="0"/>
    </xf>
    <xf numFmtId="49" fontId="4" fillId="0" borderId="11" xfId="0" applyNumberFormat="1" applyFont="1" applyBorder="1" applyAlignment="1" applyProtection="1">
      <alignment horizontal="left" vertical="center"/>
      <protection locked="0"/>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8" fillId="0" borderId="14" xfId="0" applyFont="1" applyBorder="1" applyAlignment="1">
      <alignment horizontal="center" vertical="center" wrapText="1"/>
    </xf>
    <xf numFmtId="0" fontId="3" fillId="0" borderId="0" xfId="0" applyFont="1" applyAlignment="1">
      <alignment horizontal="left" vertical="top" wrapText="1"/>
    </xf>
    <xf numFmtId="0" fontId="3" fillId="0" borderId="0" xfId="0" applyFont="1" applyAlignment="1">
      <alignment horizontal="left" vertical="center" wrapText="1"/>
    </xf>
    <xf numFmtId="0" fontId="10" fillId="0" borderId="0" xfId="0" applyFont="1" applyAlignment="1">
      <alignment horizontal="left" vertical="center" wrapText="1"/>
    </xf>
    <xf numFmtId="183" fontId="4" fillId="2" borderId="1" xfId="0" applyNumberFormat="1" applyFont="1" applyFill="1" applyBorder="1" applyAlignment="1">
      <alignment horizontal="center" vertical="center"/>
    </xf>
    <xf numFmtId="183" fontId="4" fillId="2" borderId="2" xfId="0" applyNumberFormat="1" applyFont="1" applyFill="1" applyBorder="1" applyAlignment="1">
      <alignment horizontal="center" vertical="center"/>
    </xf>
    <xf numFmtId="182" fontId="4" fillId="0" borderId="1" xfId="0" applyNumberFormat="1" applyFont="1" applyBorder="1" applyAlignment="1" applyProtection="1">
      <alignment horizontal="right" vertical="center"/>
      <protection locked="0"/>
    </xf>
    <xf numFmtId="182" fontId="4" fillId="0" borderId="2" xfId="0" applyNumberFormat="1" applyFont="1" applyBorder="1" applyAlignment="1" applyProtection="1">
      <alignment horizontal="right" vertical="center"/>
      <protection locked="0"/>
    </xf>
    <xf numFmtId="182" fontId="4" fillId="0" borderId="3" xfId="0" applyNumberFormat="1" applyFont="1" applyBorder="1" applyAlignment="1" applyProtection="1">
      <alignment horizontal="right" vertical="center"/>
      <protection locked="0"/>
    </xf>
    <xf numFmtId="0" fontId="15" fillId="0" borderId="0" xfId="0" applyFont="1" applyAlignment="1">
      <alignment horizontal="left" vertical="top" wrapText="1"/>
    </xf>
    <xf numFmtId="182" fontId="4" fillId="0" borderId="0" xfId="0" applyNumberFormat="1" applyFont="1" applyAlignment="1" applyProtection="1">
      <alignment horizontal="right" vertical="center"/>
      <protection locked="0"/>
    </xf>
    <xf numFmtId="0" fontId="4" fillId="0" borderId="6"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4" fillId="0" borderId="9" xfId="0" applyFont="1" applyBorder="1" applyAlignment="1">
      <alignment horizontal="left" vertical="center" shrinkToFit="1"/>
    </xf>
    <xf numFmtId="0" fontId="4" fillId="0" borderId="10" xfId="0" applyFont="1" applyBorder="1" applyAlignment="1">
      <alignment horizontal="left" vertical="center" shrinkToFit="1"/>
    </xf>
    <xf numFmtId="0" fontId="4" fillId="0" borderId="11" xfId="0" applyFont="1" applyBorder="1" applyAlignment="1">
      <alignment horizontal="left" vertical="center" shrinkToFit="1"/>
    </xf>
    <xf numFmtId="0" fontId="4" fillId="0" borderId="6" xfId="0" applyFont="1" applyBorder="1" applyAlignment="1">
      <alignment horizontal="left" vertical="center" wrapText="1"/>
    </xf>
    <xf numFmtId="0" fontId="4" fillId="0" borderId="5" xfId="0" applyFont="1" applyBorder="1" applyAlignment="1">
      <alignment horizontal="left" vertical="center" wrapText="1"/>
    </xf>
    <xf numFmtId="0" fontId="4" fillId="0" borderId="7" xfId="0" applyFont="1" applyBorder="1" applyAlignment="1">
      <alignment horizontal="left" vertical="center" wrapText="1"/>
    </xf>
    <xf numFmtId="0" fontId="4" fillId="0" borderId="12" xfId="0" applyFont="1" applyBorder="1" applyAlignment="1">
      <alignment horizontal="center" vertical="center"/>
    </xf>
    <xf numFmtId="0" fontId="4" fillId="0" borderId="12" xfId="0" applyFont="1" applyBorder="1" applyAlignment="1" applyProtection="1">
      <alignment horizontal="center" vertical="center"/>
      <protection locked="0"/>
    </xf>
    <xf numFmtId="0" fontId="4" fillId="0" borderId="12" xfId="0" applyFont="1" applyBorder="1" applyAlignment="1">
      <alignment horizontal="left" vertical="center"/>
    </xf>
    <xf numFmtId="0" fontId="4" fillId="0" borderId="5" xfId="0" applyFont="1" applyBorder="1" applyAlignment="1">
      <alignment horizontal="center" vertical="center" wrapText="1"/>
    </xf>
    <xf numFmtId="0" fontId="4" fillId="0" borderId="0" xfId="0" applyFont="1" applyAlignment="1">
      <alignment horizontal="center" vertical="center" wrapText="1"/>
    </xf>
    <xf numFmtId="0" fontId="4" fillId="0" borderId="10" xfId="0" applyFont="1" applyBorder="1" applyAlignment="1">
      <alignment horizontal="center" vertical="center" wrapText="1"/>
    </xf>
    <xf numFmtId="0" fontId="4" fillId="0" borderId="12" xfId="0"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18"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6" fillId="0" borderId="18" xfId="0" applyFont="1" applyBorder="1" applyAlignment="1">
      <alignment horizontal="center" vertical="center"/>
    </xf>
    <xf numFmtId="0" fontId="6" fillId="0" borderId="10" xfId="0" applyFont="1" applyBorder="1" applyAlignment="1">
      <alignment horizontal="center" vertical="center"/>
    </xf>
    <xf numFmtId="177" fontId="4" fillId="0" borderId="5" xfId="0" applyNumberFormat="1" applyFont="1" applyBorder="1" applyAlignment="1" applyProtection="1">
      <alignment horizontal="center" vertical="center"/>
      <protection locked="0"/>
    </xf>
    <xf numFmtId="177" fontId="4" fillId="0" borderId="0" xfId="0" applyNumberFormat="1" applyFont="1" applyAlignment="1" applyProtection="1">
      <alignment horizontal="center" vertical="center"/>
      <protection locked="0"/>
    </xf>
    <xf numFmtId="178" fontId="4" fillId="0" borderId="25" xfId="0" applyNumberFormat="1" applyFont="1" applyBorder="1" applyAlignment="1" applyProtection="1">
      <alignment horizontal="center" vertical="center"/>
      <protection locked="0"/>
    </xf>
    <xf numFmtId="0" fontId="4" fillId="0" borderId="22"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4" fillId="0" borderId="25" xfId="0" applyFont="1" applyBorder="1" applyAlignment="1">
      <alignment horizontal="center" vertical="center"/>
    </xf>
    <xf numFmtId="179" fontId="4" fillId="0" borderId="0" xfId="0" applyNumberFormat="1" applyFont="1" applyAlignment="1" applyProtection="1">
      <alignment horizontal="right" vertical="center"/>
      <protection locked="0"/>
    </xf>
    <xf numFmtId="0" fontId="4" fillId="0" borderId="8" xfId="0" applyFont="1" applyBorder="1" applyAlignment="1">
      <alignment horizontal="center" vertical="center" shrinkToFit="1"/>
    </xf>
    <xf numFmtId="0" fontId="4" fillId="0" borderId="0" xfId="0" applyFont="1" applyAlignment="1">
      <alignment horizontal="center" vertical="center" shrinkToFit="1"/>
    </xf>
    <xf numFmtId="0" fontId="9" fillId="0" borderId="0" xfId="0" applyFont="1" applyAlignment="1">
      <alignment horizontal="center" vertical="center"/>
    </xf>
    <xf numFmtId="0" fontId="4" fillId="0" borderId="5" xfId="0" applyFont="1" applyBorder="1" applyAlignment="1" applyProtection="1">
      <alignment horizontal="right" vertical="center"/>
      <protection locked="0"/>
    </xf>
    <xf numFmtId="0" fontId="4" fillId="0" borderId="10" xfId="0" applyFont="1" applyBorder="1" applyAlignment="1" applyProtection="1">
      <alignment horizontal="right" vertical="center"/>
      <protection locked="0"/>
    </xf>
    <xf numFmtId="179" fontId="4" fillId="0" borderId="5" xfId="0" applyNumberFormat="1" applyFont="1" applyBorder="1" applyAlignment="1" applyProtection="1">
      <alignment horizontal="right" vertical="center"/>
      <protection locked="0"/>
    </xf>
    <xf numFmtId="0" fontId="4" fillId="0" borderId="6" xfId="0" applyFont="1" applyBorder="1" applyAlignment="1">
      <alignment horizontal="center" vertical="center" shrinkToFit="1"/>
    </xf>
    <xf numFmtId="0" fontId="4" fillId="0" borderId="5" xfId="0" applyFont="1" applyBorder="1" applyAlignment="1">
      <alignment horizontal="center" vertical="center" shrinkToFit="1"/>
    </xf>
    <xf numFmtId="49" fontId="4" fillId="0" borderId="1" xfId="0" applyNumberFormat="1" applyFont="1" applyBorder="1" applyAlignment="1" applyProtection="1">
      <alignment horizontal="left" vertical="center"/>
      <protection locked="0"/>
    </xf>
    <xf numFmtId="49" fontId="4" fillId="0" borderId="2" xfId="0" applyNumberFormat="1" applyFont="1" applyBorder="1" applyAlignment="1" applyProtection="1">
      <alignment horizontal="left" vertical="center"/>
      <protection locked="0"/>
    </xf>
    <xf numFmtId="49" fontId="4" fillId="0" borderId="3" xfId="0" applyNumberFormat="1" applyFont="1" applyBorder="1" applyAlignment="1" applyProtection="1">
      <alignment horizontal="left" vertical="center"/>
      <protection locked="0"/>
    </xf>
    <xf numFmtId="0" fontId="4" fillId="0" borderId="15" xfId="0" applyFont="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4" fillId="0" borderId="17" xfId="0" applyFont="1" applyBorder="1" applyAlignment="1" applyProtection="1">
      <alignment horizontal="left" vertical="center" shrinkToFit="1"/>
      <protection locked="0"/>
    </xf>
    <xf numFmtId="38" fontId="4" fillId="0" borderId="1" xfId="1" applyFont="1" applyFill="1" applyBorder="1" applyAlignment="1" applyProtection="1">
      <alignment horizontal="center" vertical="center"/>
      <protection locked="0"/>
    </xf>
    <xf numFmtId="38" fontId="4" fillId="0" borderId="2" xfId="1" applyFont="1" applyFill="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12" fillId="0" borderId="0" xfId="0" applyFont="1" applyAlignment="1">
      <alignment horizontal="left" vertical="center" wrapText="1"/>
    </xf>
    <xf numFmtId="0" fontId="12" fillId="0" borderId="4" xfId="0" applyFont="1" applyBorder="1" applyAlignment="1">
      <alignment horizontal="left" vertical="center" wrapText="1"/>
    </xf>
    <xf numFmtId="0" fontId="4" fillId="0" borderId="0" xfId="0" applyFont="1" applyAlignment="1">
      <alignment horizontal="left" vertical="center"/>
    </xf>
    <xf numFmtId="0" fontId="13" fillId="0" borderId="0" xfId="0" applyFont="1" applyAlignment="1">
      <alignment horizontal="left" vertical="center" wrapText="1"/>
    </xf>
    <xf numFmtId="0" fontId="13" fillId="0" borderId="0" xfId="0" applyFont="1" applyAlignment="1">
      <alignment horizontal="left" vertical="center" shrinkToFit="1"/>
    </xf>
    <xf numFmtId="0" fontId="8" fillId="0" borderId="0" xfId="0" applyFont="1" applyAlignment="1">
      <alignment horizontal="left" vertical="center" wrapText="1"/>
    </xf>
    <xf numFmtId="0" fontId="4" fillId="0" borderId="12" xfId="0" applyFont="1" applyBorder="1" applyAlignment="1" applyProtection="1">
      <alignment horizontal="center" vertical="center" wrapText="1"/>
      <protection locked="0"/>
    </xf>
    <xf numFmtId="0" fontId="4" fillId="0" borderId="8" xfId="0" applyFont="1" applyBorder="1" applyAlignment="1">
      <alignment horizontal="left" vertical="center" shrinkToFit="1"/>
    </xf>
    <xf numFmtId="0" fontId="4" fillId="0" borderId="0" xfId="0" applyFont="1" applyAlignment="1">
      <alignment horizontal="left" vertical="center" shrinkToFit="1"/>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4" xfId="0" applyFont="1" applyBorder="1" applyAlignment="1">
      <alignment horizontal="center" vertical="center"/>
    </xf>
    <xf numFmtId="49" fontId="4" fillId="0" borderId="2" xfId="0" applyNumberFormat="1" applyFont="1" applyBorder="1" applyAlignment="1" applyProtection="1">
      <alignment horizontal="center" vertical="center"/>
      <protection locked="0"/>
    </xf>
    <xf numFmtId="49" fontId="4" fillId="0" borderId="3" xfId="0" applyNumberFormat="1" applyFont="1" applyBorder="1" applyAlignment="1" applyProtection="1">
      <alignment horizontal="center" vertical="center"/>
      <protection locked="0"/>
    </xf>
    <xf numFmtId="0" fontId="4" fillId="0" borderId="12" xfId="0" applyFont="1" applyBorder="1" applyAlignment="1">
      <alignment horizontal="center" vertical="center" shrinkToFit="1"/>
    </xf>
    <xf numFmtId="183" fontId="4" fillId="2" borderId="12" xfId="0" applyNumberFormat="1" applyFont="1" applyFill="1" applyBorder="1" applyAlignment="1">
      <alignment horizontal="center" vertical="center"/>
    </xf>
    <xf numFmtId="0" fontId="4" fillId="0" borderId="0" xfId="0" applyFont="1" applyAlignment="1">
      <alignment vertical="center" wrapText="1"/>
    </xf>
    <xf numFmtId="189" fontId="4" fillId="0" borderId="2" xfId="0" applyNumberFormat="1" applyFont="1" applyBorder="1" applyAlignment="1" applyProtection="1">
      <alignment horizontal="center" vertical="center"/>
      <protection locked="0"/>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180" fontId="4" fillId="2" borderId="1" xfId="0" applyNumberFormat="1" applyFont="1" applyFill="1" applyBorder="1" applyAlignment="1">
      <alignment horizontal="right" vertical="center"/>
    </xf>
    <xf numFmtId="180" fontId="4" fillId="2" borderId="2" xfId="0" applyNumberFormat="1" applyFont="1" applyFill="1" applyBorder="1" applyAlignment="1">
      <alignment horizontal="righ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2" xfId="0" applyFont="1" applyBorder="1" applyAlignment="1" applyProtection="1">
      <alignment horizontal="center" vertical="center" shrinkToFit="1"/>
      <protection locked="0"/>
    </xf>
    <xf numFmtId="0" fontId="13" fillId="0" borderId="0" xfId="0" applyFont="1" applyAlignment="1">
      <alignment horizontal="left" vertical="center"/>
    </xf>
    <xf numFmtId="0" fontId="4" fillId="0" borderId="9"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24" fillId="0" borderId="10" xfId="0" applyFont="1" applyBorder="1" applyAlignment="1">
      <alignment horizontal="left" vertical="center" wrapText="1"/>
    </xf>
    <xf numFmtId="0" fontId="4" fillId="0" borderId="0" xfId="0" applyFont="1" applyAlignment="1">
      <alignment horizontal="left" vertical="top" wrapText="1"/>
    </xf>
    <xf numFmtId="0" fontId="22" fillId="0" borderId="0" xfId="0" applyFont="1" applyAlignment="1">
      <alignment horizontal="center" vertical="center"/>
    </xf>
    <xf numFmtId="0" fontId="49" fillId="0" borderId="0" xfId="0" applyFont="1" applyAlignment="1" applyProtection="1">
      <alignment horizontal="center" vertical="center"/>
      <protection locked="0"/>
    </xf>
    <xf numFmtId="0" fontId="26" fillId="0" borderId="1" xfId="0" applyFont="1" applyBorder="1" applyAlignment="1">
      <alignment horizontal="center" vertical="center"/>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4" fillId="0" borderId="0" xfId="0" applyFont="1" applyAlignment="1" applyProtection="1">
      <alignment horizontal="left" vertical="center" wrapText="1"/>
      <protection locked="0"/>
    </xf>
    <xf numFmtId="184" fontId="4" fillId="0" borderId="1" xfId="0" applyNumberFormat="1" applyFont="1" applyBorder="1" applyAlignment="1">
      <alignment horizontal="right" vertical="center"/>
    </xf>
    <xf numFmtId="184" fontId="4" fillId="0" borderId="2" xfId="0" applyNumberFormat="1" applyFont="1" applyBorder="1" applyAlignment="1">
      <alignment horizontal="right" vertical="center"/>
    </xf>
    <xf numFmtId="176" fontId="4" fillId="0" borderId="1" xfId="0" applyNumberFormat="1" applyFont="1" applyBorder="1" applyAlignment="1">
      <alignment horizontal="center" vertical="center"/>
    </xf>
    <xf numFmtId="176" fontId="4" fillId="0" borderId="2" xfId="0" applyNumberFormat="1" applyFont="1" applyBorder="1" applyAlignment="1">
      <alignment horizontal="center" vertical="center"/>
    </xf>
    <xf numFmtId="176" fontId="4" fillId="0" borderId="3" xfId="0" applyNumberFormat="1" applyFont="1" applyBorder="1" applyAlignment="1">
      <alignment horizontal="center" vertical="center"/>
    </xf>
    <xf numFmtId="0" fontId="8" fillId="0" borderId="8" xfId="0" applyFont="1" applyBorder="1" applyAlignment="1">
      <alignment horizontal="left" vertical="center" wrapText="1"/>
    </xf>
    <xf numFmtId="0" fontId="8" fillId="0" borderId="4" xfId="0" applyFont="1" applyBorder="1" applyAlignment="1">
      <alignment horizontal="left" vertical="center" wrapText="1"/>
    </xf>
    <xf numFmtId="0" fontId="8" fillId="0" borderId="8" xfId="0" applyFont="1" applyBorder="1" applyAlignment="1">
      <alignment horizontal="left" vertical="center"/>
    </xf>
    <xf numFmtId="0" fontId="8" fillId="0" borderId="0" xfId="0" applyFont="1" applyAlignment="1">
      <alignment horizontal="left" vertical="center"/>
    </xf>
    <xf numFmtId="0" fontId="8" fillId="0" borderId="4" xfId="0" applyFont="1" applyBorder="1" applyAlignment="1">
      <alignment horizontal="left" vertical="center"/>
    </xf>
    <xf numFmtId="0" fontId="4" fillId="0" borderId="6" xfId="0" applyFont="1" applyBorder="1" applyAlignment="1">
      <alignment horizontal="center" vertical="top" wrapText="1"/>
    </xf>
    <xf numFmtId="0" fontId="4" fillId="0" borderId="5" xfId="0" applyFont="1" applyBorder="1" applyAlignment="1">
      <alignment horizontal="center" vertical="top" wrapText="1"/>
    </xf>
    <xf numFmtId="0" fontId="4" fillId="0" borderId="7" xfId="0" applyFont="1" applyBorder="1" applyAlignment="1">
      <alignment horizontal="center" vertical="top" wrapText="1"/>
    </xf>
    <xf numFmtId="0" fontId="4" fillId="0" borderId="8" xfId="0" applyFont="1" applyBorder="1" applyAlignment="1">
      <alignment horizontal="center" vertical="top" wrapText="1"/>
    </xf>
    <xf numFmtId="0" fontId="4" fillId="0" borderId="0" xfId="0" applyFont="1" applyAlignment="1">
      <alignment horizontal="center" vertical="top" wrapText="1"/>
    </xf>
    <xf numFmtId="0" fontId="4" fillId="0" borderId="4" xfId="0" applyFont="1" applyBorder="1" applyAlignment="1">
      <alignment horizontal="center" vertical="top" wrapText="1"/>
    </xf>
    <xf numFmtId="0" fontId="8" fillId="0" borderId="6" xfId="0" applyFont="1" applyBorder="1" applyAlignment="1">
      <alignment horizontal="center" vertical="center"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5"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9" xfId="0" applyFont="1" applyBorder="1" applyAlignment="1" applyProtection="1">
      <alignment horizontal="left" vertical="center"/>
      <protection locked="0"/>
    </xf>
    <xf numFmtId="0" fontId="8" fillId="0" borderId="10" xfId="0" applyFont="1" applyBorder="1" applyAlignment="1" applyProtection="1">
      <alignment horizontal="left" vertical="center"/>
      <protection locked="0"/>
    </xf>
    <xf numFmtId="0" fontId="8" fillId="0" borderId="11" xfId="0" applyFont="1" applyBorder="1" applyAlignment="1" applyProtection="1">
      <alignment horizontal="left" vertical="center"/>
      <protection locked="0"/>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49" fontId="8" fillId="0" borderId="2" xfId="0" applyNumberFormat="1" applyFont="1" applyBorder="1" applyAlignment="1" applyProtection="1">
      <alignment horizontal="center" vertical="center"/>
      <protection locked="0"/>
    </xf>
    <xf numFmtId="49" fontId="8" fillId="0" borderId="3" xfId="0" applyNumberFormat="1" applyFont="1" applyBorder="1" applyAlignment="1" applyProtection="1">
      <alignment horizontal="center" vertical="center"/>
      <protection locked="0"/>
    </xf>
    <xf numFmtId="0" fontId="4" fillId="0" borderId="8" xfId="0" applyFont="1" applyBorder="1" applyAlignment="1">
      <alignment horizontal="left" vertical="center" wrapText="1"/>
    </xf>
    <xf numFmtId="0" fontId="4" fillId="0" borderId="4" xfId="0" applyFont="1" applyBorder="1" applyAlignment="1">
      <alignment horizontal="left" vertical="center" wrapText="1"/>
    </xf>
    <xf numFmtId="0" fontId="8" fillId="0" borderId="1" xfId="0" applyFont="1" applyBorder="1" applyAlignment="1" applyProtection="1">
      <alignment horizontal="left" vertical="center"/>
      <protection locked="0"/>
    </xf>
    <xf numFmtId="0" fontId="8" fillId="0" borderId="2" xfId="0" applyFont="1" applyBorder="1" applyAlignment="1" applyProtection="1">
      <alignment horizontal="left" vertical="center"/>
      <protection locked="0"/>
    </xf>
    <xf numFmtId="0" fontId="8" fillId="0" borderId="3" xfId="0" applyFont="1" applyBorder="1" applyAlignment="1" applyProtection="1">
      <alignment horizontal="left" vertical="center"/>
      <protection locked="0"/>
    </xf>
    <xf numFmtId="0" fontId="3" fillId="0" borderId="8" xfId="0" applyFont="1" applyBorder="1" applyAlignment="1">
      <alignment horizontal="left" vertical="center" wrapText="1"/>
    </xf>
    <xf numFmtId="0" fontId="3" fillId="0" borderId="4" xfId="0" applyFont="1" applyBorder="1" applyAlignment="1">
      <alignment horizontal="left" vertical="center" wrapText="1"/>
    </xf>
    <xf numFmtId="178" fontId="30" fillId="4" borderId="0" xfId="0" applyNumberFormat="1" applyFont="1" applyFill="1" applyAlignment="1">
      <alignment horizontal="center" vertical="top" wrapText="1"/>
    </xf>
    <xf numFmtId="178" fontId="30" fillId="4" borderId="10" xfId="0" applyNumberFormat="1" applyFont="1" applyFill="1" applyBorder="1" applyAlignment="1">
      <alignment horizontal="center" vertical="top" wrapText="1"/>
    </xf>
    <xf numFmtId="0" fontId="34" fillId="0" borderId="6" xfId="0" applyFont="1" applyBorder="1" applyAlignment="1">
      <alignment horizontal="left" vertical="top" wrapText="1"/>
    </xf>
    <xf numFmtId="0" fontId="34" fillId="0" borderId="5" xfId="0" applyFont="1" applyBorder="1" applyAlignment="1">
      <alignment horizontal="left" vertical="top" wrapText="1"/>
    </xf>
    <xf numFmtId="0" fontId="34" fillId="0" borderId="7" xfId="0" applyFont="1" applyBorder="1" applyAlignment="1">
      <alignment horizontal="left" vertical="top" wrapText="1"/>
    </xf>
    <xf numFmtId="0" fontId="34" fillId="0" borderId="9" xfId="0" applyFont="1" applyBorder="1" applyAlignment="1">
      <alignment horizontal="left" vertical="top" wrapText="1"/>
    </xf>
    <xf numFmtId="0" fontId="34" fillId="0" borderId="10" xfId="0" applyFont="1" applyBorder="1" applyAlignment="1">
      <alignment horizontal="left" vertical="top" wrapText="1"/>
    </xf>
    <xf numFmtId="0" fontId="34" fillId="0" borderId="11" xfId="0" applyFont="1" applyBorder="1" applyAlignment="1">
      <alignment horizontal="left" vertical="top" wrapText="1"/>
    </xf>
    <xf numFmtId="178" fontId="31" fillId="6" borderId="1" xfId="0" applyNumberFormat="1" applyFont="1" applyFill="1" applyBorder="1" applyAlignment="1">
      <alignment horizontal="center" vertical="center"/>
    </xf>
    <xf numFmtId="178" fontId="31" fillId="6" borderId="2" xfId="0" applyNumberFormat="1" applyFont="1" applyFill="1" applyBorder="1" applyAlignment="1">
      <alignment horizontal="center" vertical="center"/>
    </xf>
    <xf numFmtId="178" fontId="31" fillId="6" borderId="3" xfId="0" applyNumberFormat="1" applyFont="1" applyFill="1" applyBorder="1" applyAlignment="1">
      <alignment horizontal="center" vertical="center"/>
    </xf>
    <xf numFmtId="185" fontId="30" fillId="0" borderId="1" xfId="0" applyNumberFormat="1" applyFont="1" applyBorder="1" applyAlignment="1">
      <alignment horizontal="center" vertical="center"/>
    </xf>
    <xf numFmtId="185" fontId="30" fillId="0" borderId="2" xfId="0" applyNumberFormat="1" applyFont="1" applyBorder="1" applyAlignment="1">
      <alignment horizontal="center" vertical="center"/>
    </xf>
    <xf numFmtId="185" fontId="30" fillId="0" borderId="3" xfId="0" applyNumberFormat="1" applyFont="1" applyBorder="1" applyAlignment="1">
      <alignment horizontal="center" vertical="center"/>
    </xf>
  </cellXfs>
  <cellStyles count="2">
    <cellStyle name="桁区切り" xfId="1" builtinId="6"/>
    <cellStyle name="標準" xfId="0" builtinId="0"/>
  </cellStyles>
  <dxfs count="102">
    <dxf>
      <fill>
        <patternFill>
          <bgColor theme="0" tint="-0.24994659260841701"/>
        </patternFill>
      </fill>
    </dxf>
    <dxf>
      <fill>
        <patternFill>
          <bgColor theme="0" tint="-0.24994659260841701"/>
        </patternFill>
      </fill>
    </dxf>
    <dxf>
      <fill>
        <patternFill>
          <bgColor theme="0" tint="-0.24994659260841701"/>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59996337778862885"/>
        </patternFill>
      </fill>
    </dxf>
    <dxf>
      <border>
        <left style="thin">
          <color auto="1"/>
        </left>
        <right style="thin">
          <color auto="1"/>
        </right>
        <top style="thin">
          <color auto="1"/>
        </top>
        <bottom style="thin">
          <color auto="1"/>
        </bottom>
        <vertical/>
        <horizontal/>
      </border>
    </dxf>
    <dxf>
      <border>
        <vertical/>
        <horizontal/>
      </border>
    </dxf>
    <dxf>
      <fill>
        <patternFill>
          <bgColor theme="8" tint="0.59996337778862885"/>
        </patternFill>
      </fill>
      <border>
        <left style="thin">
          <color auto="1"/>
        </left>
        <right style="thin">
          <color auto="1"/>
        </right>
        <top style="thin">
          <color auto="1"/>
        </top>
        <bottom style="thin">
          <color auto="1"/>
        </bottom>
        <vertical/>
        <horizontal/>
      </border>
    </dxf>
    <dxf>
      <fill>
        <patternFill>
          <bgColor theme="8" tint="0.59996337778862885"/>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8" tint="0.59996337778862885"/>
        </patternFill>
      </fill>
      <border>
        <left style="thin">
          <color auto="1"/>
        </left>
        <right style="thin">
          <color auto="1"/>
        </right>
        <top style="thin">
          <color auto="1"/>
        </top>
        <bottom style="thin">
          <color auto="1"/>
        </bottom>
      </border>
    </dxf>
    <dxf>
      <fill>
        <patternFill>
          <bgColor theme="8" tint="0.59996337778862885"/>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8" tint="0.59996337778862885"/>
        </patternFill>
      </fill>
      <border>
        <left style="thin">
          <color auto="1"/>
        </left>
        <right style="thin">
          <color auto="1"/>
        </right>
        <top style="thin">
          <color auto="1"/>
        </top>
        <bottom style="thin">
          <color auto="1"/>
        </bottom>
        <vertical/>
        <horizontal/>
      </border>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0066FF"/>
      <color rgb="FFFFFFCC"/>
      <color rgb="FF0000FF"/>
      <color rgb="FFD1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288"/>
  <sheetViews>
    <sheetView showGridLines="0" tabSelected="1" view="pageBreakPreview" topLeftCell="A86" zoomScaleNormal="100" zoomScaleSheetLayoutView="100" workbookViewId="0">
      <selection activeCell="Q100" sqref="Q100:T100"/>
    </sheetView>
  </sheetViews>
  <sheetFormatPr defaultColWidth="3.109375" defaultRowHeight="13.2" x14ac:dyDescent="0.2"/>
  <cols>
    <col min="1" max="1" width="4.109375" style="1" customWidth="1"/>
    <col min="2" max="2" width="3.6640625" style="1" customWidth="1"/>
    <col min="3" max="3" width="6.44140625" style="1" bestFit="1" customWidth="1"/>
    <col min="4" max="5" width="3.109375" style="1"/>
    <col min="6" max="6" width="3.33203125" style="1" customWidth="1"/>
    <col min="7" max="11" width="3.109375" style="1"/>
    <col min="12" max="12" width="3.44140625" style="1" bestFit="1" customWidth="1"/>
    <col min="13" max="16" width="3.109375" style="1"/>
    <col min="17" max="17" width="3.44140625" style="1" bestFit="1" customWidth="1"/>
    <col min="18" max="21" width="3.109375" style="1"/>
    <col min="22" max="22" width="3.44140625" style="1" bestFit="1" customWidth="1"/>
    <col min="23" max="26" width="3.109375" style="1"/>
    <col min="27" max="27" width="3.88671875" style="1" customWidth="1"/>
    <col min="28" max="28" width="10.44140625" style="3" customWidth="1"/>
    <col min="29" max="29" width="6.33203125" style="3" customWidth="1"/>
    <col min="30" max="31" width="3.109375" style="3"/>
    <col min="32" max="35" width="3.44140625" style="3" bestFit="1" customWidth="1"/>
    <col min="36" max="39" width="3.109375" style="3"/>
    <col min="40" max="41" width="3.44140625" style="3" bestFit="1" customWidth="1"/>
    <col min="42" max="55" width="3.109375" style="3"/>
    <col min="56" max="58" width="3.109375" style="1"/>
    <col min="59" max="59" width="7.109375" style="1" customWidth="1"/>
    <col min="60" max="16384" width="3.109375" style="1"/>
  </cols>
  <sheetData>
    <row r="1" spans="1:60" ht="13.5" customHeight="1" x14ac:dyDescent="0.2">
      <c r="A1" s="1" t="s">
        <v>147</v>
      </c>
      <c r="K1" s="2"/>
      <c r="L1" s="2"/>
      <c r="M1" s="2"/>
      <c r="N1" s="2"/>
      <c r="O1" s="2"/>
      <c r="P1" s="2"/>
      <c r="Q1" s="2"/>
      <c r="R1" s="2"/>
      <c r="Z1" s="50"/>
      <c r="AA1" s="309" t="s">
        <v>510</v>
      </c>
      <c r="AC1" s="4" t="s">
        <v>70</v>
      </c>
      <c r="BG1" s="1" t="s">
        <v>114</v>
      </c>
      <c r="BH1" s="1" t="s">
        <v>132</v>
      </c>
    </row>
    <row r="2" spans="1:60" ht="15.6" customHeight="1" x14ac:dyDescent="0.2">
      <c r="K2" s="2"/>
      <c r="L2" s="2"/>
      <c r="M2" s="2"/>
      <c r="N2" s="2"/>
      <c r="O2" s="2"/>
      <c r="P2" s="2"/>
      <c r="Q2" s="2"/>
      <c r="R2" s="2"/>
      <c r="Y2" s="1" t="s">
        <v>531</v>
      </c>
      <c r="AC2" s="4" t="s">
        <v>171</v>
      </c>
      <c r="BG2" s="1" t="s">
        <v>115</v>
      </c>
      <c r="BH2" s="1" t="s">
        <v>133</v>
      </c>
    </row>
    <row r="3" spans="1:60" ht="20.25" customHeight="1" x14ac:dyDescent="0.2">
      <c r="A3" s="359" t="s">
        <v>460</v>
      </c>
      <c r="B3" s="359"/>
      <c r="C3" s="359"/>
      <c r="D3" s="359"/>
      <c r="E3" s="359"/>
      <c r="F3" s="359"/>
      <c r="G3" s="359"/>
      <c r="H3" s="359"/>
      <c r="I3" s="359"/>
      <c r="J3" s="359"/>
      <c r="K3" s="359"/>
      <c r="L3" s="359"/>
      <c r="M3" s="359"/>
      <c r="N3" s="359"/>
      <c r="O3" s="359"/>
      <c r="P3" s="359"/>
      <c r="Q3" s="359"/>
      <c r="R3" s="359"/>
      <c r="S3" s="359"/>
      <c r="T3" s="359"/>
      <c r="U3" s="359"/>
      <c r="V3" s="359"/>
      <c r="W3" s="359"/>
      <c r="X3" s="359"/>
      <c r="Y3" s="359"/>
      <c r="Z3" s="359"/>
      <c r="AA3" s="359"/>
      <c r="AC3" s="4"/>
    </row>
    <row r="4" spans="1:60" ht="16.2" x14ac:dyDescent="0.2">
      <c r="A4" s="359" t="s">
        <v>459</v>
      </c>
      <c r="B4" s="359"/>
      <c r="C4" s="359"/>
      <c r="D4" s="359"/>
      <c r="E4" s="359"/>
      <c r="F4" s="359"/>
      <c r="G4" s="359"/>
      <c r="H4" s="359"/>
      <c r="I4" s="359"/>
      <c r="J4" s="359"/>
      <c r="K4" s="359"/>
      <c r="L4" s="359"/>
      <c r="M4" s="359"/>
      <c r="N4" s="359"/>
      <c r="O4" s="359"/>
      <c r="P4" s="359"/>
      <c r="Q4" s="359"/>
      <c r="R4" s="359"/>
      <c r="S4" s="359"/>
      <c r="T4" s="359"/>
      <c r="U4" s="359"/>
      <c r="V4" s="359"/>
      <c r="W4" s="359"/>
      <c r="X4" s="359"/>
      <c r="Y4" s="359"/>
      <c r="Z4" s="359"/>
      <c r="AA4" s="359"/>
      <c r="AC4" s="4" t="s">
        <v>67</v>
      </c>
      <c r="BG4" s="1" t="s">
        <v>116</v>
      </c>
      <c r="BH4" s="1" t="s">
        <v>134</v>
      </c>
    </row>
    <row r="5" spans="1:60" ht="1.5" customHeight="1" x14ac:dyDescent="0.2">
      <c r="AC5" s="4" t="s">
        <v>172</v>
      </c>
      <c r="BG5" s="1" t="s">
        <v>117</v>
      </c>
      <c r="BH5" s="1" t="s">
        <v>133</v>
      </c>
    </row>
    <row r="6" spans="1:60" x14ac:dyDescent="0.2">
      <c r="A6" s="360" t="s">
        <v>461</v>
      </c>
      <c r="B6" s="360"/>
      <c r="C6" s="360"/>
      <c r="D6" s="360"/>
      <c r="E6" s="360"/>
      <c r="F6" s="360"/>
      <c r="G6" s="360"/>
      <c r="H6" s="360"/>
      <c r="I6" s="360"/>
      <c r="J6" s="360"/>
      <c r="K6" s="360"/>
      <c r="L6" s="360"/>
      <c r="M6" s="360"/>
      <c r="N6" s="360"/>
      <c r="O6" s="360"/>
      <c r="P6" s="360"/>
      <c r="Q6" s="360"/>
      <c r="R6" s="360"/>
      <c r="S6" s="360"/>
      <c r="T6" s="360"/>
      <c r="U6" s="360"/>
      <c r="V6" s="360"/>
      <c r="W6" s="360"/>
      <c r="X6" s="360"/>
      <c r="Y6" s="360"/>
      <c r="Z6" s="360"/>
      <c r="AA6" s="360"/>
      <c r="BG6" s="1" t="s">
        <v>118</v>
      </c>
      <c r="BH6" s="1" t="s">
        <v>132</v>
      </c>
    </row>
    <row r="7" spans="1:60" x14ac:dyDescent="0.2">
      <c r="A7" s="360"/>
      <c r="B7" s="360"/>
      <c r="C7" s="360"/>
      <c r="D7" s="360"/>
      <c r="E7" s="360"/>
      <c r="F7" s="360"/>
      <c r="G7" s="360"/>
      <c r="H7" s="360"/>
      <c r="I7" s="360"/>
      <c r="J7" s="360"/>
      <c r="K7" s="360"/>
      <c r="L7" s="360"/>
      <c r="M7" s="360"/>
      <c r="N7" s="360"/>
      <c r="O7" s="360"/>
      <c r="P7" s="360"/>
      <c r="Q7" s="360"/>
      <c r="R7" s="360"/>
      <c r="S7" s="360"/>
      <c r="T7" s="360"/>
      <c r="U7" s="360"/>
      <c r="V7" s="360"/>
      <c r="W7" s="360"/>
      <c r="X7" s="360"/>
      <c r="Y7" s="360"/>
      <c r="Z7" s="360"/>
      <c r="AA7" s="360"/>
      <c r="BG7" s="1" t="s">
        <v>119</v>
      </c>
      <c r="BH7" s="1" t="s">
        <v>132</v>
      </c>
    </row>
    <row r="8" spans="1:60" ht="7.5" customHeight="1" x14ac:dyDescent="0.2">
      <c r="BG8" s="1" t="s">
        <v>120</v>
      </c>
      <c r="BH8" s="1" t="s">
        <v>132</v>
      </c>
    </row>
    <row r="9" spans="1:60" x14ac:dyDescent="0.2">
      <c r="C9" s="107" t="s">
        <v>262</v>
      </c>
      <c r="D9" s="107"/>
      <c r="E9" s="450"/>
      <c r="F9" s="450"/>
      <c r="G9" s="1" t="s">
        <v>8</v>
      </c>
      <c r="H9" s="426"/>
      <c r="I9" s="426"/>
      <c r="J9" s="1" t="s">
        <v>22</v>
      </c>
      <c r="K9" s="426"/>
      <c r="L9" s="426"/>
      <c r="M9" s="1" t="s">
        <v>7</v>
      </c>
      <c r="AB9" s="4" t="str">
        <f>IF(OR(C9="",H9="",K9=""),"←リストから選択してください（和暦年月日）","")</f>
        <v>←リストから選択してください（和暦年月日）</v>
      </c>
      <c r="BG9" s="1" t="s">
        <v>135</v>
      </c>
      <c r="BH9" s="1" t="s">
        <v>132</v>
      </c>
    </row>
    <row r="10" spans="1:60" ht="3" customHeight="1" x14ac:dyDescent="0.2">
      <c r="BG10" s="1" t="s">
        <v>121</v>
      </c>
      <c r="BH10" s="1" t="s">
        <v>134</v>
      </c>
    </row>
    <row r="11" spans="1:60" x14ac:dyDescent="0.2">
      <c r="K11" s="5" t="s">
        <v>21</v>
      </c>
      <c r="L11" s="6" t="s">
        <v>12</v>
      </c>
      <c r="M11" s="7"/>
      <c r="N11" s="6" t="s">
        <v>10</v>
      </c>
      <c r="O11" s="405"/>
      <c r="P11" s="405"/>
      <c r="Q11" s="405"/>
      <c r="R11" s="405"/>
      <c r="S11" s="405"/>
      <c r="T11" s="405"/>
      <c r="U11" s="405"/>
      <c r="V11" s="405"/>
      <c r="W11" s="405"/>
      <c r="X11" s="405"/>
      <c r="Y11" s="405"/>
      <c r="Z11" s="406"/>
      <c r="AB11" s="4" t="str">
        <f>IF(O11="","←直接郵便番号を記入してください","")</f>
        <v>←直接郵便番号を記入してください</v>
      </c>
      <c r="BG11" s="1" t="s">
        <v>122</v>
      </c>
      <c r="BH11" s="1" t="s">
        <v>134</v>
      </c>
    </row>
    <row r="12" spans="1:60" ht="19.5" customHeight="1" x14ac:dyDescent="0.2">
      <c r="L12" s="8"/>
      <c r="M12" s="9"/>
      <c r="N12" s="445"/>
      <c r="O12" s="446"/>
      <c r="P12" s="446"/>
      <c r="Q12" s="446"/>
      <c r="R12" s="446"/>
      <c r="S12" s="446"/>
      <c r="T12" s="446"/>
      <c r="U12" s="446"/>
      <c r="V12" s="446"/>
      <c r="W12" s="446"/>
      <c r="X12" s="446"/>
      <c r="Y12" s="446"/>
      <c r="Z12" s="447"/>
      <c r="AB12" s="4" t="s">
        <v>231</v>
      </c>
      <c r="BG12" s="1" t="s">
        <v>123</v>
      </c>
      <c r="BH12" s="1" t="s">
        <v>134</v>
      </c>
    </row>
    <row r="13" spans="1:60" x14ac:dyDescent="0.2">
      <c r="L13" s="10" t="s">
        <v>6</v>
      </c>
      <c r="M13" s="11"/>
      <c r="N13" s="385"/>
      <c r="O13" s="386"/>
      <c r="P13" s="386"/>
      <c r="Q13" s="386"/>
      <c r="R13" s="386"/>
      <c r="S13" s="386"/>
      <c r="T13" s="386"/>
      <c r="U13" s="386"/>
      <c r="V13" s="386"/>
      <c r="W13" s="386"/>
      <c r="X13" s="386"/>
      <c r="Y13" s="386"/>
      <c r="Z13" s="387"/>
      <c r="AB13" s="4" t="str">
        <f>IF(N13="","←直接建築主の氏名を記入してください","")</f>
        <v>←直接建築主の氏名を記入してください</v>
      </c>
      <c r="BG13" s="1" t="s">
        <v>124</v>
      </c>
      <c r="BH13" s="1" t="s">
        <v>134</v>
      </c>
    </row>
    <row r="14" spans="1:60" x14ac:dyDescent="0.2">
      <c r="L14" s="10" t="s">
        <v>9</v>
      </c>
      <c r="M14" s="11"/>
      <c r="N14" s="442"/>
      <c r="O14" s="443"/>
      <c r="P14" s="443"/>
      <c r="Q14" s="443"/>
      <c r="R14" s="443"/>
      <c r="S14" s="443"/>
      <c r="T14" s="443"/>
      <c r="U14" s="443"/>
      <c r="V14" s="443"/>
      <c r="W14" s="443"/>
      <c r="X14" s="443"/>
      <c r="Y14" s="443"/>
      <c r="Z14" s="444"/>
      <c r="AB14" s="4" t="str">
        <f>IF(N14="","←直接電話番号を記入してください","")</f>
        <v>←直接電話番号を記入してください</v>
      </c>
      <c r="BG14" s="1" t="s">
        <v>125</v>
      </c>
      <c r="BH14" s="1" t="s">
        <v>133</v>
      </c>
    </row>
    <row r="15" spans="1:60" x14ac:dyDescent="0.2">
      <c r="A15" s="1" t="s">
        <v>42</v>
      </c>
      <c r="BG15" s="1" t="s">
        <v>126</v>
      </c>
      <c r="BH15" s="1" t="s">
        <v>133</v>
      </c>
    </row>
    <row r="16" spans="1:60" x14ac:dyDescent="0.2">
      <c r="A16" s="1" t="s">
        <v>41</v>
      </c>
      <c r="AA16" s="12"/>
      <c r="BG16" s="1" t="s">
        <v>127</v>
      </c>
      <c r="BH16" s="1" t="s">
        <v>133</v>
      </c>
    </row>
    <row r="17" spans="1:60" ht="26.25" customHeight="1" x14ac:dyDescent="0.2">
      <c r="A17" s="360" t="s">
        <v>192</v>
      </c>
      <c r="B17" s="360"/>
      <c r="C17" s="360"/>
      <c r="D17" s="360"/>
      <c r="E17" s="360"/>
      <c r="F17" s="360"/>
      <c r="G17" s="360"/>
      <c r="H17" s="360"/>
      <c r="I17" s="360"/>
      <c r="J17" s="360"/>
      <c r="K17" s="360"/>
      <c r="L17" s="360"/>
      <c r="M17" s="360"/>
      <c r="N17" s="360"/>
      <c r="O17" s="360"/>
      <c r="P17" s="360"/>
      <c r="Q17" s="360"/>
      <c r="R17" s="360"/>
      <c r="S17" s="360"/>
      <c r="T17" s="360"/>
      <c r="U17" s="360"/>
      <c r="V17" s="360"/>
      <c r="W17" s="360"/>
      <c r="X17" s="360"/>
      <c r="Y17" s="360"/>
      <c r="Z17" s="360"/>
      <c r="AA17" s="360"/>
      <c r="BG17" s="1" t="s">
        <v>128</v>
      </c>
      <c r="BH17" s="1" t="s">
        <v>133</v>
      </c>
    </row>
    <row r="18" spans="1:60" ht="3" customHeight="1" x14ac:dyDescent="0.2">
      <c r="AA18" s="12"/>
      <c r="BG18" s="1" t="s">
        <v>129</v>
      </c>
      <c r="BH18" s="1" t="s">
        <v>133</v>
      </c>
    </row>
    <row r="19" spans="1:60" x14ac:dyDescent="0.2">
      <c r="A19" s="1" t="s">
        <v>32</v>
      </c>
      <c r="BG19" s="1" t="s">
        <v>130</v>
      </c>
      <c r="BH19" s="1" t="s">
        <v>133</v>
      </c>
    </row>
    <row r="20" spans="1:60" ht="3.6" customHeight="1" x14ac:dyDescent="0.2">
      <c r="AA20" s="12"/>
      <c r="BG20" s="1" t="s">
        <v>131</v>
      </c>
      <c r="BH20" s="1" t="s">
        <v>133</v>
      </c>
    </row>
    <row r="21" spans="1:60" ht="13.5" customHeight="1" x14ac:dyDescent="0.2">
      <c r="B21" s="63"/>
      <c r="C21" s="360" t="s">
        <v>152</v>
      </c>
      <c r="D21" s="360"/>
      <c r="E21" s="360"/>
      <c r="F21" s="360"/>
      <c r="G21" s="360"/>
      <c r="H21" s="360"/>
      <c r="I21" s="360"/>
      <c r="J21" s="360"/>
      <c r="K21" s="360"/>
      <c r="L21" s="360"/>
      <c r="M21" s="360"/>
      <c r="N21" s="360"/>
      <c r="O21" s="360"/>
      <c r="P21" s="360"/>
      <c r="Q21" s="360"/>
      <c r="R21" s="360"/>
      <c r="S21" s="360"/>
      <c r="T21" s="360"/>
      <c r="U21" s="360"/>
      <c r="V21" s="360"/>
      <c r="W21" s="360"/>
      <c r="X21" s="360"/>
      <c r="Y21" s="360"/>
      <c r="Z21" s="360"/>
      <c r="AA21" s="360"/>
    </row>
    <row r="22" spans="1:60" x14ac:dyDescent="0.2">
      <c r="B22" s="38"/>
      <c r="C22" s="360"/>
      <c r="D22" s="360"/>
      <c r="E22" s="360"/>
      <c r="F22" s="360"/>
      <c r="G22" s="360"/>
      <c r="H22" s="360"/>
      <c r="I22" s="360"/>
      <c r="J22" s="360"/>
      <c r="K22" s="360"/>
      <c r="L22" s="360"/>
      <c r="M22" s="360"/>
      <c r="N22" s="360"/>
      <c r="O22" s="360"/>
      <c r="P22" s="360"/>
      <c r="Q22" s="360"/>
      <c r="R22" s="360"/>
      <c r="S22" s="360"/>
      <c r="T22" s="360"/>
      <c r="U22" s="360"/>
      <c r="V22" s="360"/>
      <c r="W22" s="360"/>
      <c r="X22" s="360"/>
      <c r="Y22" s="360"/>
      <c r="Z22" s="360"/>
      <c r="AA22" s="360"/>
    </row>
    <row r="23" spans="1:60" x14ac:dyDescent="0.2">
      <c r="B23" s="63"/>
      <c r="C23" s="1" t="s">
        <v>139</v>
      </c>
    </row>
    <row r="24" spans="1:60" x14ac:dyDescent="0.2">
      <c r="C24" s="13" t="s">
        <v>79</v>
      </c>
    </row>
    <row r="25" spans="1:60" x14ac:dyDescent="0.2">
      <c r="C25" s="14" t="s">
        <v>78</v>
      </c>
      <c r="D25" s="13"/>
    </row>
    <row r="26" spans="1:60" x14ac:dyDescent="0.2">
      <c r="C26" s="13" t="s">
        <v>80</v>
      </c>
    </row>
    <row r="27" spans="1:60" x14ac:dyDescent="0.2">
      <c r="C27" s="13" t="s">
        <v>77</v>
      </c>
    </row>
    <row r="28" spans="1:60" x14ac:dyDescent="0.2">
      <c r="D28" s="369" t="s">
        <v>1</v>
      </c>
      <c r="E28" s="370"/>
      <c r="F28" s="370"/>
      <c r="G28" s="370"/>
      <c r="H28" s="371"/>
      <c r="I28" s="347" t="s">
        <v>106</v>
      </c>
      <c r="J28" s="348"/>
      <c r="K28" s="348"/>
      <c r="L28" s="349"/>
      <c r="M28" s="343"/>
      <c r="N28" s="344"/>
      <c r="O28" s="344"/>
      <c r="P28" s="344"/>
      <c r="Q28" s="344"/>
      <c r="R28" s="344"/>
      <c r="S28" s="344"/>
      <c r="T28" s="344"/>
      <c r="U28" s="344"/>
      <c r="V28" s="344"/>
      <c r="W28" s="344"/>
      <c r="X28" s="345"/>
      <c r="AB28" s="4" t="str">
        <f>IF(M28="","←リストから選択してください（市町村名）","")</f>
        <v>←リストから選択してください（市町村名）</v>
      </c>
      <c r="BG28" s="1" t="str">
        <f>IF(M28="","",VLOOKUP(M28,BG1:BH20,2,FALSE))</f>
        <v/>
      </c>
    </row>
    <row r="29" spans="1:60" x14ac:dyDescent="0.2">
      <c r="D29" s="372"/>
      <c r="E29" s="373"/>
      <c r="F29" s="373"/>
      <c r="G29" s="373"/>
      <c r="H29" s="374"/>
      <c r="I29" s="366"/>
      <c r="J29" s="367"/>
      <c r="K29" s="367"/>
      <c r="L29" s="367"/>
      <c r="M29" s="367"/>
      <c r="N29" s="367"/>
      <c r="O29" s="367"/>
      <c r="P29" s="367"/>
      <c r="Q29" s="367"/>
      <c r="R29" s="367"/>
      <c r="S29" s="367"/>
      <c r="T29" s="367"/>
      <c r="U29" s="367"/>
      <c r="V29" s="367"/>
      <c r="W29" s="367"/>
      <c r="X29" s="368"/>
      <c r="AB29" s="4" t="str">
        <f>IF(I29="","←市町村名より後の所在地を直接記入してください","")</f>
        <v>←市町村名より後の所在地を直接記入してください</v>
      </c>
    </row>
    <row r="30" spans="1:60" x14ac:dyDescent="0.2">
      <c r="D30" s="347" t="s">
        <v>467</v>
      </c>
      <c r="E30" s="348"/>
      <c r="F30" s="348"/>
      <c r="G30" s="348"/>
      <c r="H30" s="349"/>
      <c r="I30" s="385"/>
      <c r="J30" s="386"/>
      <c r="K30" s="386"/>
      <c r="L30" s="386"/>
      <c r="M30" s="386"/>
      <c r="N30" s="386"/>
      <c r="O30" s="386"/>
      <c r="P30" s="386"/>
      <c r="Q30" s="386"/>
      <c r="R30" s="386"/>
      <c r="S30" s="386"/>
      <c r="T30" s="386"/>
      <c r="U30" s="386"/>
      <c r="V30" s="386"/>
      <c r="W30" s="386"/>
      <c r="X30" s="387"/>
      <c r="AB30" s="4" t="str">
        <f>IF(I30="","←住居表示がある場合のみ入力してください","")</f>
        <v>←住居表示がある場合のみ入力してください</v>
      </c>
    </row>
    <row r="31" spans="1:60" x14ac:dyDescent="0.2">
      <c r="D31" s="369" t="s">
        <v>24</v>
      </c>
      <c r="E31" s="370"/>
      <c r="F31" s="370"/>
      <c r="G31" s="370"/>
      <c r="H31" s="371"/>
      <c r="I31" s="343"/>
      <c r="J31" s="344"/>
      <c r="K31" s="344"/>
      <c r="L31" s="344"/>
      <c r="M31" s="344"/>
      <c r="N31" s="344"/>
      <c r="O31" s="347" t="s">
        <v>110</v>
      </c>
      <c r="P31" s="348"/>
      <c r="Q31" s="348"/>
      <c r="R31" s="349"/>
      <c r="S31" s="448"/>
      <c r="T31" s="449"/>
      <c r="U31" s="449"/>
      <c r="V31" s="449"/>
      <c r="W31" s="348" t="s">
        <v>82</v>
      </c>
      <c r="X31" s="349"/>
      <c r="AB31" s="4" t="str">
        <f>IF(I31="","←リストから選択してください（専用住宅・併用住宅）","")</f>
        <v>←リストから選択してください（専用住宅・併用住宅）</v>
      </c>
    </row>
    <row r="32" spans="1:60" x14ac:dyDescent="0.2">
      <c r="D32" s="369" t="s">
        <v>144</v>
      </c>
      <c r="E32" s="370"/>
      <c r="F32" s="370"/>
      <c r="G32" s="370"/>
      <c r="H32" s="371"/>
      <c r="I32" s="437"/>
      <c r="J32" s="437"/>
      <c r="K32" s="437"/>
      <c r="L32" s="428" t="s">
        <v>148</v>
      </c>
      <c r="M32" s="375" t="s">
        <v>71</v>
      </c>
      <c r="N32" s="376"/>
      <c r="O32" s="376"/>
      <c r="P32" s="376"/>
      <c r="Q32" s="377"/>
      <c r="R32" s="423" t="s">
        <v>72</v>
      </c>
      <c r="S32" s="423"/>
      <c r="T32" s="423"/>
      <c r="U32" s="423"/>
      <c r="V32" s="421"/>
      <c r="W32" s="421"/>
      <c r="X32" s="15" t="s">
        <v>148</v>
      </c>
      <c r="AB32" s="16" t="str">
        <f>IF(I32="","←延床面積を入力してください。",IF(AND(I31="併用住宅",V32=""),"←面積を入力してください。",""))</f>
        <v>←延床面積を入力してください。</v>
      </c>
    </row>
    <row r="33" spans="2:28" x14ac:dyDescent="0.2">
      <c r="D33" s="372"/>
      <c r="E33" s="373"/>
      <c r="F33" s="373"/>
      <c r="G33" s="373"/>
      <c r="H33" s="374"/>
      <c r="I33" s="438"/>
      <c r="J33" s="438"/>
      <c r="K33" s="438"/>
      <c r="L33" s="429"/>
      <c r="M33" s="378"/>
      <c r="N33" s="379"/>
      <c r="O33" s="379"/>
      <c r="P33" s="379"/>
      <c r="Q33" s="380"/>
      <c r="R33" s="424" t="s">
        <v>73</v>
      </c>
      <c r="S33" s="424"/>
      <c r="T33" s="424"/>
      <c r="U33" s="424"/>
      <c r="V33" s="422"/>
      <c r="W33" s="422"/>
      <c r="X33" s="18" t="s">
        <v>148</v>
      </c>
      <c r="AB33" s="16" t="str">
        <f>IF(AND(I31="併用住宅",V33=""),"←面積を入力してください。","")</f>
        <v/>
      </c>
    </row>
    <row r="34" spans="2:28" x14ac:dyDescent="0.2">
      <c r="D34" s="369" t="s">
        <v>30</v>
      </c>
      <c r="E34" s="370"/>
      <c r="F34" s="370"/>
      <c r="G34" s="370"/>
      <c r="H34" s="371"/>
      <c r="I34" s="430"/>
      <c r="J34" s="431"/>
      <c r="K34" s="431"/>
      <c r="L34" s="431"/>
      <c r="M34" s="431"/>
      <c r="N34" s="431"/>
      <c r="O34" s="19" t="s">
        <v>29</v>
      </c>
      <c r="P34" s="19"/>
      <c r="Q34" s="19"/>
      <c r="R34" s="41"/>
      <c r="S34" s="432" t="s">
        <v>111</v>
      </c>
      <c r="T34" s="432"/>
      <c r="U34" s="432"/>
      <c r="V34" s="427"/>
      <c r="W34" s="427"/>
      <c r="X34" s="20" t="s">
        <v>112</v>
      </c>
      <c r="AB34" s="4" t="str">
        <f>IF(I34="","←直接記入してください",IF(V34="","←階数を選択してください。",""))</f>
        <v>←直接記入してください</v>
      </c>
    </row>
    <row r="35" spans="2:28" x14ac:dyDescent="0.2">
      <c r="D35" s="8"/>
      <c r="E35" s="17"/>
      <c r="F35" s="17"/>
      <c r="G35" s="17"/>
      <c r="H35" s="9"/>
      <c r="I35" s="381" t="s">
        <v>81</v>
      </c>
      <c r="J35" s="382"/>
      <c r="K35" s="382"/>
      <c r="L35" s="64"/>
      <c r="M35" s="17" t="s">
        <v>25</v>
      </c>
      <c r="N35" s="17"/>
      <c r="O35" s="21" t="s">
        <v>27</v>
      </c>
      <c r="P35" s="17"/>
      <c r="Q35" s="64"/>
      <c r="R35" s="17" t="s">
        <v>25</v>
      </c>
      <c r="S35" s="17"/>
      <c r="T35" s="21" t="s">
        <v>28</v>
      </c>
      <c r="U35" s="17"/>
      <c r="V35" s="64"/>
      <c r="W35" s="17" t="s">
        <v>55</v>
      </c>
      <c r="X35" s="9"/>
      <c r="AB35" s="4" t="str">
        <f>IF(OR(L35="",Q35="",V35=""),"←直接記入してください","")</f>
        <v>←直接記入してください</v>
      </c>
    </row>
    <row r="36" spans="2:28" x14ac:dyDescent="0.2">
      <c r="D36" s="413" t="s">
        <v>26</v>
      </c>
      <c r="E36" s="413"/>
      <c r="F36" s="413"/>
      <c r="G36" s="413"/>
      <c r="H36" s="413"/>
      <c r="I36" s="419"/>
      <c r="J36" s="419"/>
      <c r="K36" s="419"/>
      <c r="L36" s="419"/>
      <c r="M36" s="419"/>
      <c r="N36" s="419"/>
      <c r="O36" s="419"/>
      <c r="P36" s="419"/>
      <c r="Q36" s="419"/>
      <c r="R36" s="419"/>
      <c r="S36" s="419"/>
      <c r="T36" s="419"/>
      <c r="U36" s="419"/>
      <c r="V36" s="419"/>
      <c r="W36" s="419"/>
      <c r="X36" s="419"/>
      <c r="AB36" s="4" t="str">
        <f>IF(I36="","←リストから選択してください（在来軸組工法、伝統構法、その他）","")</f>
        <v>←リストから選択してください（在来軸組工法、伝統構法、その他）</v>
      </c>
    </row>
    <row r="37" spans="2:28" x14ac:dyDescent="0.2">
      <c r="D37" s="369" t="s">
        <v>2</v>
      </c>
      <c r="E37" s="370"/>
      <c r="F37" s="370"/>
      <c r="G37" s="370"/>
      <c r="H37" s="371"/>
      <c r="I37" s="440" t="s">
        <v>145</v>
      </c>
      <c r="J37" s="441"/>
      <c r="K37" s="441"/>
      <c r="L37" s="441"/>
      <c r="M37" s="441"/>
      <c r="N37" s="439"/>
      <c r="O37" s="439"/>
      <c r="P37" s="439"/>
      <c r="Q37" s="439"/>
      <c r="R37" s="40" t="s">
        <v>8</v>
      </c>
      <c r="S37" s="425"/>
      <c r="T37" s="425"/>
      <c r="U37" s="40" t="s">
        <v>22</v>
      </c>
      <c r="V37" s="425"/>
      <c r="W37" s="425"/>
      <c r="X37" s="7" t="s">
        <v>7</v>
      </c>
      <c r="AB37" s="4" t="str">
        <f>IF(OR(N37="",S37="",V37=""),"←リストから選択してください（和暦年月日）","")</f>
        <v>←リストから選択してください（和暦年月日）</v>
      </c>
    </row>
    <row r="38" spans="2:28" x14ac:dyDescent="0.2">
      <c r="D38" s="372"/>
      <c r="E38" s="373"/>
      <c r="F38" s="373"/>
      <c r="G38" s="373"/>
      <c r="H38" s="374"/>
      <c r="I38" s="434" t="s">
        <v>146</v>
      </c>
      <c r="J38" s="435"/>
      <c r="K38" s="435"/>
      <c r="L38" s="435"/>
      <c r="M38" s="435"/>
      <c r="N38" s="433"/>
      <c r="O38" s="433"/>
      <c r="P38" s="433"/>
      <c r="Q38" s="433"/>
      <c r="R38" s="1" t="s">
        <v>8</v>
      </c>
      <c r="S38" s="426"/>
      <c r="T38" s="426"/>
      <c r="U38" s="1" t="s">
        <v>22</v>
      </c>
      <c r="V38" s="426"/>
      <c r="W38" s="426"/>
      <c r="X38" s="81" t="s">
        <v>7</v>
      </c>
      <c r="AB38" s="4" t="str">
        <f>IF(OR(N38="",S38="",V38=""),"←リストから選択してください（和暦年月日）","")</f>
        <v>←リストから選択してください（和暦年月日）</v>
      </c>
    </row>
    <row r="39" spans="2:28" x14ac:dyDescent="0.2">
      <c r="D39" s="347" t="s">
        <v>478</v>
      </c>
      <c r="E39" s="348"/>
      <c r="F39" s="348"/>
      <c r="G39" s="348"/>
      <c r="H39" s="349"/>
      <c r="I39" s="298"/>
      <c r="J39" s="298"/>
      <c r="K39" s="298" t="s">
        <v>480</v>
      </c>
      <c r="L39" s="468"/>
      <c r="M39" s="468"/>
      <c r="N39" s="468"/>
      <c r="O39" s="468"/>
      <c r="P39" s="468"/>
      <c r="Q39" s="468"/>
      <c r="R39" s="468"/>
      <c r="S39" s="468"/>
      <c r="T39" s="468"/>
      <c r="U39" s="468"/>
      <c r="V39" s="298" t="s">
        <v>481</v>
      </c>
      <c r="W39" s="298"/>
      <c r="X39" s="299"/>
      <c r="AB39" s="4" t="s">
        <v>479</v>
      </c>
    </row>
    <row r="40" spans="2:28" ht="1.5" customHeight="1" x14ac:dyDescent="0.2">
      <c r="D40" s="436" t="str">
        <f>IF(I36="その他","（工法名）","")</f>
        <v/>
      </c>
      <c r="E40" s="436"/>
      <c r="F40" s="436"/>
      <c r="G40" s="436"/>
      <c r="H40" s="436"/>
      <c r="I40" s="420"/>
      <c r="J40" s="420"/>
      <c r="K40" s="420"/>
      <c r="L40" s="420"/>
      <c r="M40" s="420"/>
      <c r="N40" s="420"/>
      <c r="O40" s="420"/>
      <c r="P40" s="420"/>
      <c r="Q40" s="420"/>
      <c r="R40" s="420"/>
      <c r="S40" s="420"/>
      <c r="T40" s="420"/>
      <c r="U40" s="420"/>
      <c r="V40" s="420"/>
      <c r="W40" s="420"/>
      <c r="X40" s="420"/>
      <c r="Y40" s="22" t="str">
        <f>IF(AND($I$36="その他",I40=""),"←工法を直接入力してください","")</f>
        <v/>
      </c>
    </row>
    <row r="41" spans="2:28" x14ac:dyDescent="0.2">
      <c r="B41" s="63"/>
      <c r="C41" s="1" t="s">
        <v>138</v>
      </c>
    </row>
    <row r="42" spans="2:28" x14ac:dyDescent="0.2">
      <c r="D42" s="347" t="s">
        <v>3</v>
      </c>
      <c r="E42" s="348"/>
      <c r="F42" s="348"/>
      <c r="G42" s="348"/>
      <c r="H42" s="349"/>
      <c r="I42" s="404"/>
      <c r="J42" s="405"/>
      <c r="K42" s="405"/>
      <c r="L42" s="405"/>
      <c r="M42" s="405"/>
      <c r="N42" s="405"/>
      <c r="O42" s="405"/>
      <c r="P42" s="405"/>
      <c r="Q42" s="405"/>
      <c r="R42" s="405"/>
      <c r="S42" s="405"/>
      <c r="T42" s="405"/>
      <c r="U42" s="405"/>
      <c r="V42" s="405"/>
      <c r="W42" s="405"/>
      <c r="X42" s="406"/>
      <c r="AB42" s="4" t="str">
        <f>IF(I42="","←直接記入してください","")</f>
        <v>←直接記入してください</v>
      </c>
    </row>
    <row r="43" spans="2:28" x14ac:dyDescent="0.2">
      <c r="D43" s="347" t="s">
        <v>4</v>
      </c>
      <c r="E43" s="348"/>
      <c r="F43" s="348"/>
      <c r="G43" s="348"/>
      <c r="H43" s="349"/>
      <c r="I43" s="385"/>
      <c r="J43" s="386"/>
      <c r="K43" s="386"/>
      <c r="L43" s="386"/>
      <c r="M43" s="386"/>
      <c r="N43" s="386"/>
      <c r="O43" s="386"/>
      <c r="P43" s="386"/>
      <c r="Q43" s="386"/>
      <c r="R43" s="386"/>
      <c r="S43" s="386"/>
      <c r="T43" s="386"/>
      <c r="U43" s="386"/>
      <c r="V43" s="386"/>
      <c r="W43" s="386"/>
      <c r="X43" s="387"/>
      <c r="AB43" s="4" t="str">
        <f>IF(I43="","←直接記入してください","")</f>
        <v>←直接記入してください</v>
      </c>
    </row>
    <row r="44" spans="2:28" x14ac:dyDescent="0.2">
      <c r="D44" s="347" t="s">
        <v>23</v>
      </c>
      <c r="E44" s="348"/>
      <c r="F44" s="348"/>
      <c r="G44" s="348"/>
      <c r="H44" s="349"/>
      <c r="I44" s="388"/>
      <c r="J44" s="389"/>
      <c r="K44" s="389"/>
      <c r="L44" s="389"/>
      <c r="M44" s="389"/>
      <c r="N44" s="389"/>
      <c r="O44" s="389"/>
      <c r="P44" s="389"/>
      <c r="Q44" s="389"/>
      <c r="R44" s="389"/>
      <c r="S44" s="389"/>
      <c r="T44" s="389"/>
      <c r="U44" s="389"/>
      <c r="V44" s="389"/>
      <c r="W44" s="389"/>
      <c r="X44" s="390"/>
      <c r="AB44" s="4" t="str">
        <f>IF(I44="","←直接記入してください(0857-00-000等）","")</f>
        <v>←直接記入してください(0857-00-000等）</v>
      </c>
    </row>
    <row r="45" spans="2:28" ht="4.5" customHeight="1" x14ac:dyDescent="0.2"/>
    <row r="46" spans="2:28" x14ac:dyDescent="0.2">
      <c r="B46" s="63"/>
      <c r="C46" s="1" t="s">
        <v>137</v>
      </c>
    </row>
    <row r="47" spans="2:28" x14ac:dyDescent="0.2">
      <c r="D47" s="347" t="s">
        <v>31</v>
      </c>
      <c r="E47" s="348"/>
      <c r="F47" s="348"/>
      <c r="G47" s="348"/>
      <c r="H47" s="349"/>
      <c r="I47" s="343"/>
      <c r="J47" s="344"/>
      <c r="K47" s="344"/>
      <c r="L47" s="344"/>
      <c r="M47" s="344"/>
      <c r="N47" s="345"/>
      <c r="Y47" s="22"/>
      <c r="AB47" s="4" t="str">
        <f>IF(I47="","←リストから選択してください（要・不要）","")</f>
        <v>←リストから選択してください（要・不要）</v>
      </c>
    </row>
    <row r="48" spans="2:28" x14ac:dyDescent="0.2">
      <c r="D48" s="361" t="s">
        <v>247</v>
      </c>
      <c r="E48" s="362"/>
      <c r="F48" s="362"/>
      <c r="G48" s="362"/>
      <c r="H48" s="362"/>
      <c r="I48" s="362"/>
      <c r="J48" s="362"/>
      <c r="K48" s="362"/>
      <c r="L48" s="362"/>
      <c r="M48" s="362"/>
      <c r="N48" s="363"/>
      <c r="O48" s="364"/>
      <c r="P48" s="364"/>
      <c r="Q48" s="364"/>
      <c r="R48" s="96" t="s">
        <v>8</v>
      </c>
      <c r="S48" s="365"/>
      <c r="T48" s="365"/>
      <c r="U48" s="96" t="s">
        <v>22</v>
      </c>
      <c r="V48" s="365"/>
      <c r="W48" s="365"/>
      <c r="X48" s="11" t="s">
        <v>7</v>
      </c>
      <c r="Y48" s="22"/>
      <c r="AB48" s="4" t="str">
        <f>IF(OR(O48="",S48="",V48=""),"←リストから選択してください（和暦年月日）","")</f>
        <v>←リストから選択してください（和暦年月日）</v>
      </c>
    </row>
    <row r="49" spans="2:28" x14ac:dyDescent="0.2">
      <c r="E49" s="42" t="str">
        <f>IF(I47="要","＜実績報告時の提出書類＞検査済証の写し",IF(I47="不要","＜実績報告時の提出書類＞建築工事届の写し",""))</f>
        <v/>
      </c>
    </row>
    <row r="50" spans="2:28" x14ac:dyDescent="0.2">
      <c r="B50" s="63"/>
      <c r="C50" s="1" t="s">
        <v>136</v>
      </c>
    </row>
    <row r="51" spans="2:28" ht="4.3499999999999996" customHeight="1" x14ac:dyDescent="0.2"/>
    <row r="52" spans="2:28" x14ac:dyDescent="0.2">
      <c r="B52" s="63"/>
      <c r="C52" s="1" t="s">
        <v>248</v>
      </c>
      <c r="R52" s="1" t="s">
        <v>260</v>
      </c>
      <c r="U52" s="343"/>
      <c r="V52" s="344"/>
      <c r="W52" s="344"/>
      <c r="X52" s="344"/>
      <c r="Y52" s="344"/>
      <c r="Z52" s="345"/>
      <c r="AB52" s="4" t="str">
        <f>IF(U52="","←NE-STの場合には性能区分を選択してください","")</f>
        <v>←NE-STの場合には性能区分を選択してください</v>
      </c>
    </row>
    <row r="53" spans="2:28" ht="4.3499999999999996" customHeight="1" x14ac:dyDescent="0.2"/>
    <row r="54" spans="2:28" x14ac:dyDescent="0.2">
      <c r="B54" s="63"/>
      <c r="C54" s="1" t="s">
        <v>255</v>
      </c>
      <c r="R54" s="1" t="s">
        <v>256</v>
      </c>
      <c r="U54" s="343"/>
      <c r="V54" s="344"/>
      <c r="W54" s="344"/>
      <c r="X54" s="344"/>
      <c r="Y54" s="344"/>
      <c r="Z54" s="345"/>
      <c r="AB54" s="4" t="str">
        <f>IF(U54="","←再生可能エネルギー発電設備を設置する場合には設備を選択してください","")</f>
        <v>←再生可能エネルギー発電設備を設置する場合には設備を選択してください</v>
      </c>
    </row>
    <row r="55" spans="2:28" ht="16.350000000000001" hidden="1" customHeight="1" x14ac:dyDescent="0.2">
      <c r="AB55" s="4"/>
    </row>
    <row r="56" spans="2:28" ht="4.3499999999999996" customHeight="1" x14ac:dyDescent="0.2">
      <c r="AB56" s="4"/>
    </row>
    <row r="57" spans="2:28" x14ac:dyDescent="0.2">
      <c r="B57" s="63"/>
      <c r="C57" s="1" t="s">
        <v>257</v>
      </c>
      <c r="R57" s="1" t="s">
        <v>49</v>
      </c>
      <c r="U57" s="343"/>
      <c r="V57" s="344"/>
      <c r="W57" s="344"/>
      <c r="X57" s="344"/>
      <c r="Y57" s="344"/>
      <c r="Z57" s="345"/>
      <c r="AB57" s="4" t="str">
        <f>IF(U57="","←ZEHの認証を取得（予定）の場合には区分を選択してください","")</f>
        <v>←ZEHの認証を取得（予定）の場合には区分を選択してください</v>
      </c>
    </row>
    <row r="58" spans="2:28" ht="10.5" hidden="1" customHeight="1" x14ac:dyDescent="0.2">
      <c r="AB58" s="4"/>
    </row>
    <row r="59" spans="2:28" ht="5.85" customHeight="1" x14ac:dyDescent="0.2">
      <c r="AB59" s="4"/>
    </row>
    <row r="60" spans="2:28" x14ac:dyDescent="0.2">
      <c r="B60" s="63"/>
      <c r="C60" s="1" t="s">
        <v>258</v>
      </c>
      <c r="U60" s="77"/>
      <c r="V60" s="77"/>
      <c r="W60" s="77"/>
      <c r="X60" s="77"/>
      <c r="Y60" s="77"/>
      <c r="Z60" s="77"/>
    </row>
    <row r="61" spans="2:28" ht="12" customHeight="1" x14ac:dyDescent="0.2">
      <c r="C61" s="1" t="s">
        <v>453</v>
      </c>
      <c r="D61" s="13" t="s">
        <v>259</v>
      </c>
    </row>
    <row r="62" spans="2:28" ht="5.85" customHeight="1" x14ac:dyDescent="0.2"/>
    <row r="63" spans="2:28" x14ac:dyDescent="0.2">
      <c r="B63" s="63"/>
      <c r="C63" s="1" t="s">
        <v>455</v>
      </c>
    </row>
    <row r="64" spans="2:28" ht="4.3499999999999996" customHeight="1" x14ac:dyDescent="0.2"/>
    <row r="65" spans="2:26" ht="13.5" customHeight="1" x14ac:dyDescent="0.2">
      <c r="B65" s="63"/>
      <c r="C65" s="93" t="s">
        <v>514</v>
      </c>
      <c r="D65" s="23"/>
    </row>
    <row r="66" spans="2:26" ht="4.5" customHeight="1" x14ac:dyDescent="0.2">
      <c r="C66" s="93"/>
      <c r="D66" s="23"/>
    </row>
    <row r="67" spans="2:26" ht="13.5" customHeight="1" x14ac:dyDescent="0.2">
      <c r="B67" s="63"/>
      <c r="C67" s="93" t="s">
        <v>529</v>
      </c>
      <c r="D67" s="23"/>
    </row>
    <row r="68" spans="2:26" ht="3.6" customHeight="1" x14ac:dyDescent="0.2">
      <c r="C68" s="93"/>
      <c r="D68" s="23"/>
    </row>
    <row r="69" spans="2:26" ht="13.5" customHeight="1" x14ac:dyDescent="0.2">
      <c r="B69" s="63"/>
      <c r="C69" s="93" t="s">
        <v>530</v>
      </c>
      <c r="D69" s="23"/>
    </row>
    <row r="70" spans="2:26" ht="3.9" customHeight="1" x14ac:dyDescent="0.2">
      <c r="D70" s="23"/>
    </row>
    <row r="71" spans="2:26" ht="13.5" customHeight="1" x14ac:dyDescent="0.2">
      <c r="B71" s="63"/>
      <c r="C71" s="93" t="s">
        <v>511</v>
      </c>
      <c r="D71" s="23"/>
    </row>
    <row r="72" spans="2:26" ht="4.3499999999999996" customHeight="1" x14ac:dyDescent="0.2">
      <c r="D72" s="23"/>
    </row>
    <row r="73" spans="2:26" ht="13.5" customHeight="1" x14ac:dyDescent="0.2">
      <c r="C73" s="63"/>
      <c r="D73" s="1" t="s">
        <v>468</v>
      </c>
    </row>
    <row r="74" spans="2:26" ht="12.75" customHeight="1" x14ac:dyDescent="0.2">
      <c r="C74" s="23"/>
      <c r="D74" s="23" t="str">
        <f>IF(B71="✔",(IF(C73="✔","","地域型グリーン化事業に県産材の材料代を含めている場合、住まいる支援事業は利用できません")),"")</f>
        <v/>
      </c>
    </row>
    <row r="75" spans="2:26" x14ac:dyDescent="0.2">
      <c r="B75" s="63"/>
      <c r="C75" s="93" t="s">
        <v>513</v>
      </c>
      <c r="D75" s="106"/>
      <c r="E75" s="99"/>
      <c r="F75" s="99"/>
      <c r="G75" s="99"/>
      <c r="H75" s="99"/>
      <c r="I75" s="25"/>
      <c r="J75" s="25"/>
      <c r="K75" s="25"/>
      <c r="L75" s="25"/>
      <c r="M75" s="25"/>
      <c r="N75" s="25"/>
      <c r="O75" s="25"/>
      <c r="P75" s="25"/>
      <c r="Q75" s="25"/>
      <c r="R75" s="25"/>
      <c r="S75" s="25"/>
      <c r="T75" s="25"/>
      <c r="U75" s="25"/>
      <c r="V75" s="25"/>
      <c r="W75" s="25"/>
      <c r="X75" s="25"/>
      <c r="Y75" s="22"/>
    </row>
    <row r="76" spans="2:26" ht="14.25" customHeight="1" x14ac:dyDescent="0.2">
      <c r="C76" s="22" t="str">
        <f>IF(B75="","","　併用する補助金の名称を以下に記載してください。")</f>
        <v/>
      </c>
      <c r="D76" s="99"/>
      <c r="E76" s="99"/>
      <c r="F76" s="99"/>
      <c r="G76" s="99"/>
      <c r="H76" s="99"/>
      <c r="I76" s="25"/>
      <c r="J76" s="25"/>
      <c r="K76" s="25"/>
      <c r="L76" s="25"/>
      <c r="M76" s="25"/>
      <c r="N76" s="25"/>
      <c r="O76" s="25"/>
      <c r="P76" s="25"/>
      <c r="Q76" s="25"/>
      <c r="R76" s="25"/>
      <c r="S76" s="25"/>
      <c r="T76" s="25"/>
      <c r="U76" s="25"/>
      <c r="V76" s="25"/>
      <c r="W76" s="25"/>
      <c r="X76" s="25"/>
      <c r="Y76" s="22"/>
    </row>
    <row r="77" spans="2:26" ht="13.5" customHeight="1" x14ac:dyDescent="0.2">
      <c r="D77" s="353" t="s">
        <v>261</v>
      </c>
      <c r="E77" s="354"/>
      <c r="F77" s="354"/>
      <c r="G77" s="354"/>
      <c r="H77" s="354"/>
      <c r="I77" s="354"/>
      <c r="J77" s="354"/>
      <c r="K77" s="354"/>
      <c r="L77" s="354"/>
      <c r="M77" s="354"/>
      <c r="N77" s="354"/>
      <c r="O77" s="355"/>
      <c r="P77" s="347" t="s">
        <v>5</v>
      </c>
      <c r="Q77" s="348"/>
      <c r="R77" s="348"/>
      <c r="S77" s="348"/>
      <c r="T77" s="349"/>
      <c r="U77" s="347" t="s">
        <v>19</v>
      </c>
      <c r="V77" s="348"/>
      <c r="W77" s="348"/>
      <c r="X77" s="348"/>
      <c r="Y77" s="348"/>
      <c r="Z77" s="349"/>
    </row>
    <row r="78" spans="2:26" x14ac:dyDescent="0.2">
      <c r="D78" s="356"/>
      <c r="E78" s="357"/>
      <c r="F78" s="357"/>
      <c r="G78" s="357"/>
      <c r="H78" s="357"/>
      <c r="I78" s="357"/>
      <c r="J78" s="357"/>
      <c r="K78" s="357"/>
      <c r="L78" s="357"/>
      <c r="M78" s="357"/>
      <c r="N78" s="357"/>
      <c r="O78" s="358"/>
      <c r="P78" s="343"/>
      <c r="Q78" s="344"/>
      <c r="R78" s="344"/>
      <c r="S78" s="344"/>
      <c r="T78" s="345"/>
      <c r="U78" s="343"/>
      <c r="V78" s="344"/>
      <c r="W78" s="344"/>
      <c r="X78" s="344"/>
      <c r="Y78" s="344"/>
      <c r="Z78" s="345"/>
    </row>
    <row r="79" spans="2:26" x14ac:dyDescent="0.2">
      <c r="D79" s="356"/>
      <c r="E79" s="357"/>
      <c r="F79" s="357"/>
      <c r="G79" s="357"/>
      <c r="H79" s="357"/>
      <c r="I79" s="357"/>
      <c r="J79" s="357"/>
      <c r="K79" s="357"/>
      <c r="L79" s="357"/>
      <c r="M79" s="357"/>
      <c r="N79" s="357"/>
      <c r="O79" s="358"/>
      <c r="P79" s="343"/>
      <c r="Q79" s="344"/>
      <c r="R79" s="344"/>
      <c r="S79" s="344"/>
      <c r="T79" s="345"/>
      <c r="U79" s="343"/>
      <c r="V79" s="344"/>
      <c r="W79" s="344"/>
      <c r="X79" s="344"/>
      <c r="Y79" s="344"/>
      <c r="Z79" s="345"/>
    </row>
    <row r="80" spans="2:26" x14ac:dyDescent="0.2">
      <c r="D80" s="356"/>
      <c r="E80" s="357"/>
      <c r="F80" s="357"/>
      <c r="G80" s="357"/>
      <c r="H80" s="357"/>
      <c r="I80" s="357"/>
      <c r="J80" s="357"/>
      <c r="K80" s="357"/>
      <c r="L80" s="357"/>
      <c r="M80" s="357"/>
      <c r="N80" s="357"/>
      <c r="O80" s="358"/>
      <c r="P80" s="343"/>
      <c r="Q80" s="344"/>
      <c r="R80" s="344"/>
      <c r="S80" s="344"/>
      <c r="T80" s="345"/>
      <c r="U80" s="343"/>
      <c r="V80" s="344"/>
      <c r="W80" s="344"/>
      <c r="X80" s="344"/>
      <c r="Y80" s="344"/>
      <c r="Z80" s="345"/>
    </row>
    <row r="81" spans="1:28" x14ac:dyDescent="0.2">
      <c r="D81" s="356"/>
      <c r="E81" s="357"/>
      <c r="F81" s="357"/>
      <c r="G81" s="357"/>
      <c r="H81" s="357"/>
      <c r="I81" s="357"/>
      <c r="J81" s="357"/>
      <c r="K81" s="357"/>
      <c r="L81" s="357"/>
      <c r="M81" s="357"/>
      <c r="N81" s="357"/>
      <c r="O81" s="358"/>
      <c r="P81" s="343"/>
      <c r="Q81" s="344"/>
      <c r="R81" s="344"/>
      <c r="S81" s="344"/>
      <c r="T81" s="345"/>
      <c r="U81" s="343"/>
      <c r="V81" s="344"/>
      <c r="W81" s="344"/>
      <c r="X81" s="344"/>
      <c r="Y81" s="344"/>
      <c r="Z81" s="345"/>
    </row>
    <row r="82" spans="1:28" x14ac:dyDescent="0.2">
      <c r="D82" s="356"/>
      <c r="E82" s="357"/>
      <c r="F82" s="357"/>
      <c r="G82" s="357"/>
      <c r="H82" s="357"/>
      <c r="I82" s="357"/>
      <c r="J82" s="357"/>
      <c r="K82" s="357"/>
      <c r="L82" s="357"/>
      <c r="M82" s="357"/>
      <c r="N82" s="357"/>
      <c r="O82" s="358"/>
      <c r="P82" s="343"/>
      <c r="Q82" s="344"/>
      <c r="R82" s="344"/>
      <c r="S82" s="344"/>
      <c r="T82" s="345"/>
      <c r="U82" s="343"/>
      <c r="V82" s="344"/>
      <c r="W82" s="344"/>
      <c r="X82" s="344"/>
      <c r="Y82" s="344"/>
      <c r="Z82" s="345"/>
    </row>
    <row r="83" spans="1:28" ht="7.5" customHeight="1" x14ac:dyDescent="0.2">
      <c r="D83" s="99"/>
      <c r="E83" s="99"/>
      <c r="F83" s="99"/>
      <c r="G83" s="99"/>
      <c r="H83" s="99"/>
      <c r="I83" s="100"/>
      <c r="J83" s="100"/>
      <c r="K83" s="100"/>
      <c r="L83" s="100"/>
      <c r="M83" s="100"/>
      <c r="N83" s="100"/>
      <c r="O83" s="100"/>
      <c r="P83" s="100"/>
      <c r="Q83" s="100"/>
      <c r="R83" s="100"/>
      <c r="S83" s="100"/>
      <c r="T83" s="100"/>
      <c r="U83" s="100"/>
      <c r="V83" s="100"/>
      <c r="W83" s="100"/>
      <c r="X83" s="100"/>
      <c r="Y83" s="22"/>
    </row>
    <row r="84" spans="1:28" x14ac:dyDescent="0.2">
      <c r="B84" s="63"/>
      <c r="C84" s="1" t="s">
        <v>244</v>
      </c>
      <c r="E84" s="13"/>
      <c r="P84" s="24"/>
    </row>
    <row r="85" spans="1:28" x14ac:dyDescent="0.2">
      <c r="D85" s="76" t="str">
        <f>IF(B84="","",IF(B84="✔","＜実績報告時の提出書類&gt;変更後の各階平面図、配置図",""))</f>
        <v/>
      </c>
      <c r="E85" s="13"/>
      <c r="P85" s="24"/>
    </row>
    <row r="86" spans="1:28" x14ac:dyDescent="0.2">
      <c r="D86" s="76"/>
      <c r="E86" s="13"/>
      <c r="P86" s="24"/>
      <c r="AA86" s="5" t="s">
        <v>69</v>
      </c>
    </row>
    <row r="87" spans="1:28" x14ac:dyDescent="0.2">
      <c r="A87" s="1" t="s">
        <v>36</v>
      </c>
    </row>
    <row r="88" spans="1:28" x14ac:dyDescent="0.2">
      <c r="B88" s="63"/>
      <c r="C88" s="1" t="s">
        <v>149</v>
      </c>
    </row>
    <row r="90" spans="1:28" x14ac:dyDescent="0.2">
      <c r="B90" s="63"/>
      <c r="C90" s="1" t="s">
        <v>107</v>
      </c>
    </row>
    <row r="91" spans="1:28" x14ac:dyDescent="0.2">
      <c r="D91" s="347" t="s">
        <v>83</v>
      </c>
      <c r="E91" s="348"/>
      <c r="F91" s="348"/>
      <c r="G91" s="348"/>
      <c r="H91" s="349"/>
      <c r="I91" s="343"/>
      <c r="J91" s="344"/>
      <c r="K91" s="344"/>
      <c r="L91" s="344"/>
      <c r="M91" s="344"/>
      <c r="N91" s="344"/>
      <c r="O91" s="344"/>
      <c r="P91" s="344"/>
      <c r="Q91" s="344"/>
      <c r="R91" s="344"/>
      <c r="S91" s="344"/>
      <c r="T91" s="344"/>
      <c r="U91" s="344"/>
      <c r="V91" s="344"/>
      <c r="W91" s="344"/>
      <c r="X91" s="345"/>
      <c r="AB91" s="4" t="str">
        <f>IF(AND(B90="✔",I91=""),"←直接入力してください","")</f>
        <v/>
      </c>
    </row>
    <row r="92" spans="1:28" x14ac:dyDescent="0.2">
      <c r="D92" s="42" t="s">
        <v>175</v>
      </c>
      <c r="E92" s="39"/>
      <c r="F92" s="39"/>
      <c r="G92" s="39"/>
      <c r="H92" s="39"/>
      <c r="I92" s="39"/>
      <c r="J92" s="39"/>
      <c r="K92" s="39"/>
      <c r="L92" s="39"/>
      <c r="M92" s="39"/>
      <c r="N92" s="39"/>
      <c r="O92" s="39"/>
      <c r="P92" s="39"/>
      <c r="Q92" s="39"/>
      <c r="R92" s="39"/>
      <c r="S92" s="39"/>
      <c r="T92" s="39"/>
      <c r="U92" s="39"/>
      <c r="V92" s="39"/>
      <c r="W92" s="39"/>
      <c r="X92" s="39"/>
      <c r="Y92" s="39"/>
      <c r="AB92" s="4"/>
    </row>
    <row r="93" spans="1:28" x14ac:dyDescent="0.2">
      <c r="B93" s="43" t="s">
        <v>494</v>
      </c>
      <c r="F93" s="55"/>
    </row>
    <row r="94" spans="1:28" x14ac:dyDescent="0.2">
      <c r="B94" s="63"/>
      <c r="C94" s="1" t="s">
        <v>108</v>
      </c>
    </row>
    <row r="95" spans="1:28" x14ac:dyDescent="0.2">
      <c r="B95" s="350" t="str">
        <f>IF(AND(B90="✔",B94="✔"),"「プレカットを行う場合は、県内のプレカット工場で加工すること。」と「プレカットを一切使用しない。」のどちらかを✔してください。","")</f>
        <v/>
      </c>
      <c r="C95" s="350"/>
      <c r="D95" s="350"/>
      <c r="E95" s="350"/>
      <c r="F95" s="350"/>
      <c r="G95" s="350"/>
      <c r="H95" s="350"/>
      <c r="I95" s="350"/>
      <c r="J95" s="350"/>
      <c r="K95" s="350"/>
      <c r="L95" s="350"/>
      <c r="M95" s="350"/>
      <c r="N95" s="350"/>
      <c r="O95" s="350"/>
      <c r="P95" s="350"/>
      <c r="Q95" s="350"/>
      <c r="R95" s="350"/>
      <c r="S95" s="350"/>
      <c r="T95" s="350"/>
      <c r="U95" s="350"/>
      <c r="V95" s="350"/>
      <c r="W95" s="350"/>
      <c r="X95" s="350"/>
      <c r="Y95" s="350"/>
      <c r="Z95" s="350"/>
      <c r="AA95" s="350"/>
      <c r="AB95" s="3" t="str">
        <f>IF(B95="","","×")</f>
        <v/>
      </c>
    </row>
    <row r="96" spans="1:28" x14ac:dyDescent="0.2">
      <c r="B96" s="350"/>
      <c r="C96" s="350"/>
      <c r="D96" s="350"/>
      <c r="E96" s="350"/>
      <c r="F96" s="350"/>
      <c r="G96" s="350"/>
      <c r="H96" s="350"/>
      <c r="I96" s="350"/>
      <c r="J96" s="350"/>
      <c r="K96" s="350"/>
      <c r="L96" s="350"/>
      <c r="M96" s="350"/>
      <c r="N96" s="350"/>
      <c r="O96" s="350"/>
      <c r="P96" s="350"/>
      <c r="Q96" s="350"/>
      <c r="R96" s="350"/>
      <c r="S96" s="350"/>
      <c r="T96" s="350"/>
      <c r="U96" s="350"/>
      <c r="V96" s="350"/>
      <c r="W96" s="350"/>
      <c r="X96" s="350"/>
      <c r="Y96" s="350"/>
      <c r="Z96" s="350"/>
      <c r="AA96" s="350"/>
    </row>
    <row r="97" spans="1:39" hidden="1" x14ac:dyDescent="0.2">
      <c r="AA97" s="5"/>
    </row>
    <row r="98" spans="1:39" x14ac:dyDescent="0.2">
      <c r="Q98" s="1" t="s">
        <v>170</v>
      </c>
      <c r="T98" s="25"/>
    </row>
    <row r="99" spans="1:39" ht="18" customHeight="1" x14ac:dyDescent="0.2">
      <c r="D99" s="347" t="s">
        <v>49</v>
      </c>
      <c r="E99" s="348"/>
      <c r="F99" s="348"/>
      <c r="G99" s="348"/>
      <c r="H99" s="348"/>
      <c r="I99" s="348"/>
      <c r="J99" s="348"/>
      <c r="K99" s="348"/>
      <c r="L99" s="348"/>
      <c r="M99" s="348"/>
      <c r="N99" s="348"/>
      <c r="O99" s="348"/>
      <c r="P99" s="349"/>
      <c r="Q99" s="347" t="s">
        <v>48</v>
      </c>
      <c r="R99" s="348"/>
      <c r="S99" s="348"/>
      <c r="T99" s="349"/>
      <c r="U99" s="346" t="str">
        <f>IF(I31="併用住宅","併用住宅の場合、住宅部分の使用量","")</f>
        <v/>
      </c>
      <c r="V99" s="346"/>
      <c r="W99" s="346"/>
      <c r="X99" s="346"/>
      <c r="Y99" s="351" t="s">
        <v>93</v>
      </c>
      <c r="Z99" s="351"/>
      <c r="AA99" s="351"/>
    </row>
    <row r="100" spans="1:39" x14ac:dyDescent="0.2">
      <c r="D100" s="317" t="s">
        <v>94</v>
      </c>
      <c r="E100" s="383"/>
      <c r="F100" s="383"/>
      <c r="G100" s="383"/>
      <c r="H100" s="383"/>
      <c r="I100" s="383"/>
      <c r="J100" s="383"/>
      <c r="K100" s="383"/>
      <c r="L100" s="383"/>
      <c r="M100" s="383"/>
      <c r="N100" s="383"/>
      <c r="O100" s="383"/>
      <c r="P100" s="384"/>
      <c r="Q100" s="318"/>
      <c r="R100" s="319"/>
      <c r="S100" s="319"/>
      <c r="T100" s="320"/>
      <c r="U100" s="346"/>
      <c r="V100" s="346"/>
      <c r="W100" s="346"/>
      <c r="X100" s="346"/>
      <c r="Y100" s="352"/>
      <c r="Z100" s="352"/>
      <c r="AA100" s="352"/>
      <c r="AE100" s="1"/>
      <c r="AF100" s="1"/>
      <c r="AG100" s="1"/>
      <c r="AH100" s="26"/>
      <c r="AI100" s="27"/>
      <c r="AJ100" s="27"/>
      <c r="AK100" s="27"/>
      <c r="AL100" s="27"/>
      <c r="AM100" s="27"/>
    </row>
    <row r="101" spans="1:39" x14ac:dyDescent="0.2">
      <c r="D101" s="28"/>
      <c r="E101" s="410" t="s">
        <v>143</v>
      </c>
      <c r="F101" s="411"/>
      <c r="G101" s="411"/>
      <c r="H101" s="411"/>
      <c r="I101" s="411"/>
      <c r="J101" s="411"/>
      <c r="K101" s="411"/>
      <c r="L101" s="411"/>
      <c r="M101" s="411"/>
      <c r="N101" s="411"/>
      <c r="O101" s="411"/>
      <c r="P101" s="412"/>
      <c r="Q101" s="318"/>
      <c r="R101" s="319"/>
      <c r="S101" s="319"/>
      <c r="T101" s="320"/>
      <c r="U101" s="321"/>
      <c r="V101" s="322"/>
      <c r="W101" s="322"/>
      <c r="X101" s="323"/>
      <c r="Y101" s="324" t="str">
        <f>IF(OR(I31="",Q100=""),"",(IF(I31="専用住宅",IF(Q101&gt;=10,15,Q101),IF(I31="併用住宅",IF(U101&gt;=10,15,U101)))))</f>
        <v/>
      </c>
      <c r="Z101" s="325"/>
      <c r="AA101" s="29" t="s">
        <v>0</v>
      </c>
      <c r="AE101" s="1"/>
      <c r="AF101" s="1"/>
      <c r="AG101" s="1"/>
      <c r="AH101" s="26"/>
      <c r="AI101" s="27"/>
      <c r="AJ101" s="27"/>
      <c r="AK101" s="27"/>
      <c r="AL101" s="27"/>
      <c r="AM101" s="27"/>
    </row>
    <row r="102" spans="1:39" x14ac:dyDescent="0.2">
      <c r="D102" s="28"/>
      <c r="E102" s="30"/>
      <c r="F102" s="317" t="s">
        <v>482</v>
      </c>
      <c r="G102" s="312"/>
      <c r="H102" s="312"/>
      <c r="I102" s="312"/>
      <c r="J102" s="312"/>
      <c r="K102" s="312"/>
      <c r="L102" s="312"/>
      <c r="M102" s="312"/>
      <c r="N102" s="312"/>
      <c r="O102" s="312"/>
      <c r="P102" s="313"/>
      <c r="Q102" s="318"/>
      <c r="R102" s="319"/>
      <c r="S102" s="319"/>
      <c r="T102" s="320"/>
      <c r="U102" s="321"/>
      <c r="V102" s="322"/>
      <c r="W102" s="322"/>
      <c r="X102" s="323"/>
      <c r="Y102" s="324" t="str">
        <f>IF(I31="","",IF(I31="専用住宅",IF(Q102&gt;=25,25,Q102),IF(I31="併用住宅",IF(U102&gt;=25,25,U102))))</f>
        <v/>
      </c>
      <c r="Z102" s="325"/>
      <c r="AA102" s="29" t="s">
        <v>0</v>
      </c>
      <c r="AE102" s="1"/>
      <c r="AF102" s="1"/>
      <c r="AG102" s="1"/>
      <c r="AH102" s="26"/>
      <c r="AI102" s="27"/>
      <c r="AJ102" s="27"/>
      <c r="AK102" s="27"/>
      <c r="AL102" s="27"/>
      <c r="AM102" s="27"/>
    </row>
    <row r="103" spans="1:39" ht="13.2" customHeight="1" x14ac:dyDescent="0.2">
      <c r="D103" s="28"/>
      <c r="E103" s="30"/>
      <c r="F103" s="305"/>
      <c r="G103" s="326" t="s">
        <v>515</v>
      </c>
      <c r="H103" s="327"/>
      <c r="I103" s="327"/>
      <c r="J103" s="327"/>
      <c r="K103" s="327"/>
      <c r="L103" s="327"/>
      <c r="M103" s="327"/>
      <c r="N103" s="327"/>
      <c r="O103" s="327"/>
      <c r="P103" s="328"/>
      <c r="Q103" s="329"/>
      <c r="R103" s="330"/>
      <c r="S103" s="330"/>
      <c r="T103" s="331"/>
      <c r="U103" s="335"/>
      <c r="V103" s="336"/>
      <c r="W103" s="336"/>
      <c r="X103" s="336"/>
      <c r="Y103" s="306"/>
      <c r="Z103" s="306"/>
      <c r="AA103" s="88"/>
      <c r="AE103" s="1"/>
      <c r="AF103" s="1"/>
      <c r="AG103" s="1"/>
      <c r="AH103" s="26"/>
      <c r="AI103" s="27"/>
      <c r="AJ103" s="27"/>
      <c r="AK103" s="27"/>
      <c r="AL103" s="27"/>
      <c r="AM103" s="27"/>
    </row>
    <row r="104" spans="1:39" x14ac:dyDescent="0.2">
      <c r="D104" s="28"/>
      <c r="E104" s="30"/>
      <c r="F104" s="305"/>
      <c r="G104" s="337" t="s">
        <v>483</v>
      </c>
      <c r="H104" s="338"/>
      <c r="I104" s="338"/>
      <c r="J104" s="338"/>
      <c r="K104" s="338"/>
      <c r="L104" s="338"/>
      <c r="M104" s="338"/>
      <c r="N104" s="338"/>
      <c r="O104" s="338"/>
      <c r="P104" s="339"/>
      <c r="Q104" s="332"/>
      <c r="R104" s="333"/>
      <c r="S104" s="333"/>
      <c r="T104" s="334"/>
      <c r="U104" s="335"/>
      <c r="V104" s="336"/>
      <c r="W104" s="336"/>
      <c r="X104" s="336"/>
      <c r="Y104" s="306"/>
      <c r="Z104" s="306"/>
      <c r="AA104" s="88"/>
      <c r="AE104" s="1"/>
      <c r="AF104" s="1"/>
      <c r="AG104" s="1"/>
      <c r="AH104" s="26" t="s">
        <v>483</v>
      </c>
      <c r="AI104" s="27">
        <f>Q103*3</f>
        <v>0</v>
      </c>
      <c r="AJ104" s="27">
        <f>U103*3</f>
        <v>0</v>
      </c>
      <c r="AK104" s="27"/>
      <c r="AL104" s="27"/>
      <c r="AM104" s="27"/>
    </row>
    <row r="105" spans="1:39" x14ac:dyDescent="0.2">
      <c r="D105" s="28"/>
      <c r="E105" s="30"/>
      <c r="F105" s="305"/>
      <c r="G105" s="326" t="s">
        <v>515</v>
      </c>
      <c r="H105" s="327"/>
      <c r="I105" s="327"/>
      <c r="J105" s="327"/>
      <c r="K105" s="327"/>
      <c r="L105" s="327"/>
      <c r="M105" s="327"/>
      <c r="N105" s="327"/>
      <c r="O105" s="327"/>
      <c r="P105" s="328"/>
      <c r="Q105" s="329"/>
      <c r="R105" s="330"/>
      <c r="S105" s="330"/>
      <c r="T105" s="331"/>
      <c r="U105" s="335"/>
      <c r="V105" s="336"/>
      <c r="W105" s="336"/>
      <c r="X105" s="336"/>
      <c r="Y105" s="306"/>
      <c r="Z105" s="306"/>
      <c r="AA105" s="88"/>
      <c r="AE105" s="1"/>
      <c r="AF105" s="1"/>
      <c r="AG105" s="1"/>
      <c r="AH105" s="26" t="s">
        <v>484</v>
      </c>
      <c r="AI105" s="27">
        <f>Q105*2</f>
        <v>0</v>
      </c>
      <c r="AJ105" s="27">
        <f>U105*2</f>
        <v>0</v>
      </c>
      <c r="AK105" s="27"/>
      <c r="AL105" s="27"/>
      <c r="AM105" s="27"/>
    </row>
    <row r="106" spans="1:39" x14ac:dyDescent="0.2">
      <c r="D106" s="28"/>
      <c r="E106" s="30"/>
      <c r="F106" s="31"/>
      <c r="G106" s="340" t="s">
        <v>484</v>
      </c>
      <c r="H106" s="341"/>
      <c r="I106" s="341"/>
      <c r="J106" s="341"/>
      <c r="K106" s="341"/>
      <c r="L106" s="341"/>
      <c r="M106" s="341"/>
      <c r="N106" s="341"/>
      <c r="O106" s="341"/>
      <c r="P106" s="342"/>
      <c r="Q106" s="332"/>
      <c r="R106" s="333"/>
      <c r="S106" s="333"/>
      <c r="T106" s="334"/>
      <c r="U106" s="335"/>
      <c r="V106" s="336"/>
      <c r="W106" s="336"/>
      <c r="X106" s="336"/>
      <c r="Y106" s="324" t="str">
        <f>IF(I31="","",IF(I31="専用住宅",IF(AI106&gt;=30,30,AI106),IF(I31="併用住宅",IF(AJ106&gt;=30,30,AJ106))))</f>
        <v/>
      </c>
      <c r="Z106" s="325"/>
      <c r="AA106" s="29" t="s">
        <v>0</v>
      </c>
      <c r="AE106" s="1"/>
      <c r="AF106" s="1"/>
      <c r="AG106" s="1"/>
      <c r="AH106" s="26"/>
      <c r="AI106" s="27">
        <f>SUM(AI104:AI105)</f>
        <v>0</v>
      </c>
      <c r="AJ106" s="27">
        <f>SUM(AJ104:AJ105)</f>
        <v>0</v>
      </c>
      <c r="AK106" s="27"/>
      <c r="AL106" s="27"/>
      <c r="AM106" s="27"/>
    </row>
    <row r="107" spans="1:39" x14ac:dyDescent="0.2">
      <c r="D107" s="28"/>
      <c r="E107" s="30"/>
      <c r="F107" s="311" t="s">
        <v>95</v>
      </c>
      <c r="G107" s="312"/>
      <c r="H107" s="312"/>
      <c r="I107" s="312"/>
      <c r="J107" s="312"/>
      <c r="K107" s="312"/>
      <c r="L107" s="312"/>
      <c r="M107" s="312"/>
      <c r="N107" s="312"/>
      <c r="O107" s="312"/>
      <c r="P107" s="313"/>
      <c r="Q107" s="318"/>
      <c r="R107" s="319"/>
      <c r="S107" s="319"/>
      <c r="T107" s="320"/>
      <c r="U107" s="321"/>
      <c r="V107" s="322"/>
      <c r="W107" s="322"/>
      <c r="X107" s="322"/>
      <c r="AE107" s="1"/>
      <c r="AF107" s="1"/>
      <c r="AG107" s="1"/>
      <c r="AH107" s="26"/>
      <c r="AI107" s="27"/>
      <c r="AJ107" s="27"/>
      <c r="AK107" s="27"/>
      <c r="AL107" s="27"/>
      <c r="AM107" s="27"/>
    </row>
    <row r="108" spans="1:39" x14ac:dyDescent="0.2">
      <c r="D108" s="8"/>
      <c r="E108" s="32"/>
      <c r="F108" s="407" t="s">
        <v>96</v>
      </c>
      <c r="G108" s="408"/>
      <c r="H108" s="408"/>
      <c r="I108" s="408"/>
      <c r="J108" s="408"/>
      <c r="K108" s="408"/>
      <c r="L108" s="408"/>
      <c r="M108" s="408"/>
      <c r="N108" s="408"/>
      <c r="O108" s="408"/>
      <c r="P108" s="409"/>
      <c r="Q108" s="399"/>
      <c r="R108" s="400"/>
      <c r="S108" s="400"/>
      <c r="T108" s="401"/>
      <c r="U108" s="403"/>
      <c r="V108" s="403"/>
      <c r="W108" s="403"/>
      <c r="X108" s="403"/>
      <c r="Y108" s="314" t="str">
        <f>IF(OR(I31="",AND(Q107="",Q108="")),"",MIN(IF(AND(I31="専用住宅",Q107&gt;=1),5,IF(AND(I31="併用住宅",U107&gt;=1),5,0))+IF(AND(I31="専用住宅",Q108&gt;=1),INT(Q108)*0.3,IF(AND(I31="併用住宅",U108&gt;=1),INT(U108)*0.3,0)),20))</f>
        <v/>
      </c>
      <c r="Z108" s="315"/>
      <c r="AA108" s="29" t="s">
        <v>0</v>
      </c>
      <c r="AE108" s="1"/>
      <c r="AF108" s="1"/>
      <c r="AG108" s="1"/>
      <c r="AH108" s="26"/>
      <c r="AI108" s="27"/>
      <c r="AJ108" s="27"/>
      <c r="AK108" s="27"/>
      <c r="AL108" s="27"/>
      <c r="AM108" s="27"/>
    </row>
    <row r="109" spans="1:39" ht="18" customHeight="1" x14ac:dyDescent="0.2">
      <c r="E109" s="13"/>
      <c r="X109" s="33" t="s">
        <v>68</v>
      </c>
      <c r="Y109" s="397" t="str">
        <f>IF(Y101="","",IF(AND(B21="✔",B23="✔",B41="✔",B46="✔",B50="✔",B88="✔",OR(B90="✔",B94="✔"),B95=""),SUM(Y101:Z108),0))</f>
        <v/>
      </c>
      <c r="Z109" s="398"/>
      <c r="AA109" s="29" t="s">
        <v>0</v>
      </c>
      <c r="AB109" s="4" t="str">
        <f>IF(AND(Y109=0),"←合計金額が算出されない場合は、前のページにチェック漏れ等がありますので御確認ください。","")</f>
        <v/>
      </c>
    </row>
    <row r="110" spans="1:39" x14ac:dyDescent="0.2">
      <c r="A110" s="14" t="s">
        <v>150</v>
      </c>
      <c r="B110" s="14"/>
      <c r="C110" s="14"/>
      <c r="D110" s="14"/>
      <c r="E110" s="14"/>
      <c r="F110" s="14"/>
      <c r="G110" s="14"/>
      <c r="H110" s="14"/>
      <c r="I110" s="14"/>
      <c r="J110" s="14"/>
      <c r="K110" s="14"/>
      <c r="L110" s="14"/>
      <c r="M110" s="14"/>
      <c r="N110" s="14"/>
    </row>
    <row r="111" spans="1:39" x14ac:dyDescent="0.2">
      <c r="A111" s="14"/>
      <c r="B111" s="44" t="s">
        <v>485</v>
      </c>
      <c r="C111" s="14"/>
      <c r="D111" s="14"/>
      <c r="E111" s="14"/>
      <c r="F111" s="14"/>
      <c r="G111" s="14"/>
      <c r="H111" s="14"/>
      <c r="I111" s="14"/>
      <c r="J111" s="14"/>
      <c r="K111" s="14"/>
      <c r="L111" s="14"/>
      <c r="M111" s="14"/>
      <c r="N111" s="14"/>
    </row>
    <row r="112" spans="1:39" x14ac:dyDescent="0.2">
      <c r="A112" s="14" t="s">
        <v>503</v>
      </c>
      <c r="B112" s="14"/>
      <c r="C112" s="14"/>
      <c r="D112" s="14"/>
      <c r="E112" s="14"/>
      <c r="F112" s="14"/>
      <c r="G112" s="14"/>
      <c r="H112" s="14"/>
      <c r="I112" s="14"/>
      <c r="J112" s="14"/>
      <c r="K112" s="14"/>
      <c r="L112" s="14"/>
      <c r="M112" s="14"/>
      <c r="N112" s="14"/>
    </row>
    <row r="113" spans="1:55" x14ac:dyDescent="0.2">
      <c r="A113" s="14"/>
      <c r="B113" s="44" t="s">
        <v>486</v>
      </c>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row>
    <row r="114" spans="1:55" x14ac:dyDescent="0.2">
      <c r="A114" s="14"/>
      <c r="B114" s="44" t="s">
        <v>487</v>
      </c>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row>
    <row r="115" spans="1:55" ht="13.2" customHeight="1" x14ac:dyDescent="0.2">
      <c r="A115" s="316" t="s">
        <v>516</v>
      </c>
      <c r="B115" s="316"/>
      <c r="C115" s="316"/>
      <c r="D115" s="316"/>
      <c r="E115" s="316"/>
      <c r="F115" s="316"/>
      <c r="G115" s="316"/>
      <c r="H115" s="316"/>
      <c r="I115" s="316"/>
      <c r="J115" s="316"/>
      <c r="K115" s="316"/>
      <c r="L115" s="316"/>
      <c r="M115" s="316"/>
      <c r="N115" s="316"/>
      <c r="O115" s="316"/>
      <c r="P115" s="316"/>
      <c r="Q115" s="316"/>
      <c r="R115" s="316"/>
      <c r="S115" s="316"/>
      <c r="T115" s="316"/>
      <c r="U115" s="316"/>
      <c r="V115" s="316"/>
      <c r="W115" s="316"/>
      <c r="X115" s="316"/>
      <c r="Y115" s="316"/>
      <c r="Z115" s="316"/>
      <c r="AA115" s="316"/>
    </row>
    <row r="116" spans="1:55" x14ac:dyDescent="0.2">
      <c r="A116" s="316"/>
      <c r="B116" s="316"/>
      <c r="C116" s="316"/>
      <c r="D116" s="316"/>
      <c r="E116" s="316"/>
      <c r="F116" s="316"/>
      <c r="G116" s="316"/>
      <c r="H116" s="316"/>
      <c r="I116" s="316"/>
      <c r="J116" s="316"/>
      <c r="K116" s="316"/>
      <c r="L116" s="316"/>
      <c r="M116" s="316"/>
      <c r="N116" s="316"/>
      <c r="O116" s="316"/>
      <c r="P116" s="316"/>
      <c r="Q116" s="316"/>
      <c r="R116" s="316"/>
      <c r="S116" s="316"/>
      <c r="T116" s="316"/>
      <c r="U116" s="316"/>
      <c r="V116" s="316"/>
      <c r="W116" s="316"/>
      <c r="X116" s="316"/>
      <c r="Y116" s="316"/>
      <c r="Z116" s="316"/>
      <c r="AA116" s="316"/>
    </row>
    <row r="117" spans="1:55" x14ac:dyDescent="0.2">
      <c r="A117" s="14"/>
      <c r="B117" s="44" t="s">
        <v>517</v>
      </c>
      <c r="C117" s="14"/>
      <c r="D117" s="14"/>
      <c r="E117" s="14"/>
      <c r="F117" s="14"/>
      <c r="G117" s="14"/>
      <c r="H117" s="14"/>
      <c r="I117" s="14"/>
      <c r="J117" s="14"/>
      <c r="K117" s="14"/>
      <c r="L117" s="14"/>
      <c r="M117" s="14"/>
      <c r="N117" s="14"/>
    </row>
    <row r="118" spans="1:55" x14ac:dyDescent="0.2">
      <c r="A118" s="14" t="s">
        <v>151</v>
      </c>
      <c r="B118" s="14"/>
      <c r="C118" s="14"/>
      <c r="D118" s="14"/>
      <c r="E118" s="14"/>
      <c r="F118" s="14"/>
      <c r="G118" s="14"/>
      <c r="H118" s="14"/>
      <c r="I118" s="14"/>
      <c r="J118" s="14"/>
      <c r="K118" s="14"/>
      <c r="L118" s="14"/>
      <c r="M118" s="14"/>
      <c r="N118" s="14"/>
    </row>
    <row r="119" spans="1:55" x14ac:dyDescent="0.2">
      <c r="A119" s="14"/>
      <c r="B119" s="44" t="s">
        <v>113</v>
      </c>
      <c r="C119" s="14"/>
      <c r="D119" s="14"/>
      <c r="E119" s="14"/>
      <c r="F119" s="14"/>
      <c r="G119" s="14"/>
      <c r="H119" s="14"/>
      <c r="I119" s="14"/>
      <c r="J119" s="14"/>
      <c r="K119" s="14"/>
      <c r="L119" s="14"/>
      <c r="M119" s="14"/>
      <c r="N119" s="14"/>
    </row>
    <row r="120" spans="1:55" x14ac:dyDescent="0.2">
      <c r="A120" s="14" t="s">
        <v>488</v>
      </c>
      <c r="B120" s="14"/>
      <c r="C120" s="14"/>
      <c r="D120" s="14"/>
      <c r="E120" s="14"/>
      <c r="F120" s="14"/>
      <c r="G120" s="14"/>
      <c r="H120" s="14"/>
      <c r="I120" s="14"/>
      <c r="J120" s="14"/>
      <c r="K120" s="14"/>
      <c r="L120" s="14"/>
      <c r="M120" s="14"/>
      <c r="N120" s="14"/>
    </row>
    <row r="121" spans="1:55" x14ac:dyDescent="0.2">
      <c r="A121" s="14"/>
      <c r="B121" s="44" t="s">
        <v>140</v>
      </c>
      <c r="C121" s="14"/>
      <c r="D121" s="14"/>
      <c r="E121" s="14"/>
      <c r="F121" s="14"/>
      <c r="G121" s="14"/>
      <c r="H121" s="14"/>
      <c r="I121" s="14"/>
      <c r="J121" s="14"/>
      <c r="K121" s="14"/>
      <c r="L121" s="14"/>
      <c r="M121" s="14"/>
      <c r="N121" s="14"/>
    </row>
    <row r="122" spans="1:55" x14ac:dyDescent="0.2">
      <c r="A122" s="14"/>
      <c r="C122" s="14"/>
      <c r="D122" s="14"/>
      <c r="E122" s="14"/>
      <c r="F122" s="14"/>
      <c r="G122" s="14"/>
      <c r="H122" s="54" t="s">
        <v>496</v>
      </c>
      <c r="I122" s="14"/>
      <c r="J122" s="14"/>
      <c r="K122" s="14"/>
      <c r="L122" s="14"/>
      <c r="M122" s="14"/>
      <c r="N122" s="14"/>
    </row>
    <row r="123" spans="1:55" x14ac:dyDescent="0.2">
      <c r="A123" s="14"/>
      <c r="B123" s="54"/>
      <c r="C123" s="14"/>
      <c r="D123" s="14"/>
      <c r="E123" s="14"/>
      <c r="F123" s="14"/>
      <c r="G123" s="14"/>
      <c r="H123" s="24" t="s">
        <v>495</v>
      </c>
      <c r="I123" s="14"/>
      <c r="J123" s="14"/>
      <c r="K123" s="14"/>
      <c r="L123" s="14"/>
      <c r="M123" s="14"/>
      <c r="N123" s="14"/>
    </row>
    <row r="124" spans="1:55" x14ac:dyDescent="0.2">
      <c r="A124" s="14" t="s">
        <v>489</v>
      </c>
      <c r="B124" s="14"/>
      <c r="C124" s="14"/>
      <c r="D124" s="14"/>
      <c r="E124" s="14"/>
      <c r="F124" s="14"/>
      <c r="G124" s="14"/>
      <c r="H124" s="14"/>
      <c r="I124" s="14"/>
      <c r="J124" s="14"/>
      <c r="K124" s="14"/>
      <c r="L124" s="14"/>
      <c r="M124" s="14"/>
      <c r="N124" s="14"/>
    </row>
    <row r="125" spans="1:55" ht="5.25" customHeight="1" x14ac:dyDescent="0.2">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row>
    <row r="126" spans="1:55" x14ac:dyDescent="0.2">
      <c r="A126" s="1" t="s">
        <v>199</v>
      </c>
      <c r="Y126" s="351" t="s">
        <v>93</v>
      </c>
      <c r="Z126" s="351"/>
      <c r="AA126" s="351"/>
    </row>
    <row r="127" spans="1:55" ht="14.25" customHeight="1" x14ac:dyDescent="0.2">
      <c r="B127" s="1" t="s">
        <v>54</v>
      </c>
      <c r="Y127" s="352"/>
      <c r="Z127" s="352"/>
      <c r="AA127" s="352"/>
    </row>
    <row r="128" spans="1:55" x14ac:dyDescent="0.2">
      <c r="B128" s="308" t="s">
        <v>518</v>
      </c>
      <c r="Y128" s="391" t="str">
        <f>IF(AND(Y109&lt;&gt;"",Y109&gt;=15,OR(B130="✔",P130="✔")),IF(B67="✔",0,10),"")</f>
        <v/>
      </c>
      <c r="Z128" s="392"/>
      <c r="AA128" s="29" t="s">
        <v>0</v>
      </c>
      <c r="AB128" s="3" t="str">
        <f>Y128</f>
        <v/>
      </c>
      <c r="AD128" s="3" t="s">
        <v>74</v>
      </c>
    </row>
    <row r="129" spans="1:27" ht="7.35" customHeight="1" x14ac:dyDescent="0.2"/>
    <row r="130" spans="1:27" ht="11.25" customHeight="1" x14ac:dyDescent="0.2">
      <c r="B130" s="63"/>
      <c r="C130" s="1" t="s">
        <v>51</v>
      </c>
      <c r="P130" s="63"/>
      <c r="Q130" s="1" t="s">
        <v>53</v>
      </c>
    </row>
    <row r="131" spans="1:27" ht="13.5" customHeight="1" x14ac:dyDescent="0.2">
      <c r="C131" s="1" t="s">
        <v>52</v>
      </c>
      <c r="Q131" s="395" t="s">
        <v>169</v>
      </c>
      <c r="R131" s="395"/>
      <c r="S131" s="395"/>
      <c r="T131" s="395"/>
      <c r="U131" s="395"/>
      <c r="V131" s="395"/>
      <c r="W131" s="395"/>
      <c r="X131" s="395"/>
      <c r="Y131" s="395"/>
      <c r="Z131" s="395"/>
      <c r="AA131" s="395"/>
    </row>
    <row r="132" spans="1:27" ht="7.5" customHeight="1" x14ac:dyDescent="0.2">
      <c r="Q132" s="395"/>
      <c r="R132" s="395"/>
      <c r="S132" s="395"/>
      <c r="T132" s="395"/>
      <c r="U132" s="395"/>
      <c r="V132" s="395"/>
      <c r="W132" s="395"/>
      <c r="X132" s="395"/>
      <c r="Y132" s="395"/>
      <c r="Z132" s="395"/>
      <c r="AA132" s="395"/>
    </row>
    <row r="133" spans="1:27" x14ac:dyDescent="0.2">
      <c r="C133" s="13" t="s">
        <v>46</v>
      </c>
      <c r="Q133" s="13" t="s">
        <v>46</v>
      </c>
    </row>
    <row r="134" spans="1:27" x14ac:dyDescent="0.2">
      <c r="C134" s="396" t="s">
        <v>50</v>
      </c>
      <c r="D134" s="395"/>
      <c r="E134" s="395"/>
      <c r="F134" s="395"/>
      <c r="G134" s="395"/>
      <c r="H134" s="395"/>
      <c r="I134" s="395"/>
      <c r="J134" s="395"/>
      <c r="K134" s="395"/>
      <c r="L134" s="395"/>
      <c r="M134" s="395"/>
      <c r="N134" s="395"/>
      <c r="Q134" s="396" t="s">
        <v>47</v>
      </c>
      <c r="R134" s="396"/>
      <c r="S134" s="396"/>
      <c r="T134" s="396"/>
      <c r="U134" s="396"/>
      <c r="V134" s="396"/>
      <c r="W134" s="396"/>
      <c r="X134" s="396"/>
      <c r="Y134" s="396"/>
      <c r="Z134" s="396"/>
      <c r="AA134" s="396"/>
    </row>
    <row r="135" spans="1:27" x14ac:dyDescent="0.2">
      <c r="C135" s="395"/>
      <c r="D135" s="395"/>
      <c r="E135" s="395"/>
      <c r="F135" s="395"/>
      <c r="G135" s="395"/>
      <c r="H135" s="395"/>
      <c r="I135" s="395"/>
      <c r="J135" s="395"/>
      <c r="K135" s="395"/>
      <c r="L135" s="395"/>
      <c r="M135" s="395"/>
      <c r="N135" s="395"/>
      <c r="Q135" s="396"/>
      <c r="R135" s="396"/>
      <c r="S135" s="396"/>
      <c r="T135" s="396"/>
      <c r="U135" s="396"/>
      <c r="V135" s="396"/>
      <c r="W135" s="396"/>
      <c r="X135" s="396"/>
      <c r="Y135" s="396"/>
      <c r="Z135" s="396"/>
      <c r="AA135" s="396"/>
    </row>
    <row r="136" spans="1:27" x14ac:dyDescent="0.2">
      <c r="C136" s="44" t="s">
        <v>109</v>
      </c>
      <c r="D136" s="45"/>
      <c r="E136" s="45"/>
      <c r="F136" s="45"/>
      <c r="G136" s="45"/>
      <c r="H136" s="45"/>
      <c r="I136" s="45"/>
      <c r="J136" s="45"/>
      <c r="K136" s="45"/>
      <c r="L136" s="45"/>
      <c r="M136" s="45"/>
      <c r="N136" s="45"/>
      <c r="Q136" s="44" t="s">
        <v>109</v>
      </c>
      <c r="R136" s="45"/>
      <c r="S136" s="45"/>
      <c r="T136" s="45"/>
      <c r="U136" s="45"/>
      <c r="V136" s="45"/>
      <c r="W136" s="45"/>
      <c r="X136" s="45"/>
      <c r="Y136" s="45"/>
      <c r="Z136" s="45"/>
      <c r="AA136" s="45"/>
    </row>
    <row r="137" spans="1:27" ht="13.5" customHeight="1" x14ac:dyDescent="0.2">
      <c r="C137" s="402" t="s">
        <v>241</v>
      </c>
      <c r="D137" s="402"/>
      <c r="E137" s="402"/>
      <c r="F137" s="402"/>
      <c r="G137" s="402"/>
      <c r="H137" s="402"/>
      <c r="I137" s="402"/>
      <c r="J137" s="402"/>
      <c r="K137" s="402"/>
      <c r="L137" s="402"/>
      <c r="M137" s="402"/>
      <c r="N137" s="402"/>
      <c r="Q137" s="402" t="s">
        <v>242</v>
      </c>
      <c r="R137" s="402"/>
      <c r="S137" s="402"/>
      <c r="T137" s="402"/>
      <c r="U137" s="402"/>
      <c r="V137" s="402"/>
      <c r="W137" s="402"/>
      <c r="X137" s="402"/>
      <c r="Y137" s="402"/>
      <c r="Z137" s="402"/>
      <c r="AA137" s="402"/>
    </row>
    <row r="138" spans="1:27" ht="13.5" customHeight="1" x14ac:dyDescent="0.2">
      <c r="C138" s="402"/>
      <c r="D138" s="402"/>
      <c r="E138" s="402"/>
      <c r="F138" s="402"/>
      <c r="G138" s="402"/>
      <c r="H138" s="402"/>
      <c r="I138" s="402"/>
      <c r="J138" s="402"/>
      <c r="K138" s="402"/>
      <c r="L138" s="402"/>
      <c r="M138" s="402"/>
      <c r="N138" s="402"/>
      <c r="Q138" s="402"/>
      <c r="R138" s="402"/>
      <c r="S138" s="402"/>
      <c r="T138" s="402"/>
      <c r="U138" s="402"/>
      <c r="V138" s="402"/>
      <c r="W138" s="402"/>
      <c r="X138" s="402"/>
      <c r="Y138" s="402"/>
      <c r="Z138" s="402"/>
      <c r="AA138" s="402"/>
    </row>
    <row r="139" spans="1:27" ht="13.5" customHeight="1" x14ac:dyDescent="0.2">
      <c r="D139" s="35"/>
      <c r="E139" s="35"/>
      <c r="F139" s="35"/>
      <c r="G139" s="35"/>
      <c r="H139" s="35"/>
      <c r="I139" s="35"/>
      <c r="J139" s="35"/>
      <c r="K139" s="35"/>
      <c r="L139" s="35"/>
      <c r="M139" s="35"/>
      <c r="N139" s="35"/>
      <c r="Q139" s="51" t="s">
        <v>240</v>
      </c>
      <c r="R139" s="36"/>
      <c r="S139" s="36"/>
      <c r="T139" s="36"/>
      <c r="U139" s="36"/>
      <c r="V139" s="36"/>
      <c r="W139" s="36"/>
      <c r="X139" s="36"/>
      <c r="Y139" s="36"/>
      <c r="Z139" s="36"/>
      <c r="AA139" s="36"/>
    </row>
    <row r="140" spans="1:27" ht="3" customHeight="1" x14ac:dyDescent="0.2"/>
    <row r="141" spans="1:27" x14ac:dyDescent="0.2">
      <c r="C141" s="394" t="s">
        <v>75</v>
      </c>
      <c r="D141" s="394"/>
      <c r="E141" s="394"/>
      <c r="F141" s="394"/>
      <c r="G141" s="394"/>
      <c r="H141" s="394"/>
      <c r="I141" s="394"/>
      <c r="J141" s="394"/>
      <c r="K141" s="394"/>
      <c r="L141" s="394"/>
      <c r="M141" s="394"/>
      <c r="N141" s="394"/>
      <c r="O141" s="394"/>
      <c r="P141" s="394"/>
      <c r="Q141" s="394"/>
      <c r="R141" s="394"/>
      <c r="S141" s="394"/>
      <c r="T141" s="394"/>
      <c r="U141" s="394"/>
      <c r="V141" s="394"/>
      <c r="W141" s="394"/>
      <c r="X141" s="394"/>
      <c r="Y141" s="394"/>
      <c r="Z141" s="394"/>
      <c r="AA141" s="36"/>
    </row>
    <row r="142" spans="1:27" ht="9" customHeight="1" x14ac:dyDescent="0.2">
      <c r="C142" s="394"/>
      <c r="D142" s="394"/>
      <c r="E142" s="394"/>
      <c r="F142" s="394"/>
      <c r="G142" s="394"/>
      <c r="H142" s="394"/>
      <c r="I142" s="394"/>
      <c r="J142" s="394"/>
      <c r="K142" s="394"/>
      <c r="L142" s="394"/>
      <c r="M142" s="394"/>
      <c r="N142" s="394"/>
      <c r="O142" s="394"/>
      <c r="P142" s="394"/>
      <c r="Q142" s="394"/>
      <c r="R142" s="394"/>
      <c r="S142" s="394"/>
      <c r="T142" s="394"/>
      <c r="U142" s="394"/>
      <c r="V142" s="394"/>
      <c r="W142" s="394"/>
      <c r="X142" s="394"/>
      <c r="Y142" s="394"/>
      <c r="Z142" s="394"/>
      <c r="AA142" s="36"/>
    </row>
    <row r="143" spans="1:27" ht="2.25" customHeight="1" x14ac:dyDescent="0.2">
      <c r="Y143" s="37"/>
      <c r="Z143" s="37"/>
      <c r="AA143" s="37"/>
    </row>
    <row r="144" spans="1:27" x14ac:dyDescent="0.2">
      <c r="A144" s="1" t="s">
        <v>200</v>
      </c>
      <c r="Y144" s="393" t="s">
        <v>93</v>
      </c>
      <c r="Z144" s="393"/>
      <c r="AA144" s="393"/>
    </row>
    <row r="145" spans="2:30" ht="13.5" customHeight="1" x14ac:dyDescent="0.2">
      <c r="B145" s="93" t="s">
        <v>520</v>
      </c>
      <c r="Y145" s="352"/>
      <c r="Z145" s="352"/>
      <c r="AA145" s="352"/>
    </row>
    <row r="146" spans="2:30" x14ac:dyDescent="0.2">
      <c r="B146" s="310" t="s">
        <v>521</v>
      </c>
      <c r="Y146" s="391" t="str">
        <f>IF(AND(Y109&gt;=15,B149="✔",B151="✔",B153="✔",B155="✔"),10,IF(AND(Y109&gt;=15,B149="✔",B151="✔",B157="✔"),10,IF(AND(B151="✔",B159="✔",B149=""),10,"")))</f>
        <v/>
      </c>
      <c r="Z146" s="392"/>
      <c r="AA146" s="29" t="s">
        <v>0</v>
      </c>
      <c r="AB146" s="3" t="str">
        <f>Y146</f>
        <v/>
      </c>
    </row>
    <row r="147" spans="2:30" x14ac:dyDescent="0.2">
      <c r="B147" s="310" t="s">
        <v>522</v>
      </c>
      <c r="Y147" s="39"/>
      <c r="Z147" s="39"/>
      <c r="AA147" s="88"/>
    </row>
    <row r="148" spans="2:30" x14ac:dyDescent="0.2">
      <c r="B148" s="310" t="s">
        <v>523</v>
      </c>
      <c r="Y148" s="39"/>
      <c r="Z148" s="39"/>
      <c r="AA148" s="88"/>
    </row>
    <row r="149" spans="2:30" x14ac:dyDescent="0.2">
      <c r="B149" s="63"/>
      <c r="C149" s="93" t="s">
        <v>519</v>
      </c>
      <c r="AD149" s="3" t="s">
        <v>74</v>
      </c>
    </row>
    <row r="150" spans="2:30" ht="2.85" customHeight="1" x14ac:dyDescent="0.2"/>
    <row r="151" spans="2:30" x14ac:dyDescent="0.2">
      <c r="B151" s="63"/>
      <c r="C151" s="93" t="s">
        <v>524</v>
      </c>
    </row>
    <row r="152" spans="2:30" x14ac:dyDescent="0.2">
      <c r="C152" s="13" t="s">
        <v>193</v>
      </c>
    </row>
    <row r="153" spans="2:30" x14ac:dyDescent="0.2">
      <c r="B153" s="63"/>
      <c r="C153" s="93" t="s">
        <v>525</v>
      </c>
    </row>
    <row r="154" spans="2:30" x14ac:dyDescent="0.2">
      <c r="C154" s="13" t="s">
        <v>141</v>
      </c>
    </row>
    <row r="155" spans="2:30" x14ac:dyDescent="0.2">
      <c r="B155" s="63"/>
      <c r="C155" s="1" t="s">
        <v>499</v>
      </c>
    </row>
    <row r="156" spans="2:30" ht="3.6" customHeight="1" x14ac:dyDescent="0.2"/>
    <row r="157" spans="2:30" x14ac:dyDescent="0.2">
      <c r="B157" s="63"/>
      <c r="C157" s="1" t="s">
        <v>500</v>
      </c>
    </row>
    <row r="158" spans="2:30" ht="5.25" customHeight="1" x14ac:dyDescent="0.2"/>
    <row r="159" spans="2:30" x14ac:dyDescent="0.2">
      <c r="B159" s="63"/>
      <c r="C159" s="1" t="s">
        <v>501</v>
      </c>
    </row>
    <row r="160" spans="2:30" ht="3.75" customHeight="1" x14ac:dyDescent="0.2"/>
    <row r="161" spans="1:28" ht="3" customHeight="1" x14ac:dyDescent="0.2"/>
    <row r="162" spans="1:28" ht="15" customHeight="1" x14ac:dyDescent="0.2">
      <c r="B162" s="415" t="s">
        <v>154</v>
      </c>
      <c r="C162" s="415"/>
      <c r="D162" s="415"/>
      <c r="E162" s="415"/>
      <c r="F162" s="415"/>
      <c r="G162" s="415"/>
      <c r="H162" s="413" t="s">
        <v>158</v>
      </c>
      <c r="I162" s="413"/>
      <c r="J162" s="413"/>
      <c r="K162" s="413"/>
      <c r="L162" s="413"/>
      <c r="M162" s="413"/>
      <c r="N162" s="413"/>
      <c r="O162" s="414"/>
      <c r="P162" s="414"/>
      <c r="Q162" s="414"/>
      <c r="R162" s="414"/>
      <c r="S162" s="414"/>
      <c r="T162" s="414"/>
      <c r="U162" s="414"/>
      <c r="V162" s="414"/>
      <c r="W162" s="414"/>
      <c r="X162" s="414"/>
      <c r="Y162" s="414"/>
      <c r="Z162" s="414"/>
      <c r="AB162" s="4" t="str">
        <f>IF(AND(O162="",Y146=10),"→申請者の申請時住所の小学校区を記載してください。","")</f>
        <v/>
      </c>
    </row>
    <row r="163" spans="1:28" ht="15" customHeight="1" x14ac:dyDescent="0.2">
      <c r="B163" s="415"/>
      <c r="C163" s="415"/>
      <c r="D163" s="415"/>
      <c r="E163" s="415"/>
      <c r="F163" s="415"/>
      <c r="G163" s="415"/>
      <c r="H163" s="413" t="s">
        <v>155</v>
      </c>
      <c r="I163" s="413"/>
      <c r="J163" s="413"/>
      <c r="K163" s="413"/>
      <c r="L163" s="413"/>
      <c r="M163" s="413"/>
      <c r="N163" s="413"/>
      <c r="O163" s="414"/>
      <c r="P163" s="414"/>
      <c r="Q163" s="414"/>
      <c r="R163" s="414"/>
      <c r="S163" s="414"/>
      <c r="T163" s="414"/>
      <c r="U163" s="414"/>
      <c r="V163" s="414"/>
      <c r="W163" s="414"/>
      <c r="X163" s="414"/>
      <c r="Y163" s="414"/>
      <c r="Z163" s="414"/>
      <c r="AB163" s="4" t="str">
        <f>IF(AND(O163="",Y146=10),"→申請者の住宅建設地の小学校区を記載してください。","")</f>
        <v/>
      </c>
    </row>
    <row r="164" spans="1:28" ht="15" customHeight="1" x14ac:dyDescent="0.2">
      <c r="A164" s="81"/>
      <c r="B164" s="416" t="s">
        <v>245</v>
      </c>
      <c r="C164" s="416"/>
      <c r="D164" s="416"/>
      <c r="E164" s="416"/>
      <c r="F164" s="416"/>
      <c r="G164" s="416"/>
      <c r="H164" s="413" t="s">
        <v>156</v>
      </c>
      <c r="I164" s="413"/>
      <c r="J164" s="413"/>
      <c r="K164" s="413"/>
      <c r="L164" s="413"/>
      <c r="M164" s="413"/>
      <c r="N164" s="413"/>
      <c r="O164" s="414"/>
      <c r="P164" s="414"/>
      <c r="Q164" s="414"/>
      <c r="R164" s="414"/>
      <c r="S164" s="414"/>
      <c r="T164" s="414"/>
      <c r="U164" s="414"/>
      <c r="V164" s="414"/>
      <c r="W164" s="414"/>
      <c r="X164" s="414"/>
      <c r="Y164" s="414"/>
      <c r="Z164" s="414"/>
      <c r="AB164" s="4" t="str">
        <f>IF(AND(O164="",Y146=10),"→同居、近居対象の親族世帯の住所を記載してください。","")</f>
        <v/>
      </c>
    </row>
    <row r="165" spans="1:28" ht="15" customHeight="1" x14ac:dyDescent="0.2">
      <c r="A165" s="81"/>
      <c r="B165" s="417"/>
      <c r="C165" s="417"/>
      <c r="D165" s="417"/>
      <c r="E165" s="417"/>
      <c r="F165" s="417"/>
      <c r="G165" s="417"/>
      <c r="H165" s="413" t="s">
        <v>157</v>
      </c>
      <c r="I165" s="413"/>
      <c r="J165" s="413"/>
      <c r="K165" s="413"/>
      <c r="L165" s="413"/>
      <c r="M165" s="413"/>
      <c r="N165" s="413"/>
      <c r="O165" s="414"/>
      <c r="P165" s="414"/>
      <c r="Q165" s="414"/>
      <c r="R165" s="414"/>
      <c r="S165" s="414"/>
      <c r="T165" s="414"/>
      <c r="U165" s="414"/>
      <c r="V165" s="414"/>
      <c r="W165" s="414"/>
      <c r="X165" s="414"/>
      <c r="Y165" s="414"/>
      <c r="Z165" s="414"/>
      <c r="AB165" s="4" t="str">
        <f>IF(AND(O165="",Y146=10),"→同居、近居対象の親族世帯の小学校区を記載してください。","")</f>
        <v/>
      </c>
    </row>
    <row r="166" spans="1:28" ht="15" customHeight="1" x14ac:dyDescent="0.2">
      <c r="A166" s="81"/>
      <c r="B166" s="418"/>
      <c r="C166" s="418"/>
      <c r="D166" s="418"/>
      <c r="E166" s="418"/>
      <c r="F166" s="418"/>
      <c r="G166" s="418"/>
      <c r="H166" s="413" t="s">
        <v>246</v>
      </c>
      <c r="I166" s="413"/>
      <c r="J166" s="413"/>
      <c r="K166" s="413"/>
      <c r="L166" s="413"/>
      <c r="M166" s="413"/>
      <c r="N166" s="413"/>
      <c r="O166" s="414"/>
      <c r="P166" s="414"/>
      <c r="Q166" s="414"/>
      <c r="R166" s="414"/>
      <c r="S166" s="414"/>
      <c r="T166" s="414"/>
      <c r="U166" s="414"/>
      <c r="V166" s="414"/>
      <c r="W166" s="414"/>
      <c r="X166" s="414"/>
      <c r="Y166" s="414"/>
      <c r="Z166" s="414"/>
      <c r="AA166" s="28"/>
      <c r="AB166" s="4"/>
    </row>
    <row r="167" spans="1:28" ht="12.75" customHeight="1" x14ac:dyDescent="0.2">
      <c r="C167" s="46" t="s">
        <v>109</v>
      </c>
    </row>
    <row r="168" spans="1:28" x14ac:dyDescent="0.2">
      <c r="C168" s="47" t="s">
        <v>84</v>
      </c>
      <c r="D168" s="34"/>
      <c r="E168" s="34"/>
      <c r="F168" s="34"/>
      <c r="G168" s="34"/>
      <c r="H168" s="34"/>
      <c r="I168" s="34"/>
      <c r="J168" s="34"/>
      <c r="K168" s="34"/>
      <c r="L168" s="34"/>
      <c r="M168" s="34"/>
      <c r="N168" s="34"/>
    </row>
    <row r="169" spans="1:28" ht="13.5" customHeight="1" x14ac:dyDescent="0.2">
      <c r="C169" s="47" t="s">
        <v>243</v>
      </c>
      <c r="D169" s="36"/>
      <c r="E169" s="36"/>
      <c r="F169" s="36"/>
      <c r="G169" s="36"/>
      <c r="H169" s="36"/>
      <c r="I169" s="36"/>
      <c r="J169" s="36"/>
      <c r="K169" s="36"/>
      <c r="L169" s="36"/>
      <c r="M169" s="36"/>
      <c r="N169" s="36"/>
    </row>
    <row r="170" spans="1:28" x14ac:dyDescent="0.2">
      <c r="AA170" s="5" t="s">
        <v>69</v>
      </c>
    </row>
    <row r="171" spans="1:28" x14ac:dyDescent="0.2">
      <c r="A171" s="93" t="s">
        <v>526</v>
      </c>
      <c r="Y171" s="351" t="s">
        <v>93</v>
      </c>
      <c r="Z171" s="351"/>
      <c r="AA171" s="351"/>
    </row>
    <row r="172" spans="1:28" ht="12.75" customHeight="1" x14ac:dyDescent="0.2">
      <c r="B172" s="451" t="s">
        <v>527</v>
      </c>
      <c r="C172" s="451"/>
      <c r="D172" s="451"/>
      <c r="E172" s="451"/>
      <c r="F172" s="451"/>
      <c r="G172" s="451"/>
      <c r="H172" s="451"/>
      <c r="I172" s="451"/>
      <c r="J172" s="451"/>
      <c r="K172" s="451"/>
      <c r="L172" s="451"/>
      <c r="M172" s="451"/>
      <c r="N172" s="451"/>
      <c r="O172" s="451"/>
      <c r="P172" s="451"/>
      <c r="Q172" s="451"/>
      <c r="R172" s="451"/>
      <c r="S172" s="451"/>
      <c r="T172" s="451"/>
      <c r="U172" s="451"/>
      <c r="V172" s="451"/>
      <c r="W172" s="451"/>
      <c r="X172" s="452"/>
      <c r="Y172" s="351"/>
      <c r="Z172" s="351"/>
      <c r="AA172" s="351"/>
    </row>
    <row r="173" spans="1:28" x14ac:dyDescent="0.2">
      <c r="B173" s="451"/>
      <c r="C173" s="451"/>
      <c r="D173" s="451"/>
      <c r="E173" s="451"/>
      <c r="F173" s="451"/>
      <c r="G173" s="451"/>
      <c r="H173" s="451"/>
      <c r="I173" s="451"/>
      <c r="J173" s="451"/>
      <c r="K173" s="451"/>
      <c r="L173" s="451"/>
      <c r="M173" s="451"/>
      <c r="N173" s="451"/>
      <c r="O173" s="451"/>
      <c r="P173" s="451"/>
      <c r="Q173" s="451"/>
      <c r="R173" s="451"/>
      <c r="S173" s="451"/>
      <c r="T173" s="451"/>
      <c r="U173" s="451"/>
      <c r="V173" s="451"/>
      <c r="W173" s="451"/>
      <c r="X173" s="452"/>
      <c r="Y173" s="391" t="str">
        <f>IF(AND(Y109&lt;&gt;"",Y109&gt;=15,B177="✔",I36&lt;&gt;"その他",SUM(F182,F187,F194,F202,F210,F220,F227)&gt;=4),20,"")</f>
        <v/>
      </c>
      <c r="Z173" s="392"/>
      <c r="AA173" s="29" t="s">
        <v>0</v>
      </c>
      <c r="AB173" s="3" t="str">
        <f>Y173</f>
        <v/>
      </c>
    </row>
    <row r="174" spans="1:28" ht="13.5" customHeight="1" x14ac:dyDescent="0.2">
      <c r="B174" s="38"/>
      <c r="C174" s="454" t="s">
        <v>528</v>
      </c>
      <c r="D174" s="454"/>
      <c r="E174" s="454"/>
      <c r="F174" s="454"/>
      <c r="G174" s="454"/>
      <c r="H174" s="454"/>
      <c r="I174" s="454"/>
      <c r="J174" s="454"/>
      <c r="K174" s="454"/>
      <c r="L174" s="454"/>
      <c r="M174" s="454"/>
      <c r="N174" s="454"/>
      <c r="O174" s="454"/>
      <c r="P174" s="454"/>
      <c r="Q174" s="454"/>
      <c r="R174" s="454"/>
      <c r="S174" s="454"/>
      <c r="T174" s="454"/>
      <c r="U174" s="454"/>
      <c r="V174" s="454"/>
      <c r="W174" s="454"/>
      <c r="X174" s="454"/>
      <c r="Y174" s="454"/>
      <c r="Z174" s="454"/>
      <c r="AA174" s="454"/>
    </row>
    <row r="175" spans="1:28" ht="13.5" customHeight="1" x14ac:dyDescent="0.2">
      <c r="B175" s="38"/>
      <c r="C175" s="454"/>
      <c r="D175" s="454"/>
      <c r="E175" s="454"/>
      <c r="F175" s="454"/>
      <c r="G175" s="454"/>
      <c r="H175" s="454"/>
      <c r="I175" s="454"/>
      <c r="J175" s="454"/>
      <c r="K175" s="454"/>
      <c r="L175" s="454"/>
      <c r="M175" s="454"/>
      <c r="N175" s="454"/>
      <c r="O175" s="454"/>
      <c r="P175" s="454"/>
      <c r="Q175" s="454"/>
      <c r="R175" s="454"/>
      <c r="S175" s="454"/>
      <c r="T175" s="454"/>
      <c r="U175" s="454"/>
      <c r="V175" s="454"/>
      <c r="W175" s="454"/>
      <c r="X175" s="454"/>
      <c r="Y175" s="454"/>
      <c r="Z175" s="454"/>
      <c r="AA175" s="454"/>
    </row>
    <row r="176" spans="1:28" ht="7.35" customHeight="1" x14ac:dyDescent="0.2"/>
    <row r="177" spans="2:30" x14ac:dyDescent="0.2">
      <c r="B177" s="63"/>
      <c r="C177" s="1" t="s">
        <v>20</v>
      </c>
      <c r="H177" s="1" t="s">
        <v>195</v>
      </c>
      <c r="AD177" s="3" t="s">
        <v>74</v>
      </c>
    </row>
    <row r="178" spans="2:30" x14ac:dyDescent="0.2">
      <c r="B178" s="22" t="str">
        <f>IF(AND(I36="その他",B177="✔"),"工法が異なります","")</f>
        <v/>
      </c>
      <c r="H178" s="1" t="s">
        <v>194</v>
      </c>
    </row>
    <row r="179" spans="2:30" ht="7.35" customHeight="1" x14ac:dyDescent="0.2"/>
    <row r="180" spans="2:30" ht="13.5" customHeight="1" x14ac:dyDescent="0.2">
      <c r="B180" s="63"/>
      <c r="C180" s="1" t="s">
        <v>58</v>
      </c>
      <c r="H180" s="360" t="s">
        <v>176</v>
      </c>
      <c r="I180" s="360"/>
      <c r="J180" s="360"/>
      <c r="K180" s="360"/>
      <c r="L180" s="360"/>
      <c r="M180" s="360"/>
      <c r="N180" s="360"/>
      <c r="O180" s="360"/>
      <c r="P180" s="360"/>
      <c r="Q180" s="360"/>
      <c r="R180" s="360"/>
      <c r="S180" s="360"/>
      <c r="T180" s="360"/>
      <c r="U180" s="360"/>
      <c r="V180" s="360"/>
      <c r="W180" s="360"/>
      <c r="X180" s="360"/>
      <c r="Y180" s="360"/>
      <c r="Z180" s="360"/>
      <c r="AA180" s="360"/>
      <c r="AC180" s="3">
        <f>IF(AND(B90="",B94="✔",B180="✔"),4,0)</f>
        <v>0</v>
      </c>
    </row>
    <row r="181" spans="2:30" x14ac:dyDescent="0.2">
      <c r="C181" s="1" t="s">
        <v>89</v>
      </c>
      <c r="H181" s="360"/>
      <c r="I181" s="360"/>
      <c r="J181" s="360"/>
      <c r="K181" s="360"/>
      <c r="L181" s="360"/>
      <c r="M181" s="360"/>
      <c r="N181" s="360"/>
      <c r="O181" s="360"/>
      <c r="P181" s="360"/>
      <c r="Q181" s="360"/>
      <c r="R181" s="360"/>
      <c r="S181" s="360"/>
      <c r="T181" s="360"/>
      <c r="U181" s="360"/>
      <c r="V181" s="360"/>
      <c r="W181" s="360"/>
      <c r="X181" s="360"/>
      <c r="Y181" s="360"/>
      <c r="Z181" s="360"/>
      <c r="AA181" s="360"/>
    </row>
    <row r="182" spans="2:30" x14ac:dyDescent="0.2">
      <c r="C182" s="361" t="s">
        <v>162</v>
      </c>
      <c r="D182" s="362"/>
      <c r="E182" s="363"/>
      <c r="F182" s="52" t="str">
        <f>IF(AC180=0,"",AC180)</f>
        <v/>
      </c>
      <c r="H182" s="360"/>
      <c r="I182" s="360"/>
      <c r="J182" s="360"/>
      <c r="K182" s="360"/>
      <c r="L182" s="360"/>
      <c r="M182" s="360"/>
      <c r="N182" s="360"/>
      <c r="O182" s="360"/>
      <c r="P182" s="360"/>
      <c r="Q182" s="360"/>
      <c r="R182" s="360"/>
      <c r="S182" s="360"/>
      <c r="T182" s="360"/>
      <c r="U182" s="360"/>
      <c r="V182" s="360"/>
      <c r="W182" s="360"/>
      <c r="X182" s="360"/>
      <c r="Y182" s="360"/>
      <c r="Z182" s="360"/>
      <c r="AA182" s="360"/>
    </row>
    <row r="183" spans="2:30" x14ac:dyDescent="0.2">
      <c r="C183" s="455" t="s">
        <v>181</v>
      </c>
      <c r="D183" s="455"/>
      <c r="E183" s="455"/>
      <c r="F183" s="455"/>
      <c r="G183" s="455"/>
      <c r="H183" s="455"/>
      <c r="I183" s="455"/>
      <c r="J183" s="455"/>
      <c r="K183" s="455"/>
      <c r="L183" s="455"/>
      <c r="M183" s="455"/>
      <c r="N183" s="455"/>
      <c r="O183" s="455"/>
      <c r="P183" s="455"/>
      <c r="Q183" s="455"/>
      <c r="R183" s="455"/>
      <c r="S183" s="455"/>
      <c r="T183" s="455"/>
      <c r="U183" s="455"/>
      <c r="V183" s="455"/>
      <c r="W183" s="455"/>
      <c r="X183" s="455"/>
      <c r="Y183" s="455"/>
      <c r="Z183" s="455"/>
      <c r="AA183" s="455"/>
    </row>
    <row r="184" spans="2:30" x14ac:dyDescent="0.2">
      <c r="H184" s="38"/>
      <c r="I184" s="38"/>
      <c r="J184" s="38"/>
      <c r="K184" s="38"/>
      <c r="L184" s="38"/>
      <c r="M184" s="38"/>
      <c r="N184" s="38"/>
      <c r="O184" s="38"/>
      <c r="P184" s="38"/>
      <c r="Q184" s="38"/>
      <c r="R184" s="38"/>
      <c r="S184" s="38"/>
      <c r="T184" s="38"/>
      <c r="U184" s="38"/>
      <c r="V184" s="38"/>
      <c r="W184" s="38"/>
      <c r="X184" s="38"/>
      <c r="Y184" s="38"/>
      <c r="Z184" s="38"/>
      <c r="AA184" s="38"/>
    </row>
    <row r="185" spans="2:30" x14ac:dyDescent="0.2">
      <c r="B185" s="63"/>
      <c r="C185" s="1" t="s">
        <v>59</v>
      </c>
      <c r="H185" s="1" t="s">
        <v>178</v>
      </c>
      <c r="AC185" s="3">
        <f>IF(AND(B185="✔",N189&gt;=40,OR(N188="ささら子下見板",N188="押縁下見板",N188="南京下見板")),2,0)</f>
        <v>0</v>
      </c>
    </row>
    <row r="186" spans="2:30" x14ac:dyDescent="0.2">
      <c r="C186" s="1" t="s">
        <v>90</v>
      </c>
      <c r="H186" s="453" t="s">
        <v>62</v>
      </c>
      <c r="I186" s="453"/>
      <c r="J186" s="453"/>
      <c r="K186" s="453"/>
      <c r="L186" s="453"/>
      <c r="M186" s="453"/>
      <c r="N186" s="453"/>
      <c r="O186" s="453"/>
      <c r="P186" s="453" t="s">
        <v>56</v>
      </c>
      <c r="Q186" s="453"/>
      <c r="R186" s="453"/>
      <c r="S186" s="453"/>
      <c r="T186" s="453"/>
      <c r="U186" s="453"/>
      <c r="V186" s="453"/>
      <c r="W186" s="453"/>
      <c r="X186" s="453"/>
      <c r="Y186" s="453"/>
      <c r="Z186" s="453"/>
      <c r="AA186" s="453"/>
    </row>
    <row r="187" spans="2:30" x14ac:dyDescent="0.2">
      <c r="C187" s="347" t="s">
        <v>162</v>
      </c>
      <c r="D187" s="348"/>
      <c r="E187" s="349"/>
      <c r="F187" s="52" t="str">
        <f>IF(AC185=0,"",AC185)</f>
        <v/>
      </c>
      <c r="H187" s="453" t="s">
        <v>63</v>
      </c>
      <c r="I187" s="453"/>
      <c r="J187" s="453"/>
      <c r="K187" s="453"/>
      <c r="L187" s="453"/>
      <c r="M187" s="453"/>
      <c r="N187" s="453"/>
      <c r="O187" s="453"/>
      <c r="P187" s="453" t="s">
        <v>57</v>
      </c>
      <c r="Q187" s="453"/>
      <c r="R187" s="453"/>
      <c r="S187" s="453"/>
      <c r="T187" s="453"/>
      <c r="U187" s="453"/>
      <c r="V187" s="453"/>
      <c r="W187" s="453"/>
      <c r="X187" s="453"/>
      <c r="Y187" s="453"/>
      <c r="Z187" s="453"/>
      <c r="AA187" s="453"/>
    </row>
    <row r="188" spans="2:30" x14ac:dyDescent="0.2">
      <c r="H188" s="1" t="s">
        <v>103</v>
      </c>
      <c r="N188" s="343"/>
      <c r="O188" s="344"/>
      <c r="P188" s="344"/>
      <c r="Q188" s="344"/>
      <c r="R188" s="344"/>
      <c r="S188" s="345"/>
      <c r="AB188" s="4" t="str">
        <f>IF(AND(B185="✔",N188=""),"←リストから選択してください（ささら子下見板、押縁下見板、南京下見板）","")</f>
        <v/>
      </c>
    </row>
    <row r="189" spans="2:30" x14ac:dyDescent="0.2">
      <c r="H189" s="13" t="s">
        <v>104</v>
      </c>
      <c r="N189" s="478"/>
      <c r="O189" s="422"/>
      <c r="P189" s="479"/>
      <c r="Q189" s="1" t="s">
        <v>88</v>
      </c>
      <c r="AB189" s="4" t="str">
        <f>IF(AND(B185="✔",N189=""),"←施工面積を入力してください。","")</f>
        <v/>
      </c>
    </row>
    <row r="190" spans="2:30" x14ac:dyDescent="0.2">
      <c r="C190" s="477" t="s">
        <v>182</v>
      </c>
      <c r="D190" s="477"/>
      <c r="E190" s="477"/>
      <c r="F190" s="477"/>
      <c r="G190" s="477"/>
      <c r="H190" s="477"/>
      <c r="I190" s="477"/>
      <c r="J190" s="477"/>
      <c r="K190" s="477"/>
      <c r="L190" s="477"/>
      <c r="M190" s="477"/>
      <c r="N190" s="477"/>
      <c r="O190" s="477"/>
      <c r="P190" s="477"/>
      <c r="Q190" s="477"/>
      <c r="R190" s="477"/>
      <c r="S190" s="477"/>
      <c r="T190" s="477"/>
      <c r="U190" s="477"/>
      <c r="V190" s="477"/>
      <c r="W190" s="477"/>
      <c r="X190" s="477"/>
      <c r="Y190" s="477"/>
      <c r="Z190" s="477"/>
      <c r="AA190" s="477"/>
    </row>
    <row r="192" spans="2:30" x14ac:dyDescent="0.2">
      <c r="B192" s="63"/>
      <c r="C192" s="1" t="s">
        <v>60</v>
      </c>
      <c r="H192" s="56" t="s">
        <v>189</v>
      </c>
      <c r="AC192" s="3">
        <f>IF(AND(B192="✔",N196&gt;=40),2,IF(AND(B192="✔",N196+N197&gt;=40),1,0))</f>
        <v>0</v>
      </c>
    </row>
    <row r="193" spans="2:29" x14ac:dyDescent="0.2">
      <c r="C193" s="1" t="s">
        <v>159</v>
      </c>
      <c r="H193" s="56" t="s">
        <v>190</v>
      </c>
    </row>
    <row r="194" spans="2:29" x14ac:dyDescent="0.2">
      <c r="C194" s="361" t="s">
        <v>162</v>
      </c>
      <c r="D194" s="362"/>
      <c r="E194" s="363"/>
      <c r="F194" s="52" t="str">
        <f>IF(AC192=0,"",AC192)</f>
        <v/>
      </c>
      <c r="H194" s="1" t="s">
        <v>191</v>
      </c>
    </row>
    <row r="195" spans="2:29" x14ac:dyDescent="0.2">
      <c r="H195" s="23" t="s">
        <v>183</v>
      </c>
      <c r="AB195" s="22" t="str">
        <f>IF(AND(N196&gt;0,R196=""),"←こて塗り仕上げの材料を選択してください。",IF(AND(R196="その他のこて塗り",V196=""),"←こて塗りの材料を記載してください。",""))</f>
        <v/>
      </c>
    </row>
    <row r="196" spans="2:29" x14ac:dyDescent="0.2">
      <c r="B196" s="13" t="s">
        <v>180</v>
      </c>
      <c r="N196" s="343"/>
      <c r="O196" s="344"/>
      <c r="P196" s="345"/>
      <c r="Q196" s="1" t="s">
        <v>161</v>
      </c>
      <c r="R196" s="476" t="s">
        <v>469</v>
      </c>
      <c r="S196" s="476"/>
      <c r="T196" s="476"/>
      <c r="U196" s="476"/>
      <c r="V196" s="460"/>
      <c r="W196" s="461"/>
      <c r="X196" s="461"/>
      <c r="Y196" s="461"/>
      <c r="Z196" s="461"/>
      <c r="AB196" s="4" t="str">
        <f>IF(AND(B192="✔",N196=""),"←こて塗り（珪藻土及びじゅらく以外）の面積を入力してください。","")</f>
        <v/>
      </c>
      <c r="AC196" s="22"/>
    </row>
    <row r="197" spans="2:29" x14ac:dyDescent="0.2">
      <c r="B197" s="13" t="s">
        <v>160</v>
      </c>
      <c r="N197" s="343"/>
      <c r="O197" s="344"/>
      <c r="P197" s="345"/>
      <c r="Q197" s="1" t="s">
        <v>161</v>
      </c>
      <c r="R197" s="476" t="s">
        <v>469</v>
      </c>
      <c r="S197" s="476"/>
      <c r="T197" s="476"/>
      <c r="U197" s="476"/>
      <c r="V197" s="460"/>
      <c r="W197" s="461"/>
      <c r="X197" s="461"/>
      <c r="Y197" s="461"/>
      <c r="Z197" s="461"/>
      <c r="AB197" s="4" t="str">
        <f>IF(AND(B192="✔",N197=""),"←こて塗り（珪藻土及びじゅらく）の面積を入力してください。","")</f>
        <v/>
      </c>
      <c r="AC197" s="22"/>
    </row>
    <row r="198" spans="2:29" x14ac:dyDescent="0.2">
      <c r="C198" s="43" t="s">
        <v>184</v>
      </c>
      <c r="AB198" s="22" t="str">
        <f>IF(AND(N197&gt;0,R197=""),"こて塗り仕上げの材料を選択してください。",IF(AND(R197="その他のこて塗り",V197=""),"←こて塗りの材料を記載してください。",""))</f>
        <v/>
      </c>
    </row>
    <row r="200" spans="2:29" x14ac:dyDescent="0.2">
      <c r="B200" s="63"/>
      <c r="C200" s="1" t="s">
        <v>85</v>
      </c>
      <c r="H200" s="360" t="s">
        <v>86</v>
      </c>
      <c r="I200" s="360"/>
      <c r="J200" s="360"/>
      <c r="K200" s="360"/>
      <c r="L200" s="360"/>
      <c r="M200" s="360"/>
      <c r="N200" s="360"/>
      <c r="O200" s="360"/>
      <c r="P200" s="360"/>
      <c r="Q200" s="360"/>
      <c r="R200" s="360"/>
      <c r="S200" s="360"/>
      <c r="T200" s="360"/>
      <c r="U200" s="360"/>
      <c r="V200" s="360"/>
      <c r="W200" s="360"/>
      <c r="X200" s="360"/>
      <c r="Y200" s="360"/>
      <c r="Z200" s="360"/>
      <c r="AA200" s="360"/>
      <c r="AC200" s="3">
        <f>IF(AND(B200="✔",OR(N203="和瓦",N203="平板瓦",N203="S瓦")),2,0)</f>
        <v>0</v>
      </c>
    </row>
    <row r="201" spans="2:29" x14ac:dyDescent="0.2">
      <c r="C201" s="1" t="s">
        <v>90</v>
      </c>
      <c r="H201" s="360"/>
      <c r="I201" s="360"/>
      <c r="J201" s="360"/>
      <c r="K201" s="360"/>
      <c r="L201" s="360"/>
      <c r="M201" s="360"/>
      <c r="N201" s="360"/>
      <c r="O201" s="360"/>
      <c r="P201" s="360"/>
      <c r="Q201" s="360"/>
      <c r="R201" s="360"/>
      <c r="S201" s="360"/>
      <c r="T201" s="360"/>
      <c r="U201" s="360"/>
      <c r="V201" s="360"/>
      <c r="W201" s="360"/>
      <c r="X201" s="360"/>
      <c r="Y201" s="360"/>
      <c r="Z201" s="360"/>
      <c r="AA201" s="360"/>
    </row>
    <row r="202" spans="2:29" x14ac:dyDescent="0.2">
      <c r="C202" s="361" t="s">
        <v>162</v>
      </c>
      <c r="D202" s="362"/>
      <c r="E202" s="363"/>
      <c r="F202" s="52" t="str">
        <f>IF(AC200=0,"",AC200)</f>
        <v/>
      </c>
      <c r="H202" s="22" t="s">
        <v>92</v>
      </c>
      <c r="I202" s="38"/>
      <c r="J202" s="38"/>
      <c r="K202" s="38"/>
      <c r="L202" s="38"/>
      <c r="M202" s="38"/>
      <c r="N202" s="38"/>
      <c r="O202" s="38"/>
      <c r="P202" s="38"/>
      <c r="Q202" s="38"/>
      <c r="R202" s="38"/>
      <c r="S202" s="38"/>
      <c r="T202" s="38"/>
      <c r="U202" s="38"/>
      <c r="V202" s="38"/>
      <c r="W202" s="38"/>
      <c r="X202" s="38"/>
      <c r="Y202" s="38"/>
      <c r="Z202" s="38"/>
      <c r="AA202" s="38"/>
    </row>
    <row r="203" spans="2:29" x14ac:dyDescent="0.2">
      <c r="I203" s="461" t="s">
        <v>97</v>
      </c>
      <c r="J203" s="461"/>
      <c r="K203" s="461"/>
      <c r="L203" s="461"/>
      <c r="M203" s="38"/>
      <c r="N203" s="356" t="s">
        <v>469</v>
      </c>
      <c r="O203" s="357"/>
      <c r="P203" s="358"/>
      <c r="Q203" s="38"/>
      <c r="R203" s="38"/>
      <c r="S203" s="38"/>
      <c r="T203" s="38"/>
      <c r="U203" s="38"/>
      <c r="V203" s="38"/>
      <c r="W203" s="38"/>
      <c r="X203" s="38"/>
      <c r="Y203" s="38"/>
      <c r="Z203" s="38"/>
      <c r="AA203" s="38"/>
      <c r="AB203" s="4" t="str">
        <f>IF(AND(B200="✔",N203=""),"←リストから選択してください（和瓦、平板瓦、S瓦）","")</f>
        <v/>
      </c>
    </row>
    <row r="204" spans="2:29" x14ac:dyDescent="0.2">
      <c r="C204" s="454" t="s">
        <v>185</v>
      </c>
      <c r="D204" s="454"/>
      <c r="E204" s="454"/>
      <c r="F204" s="454"/>
      <c r="G204" s="454"/>
      <c r="H204" s="454"/>
      <c r="I204" s="454"/>
      <c r="J204" s="454"/>
      <c r="K204" s="454"/>
      <c r="L204" s="454"/>
      <c r="M204" s="454"/>
      <c r="N204" s="454"/>
      <c r="O204" s="454"/>
      <c r="P204" s="454"/>
      <c r="Q204" s="454"/>
      <c r="R204" s="454"/>
      <c r="S204" s="454"/>
      <c r="T204" s="454"/>
      <c r="U204" s="454"/>
      <c r="V204" s="454"/>
      <c r="W204" s="454"/>
      <c r="X204" s="454"/>
      <c r="Y204" s="454"/>
      <c r="Z204" s="454"/>
      <c r="AA204" s="454"/>
    </row>
    <row r="205" spans="2:29" x14ac:dyDescent="0.2">
      <c r="C205" s="454"/>
      <c r="D205" s="454"/>
      <c r="E205" s="454"/>
      <c r="F205" s="454"/>
      <c r="G205" s="454"/>
      <c r="H205" s="454"/>
      <c r="I205" s="454"/>
      <c r="J205" s="454"/>
      <c r="K205" s="454"/>
      <c r="L205" s="454"/>
      <c r="M205" s="454"/>
      <c r="N205" s="454"/>
      <c r="O205" s="454"/>
      <c r="P205" s="454"/>
      <c r="Q205" s="454"/>
      <c r="R205" s="454"/>
      <c r="S205" s="454"/>
      <c r="T205" s="454"/>
      <c r="U205" s="454"/>
      <c r="V205" s="454"/>
      <c r="W205" s="454"/>
      <c r="X205" s="454"/>
      <c r="Y205" s="454"/>
      <c r="Z205" s="454"/>
      <c r="AA205" s="454"/>
    </row>
    <row r="206" spans="2:29" x14ac:dyDescent="0.2">
      <c r="C206" s="454"/>
      <c r="D206" s="454"/>
      <c r="E206" s="454"/>
      <c r="F206" s="454"/>
      <c r="G206" s="454"/>
      <c r="H206" s="454"/>
      <c r="I206" s="454"/>
      <c r="J206" s="454"/>
      <c r="K206" s="454"/>
      <c r="L206" s="454"/>
      <c r="M206" s="454"/>
      <c r="N206" s="454"/>
      <c r="O206" s="454"/>
      <c r="P206" s="454"/>
      <c r="Q206" s="454"/>
      <c r="R206" s="454"/>
      <c r="S206" s="454"/>
      <c r="T206" s="454"/>
      <c r="U206" s="454"/>
      <c r="V206" s="454"/>
      <c r="W206" s="454"/>
      <c r="X206" s="454"/>
      <c r="Y206" s="454"/>
      <c r="Z206" s="454"/>
      <c r="AA206" s="454"/>
    </row>
    <row r="208" spans="2:29" x14ac:dyDescent="0.2">
      <c r="B208" s="63"/>
      <c r="C208" s="1" t="s">
        <v>61</v>
      </c>
      <c r="H208" s="360" t="s">
        <v>179</v>
      </c>
      <c r="I208" s="360"/>
      <c r="J208" s="360"/>
      <c r="K208" s="360"/>
      <c r="L208" s="360"/>
      <c r="M208" s="360"/>
      <c r="N208" s="360"/>
      <c r="O208" s="360"/>
      <c r="P208" s="360"/>
      <c r="Q208" s="360"/>
      <c r="R208" s="360"/>
      <c r="S208" s="360"/>
      <c r="T208" s="360"/>
      <c r="U208" s="360"/>
      <c r="V208" s="360"/>
      <c r="W208" s="360"/>
      <c r="X208" s="360"/>
      <c r="Y208" s="360"/>
      <c r="Z208" s="360"/>
      <c r="AA208" s="360"/>
      <c r="AC208" s="3">
        <f>IF(AND(B208="✔",N213&gt;=10),2,IF(AND(B208="✔",N213&gt;=5),1,0))</f>
        <v>0</v>
      </c>
    </row>
    <row r="209" spans="2:29" x14ac:dyDescent="0.2">
      <c r="C209" s="1" t="s">
        <v>91</v>
      </c>
      <c r="H209" s="360"/>
      <c r="I209" s="360"/>
      <c r="J209" s="360"/>
      <c r="K209" s="360"/>
      <c r="L209" s="360"/>
      <c r="M209" s="360"/>
      <c r="N209" s="360"/>
      <c r="O209" s="360"/>
      <c r="P209" s="360"/>
      <c r="Q209" s="360"/>
      <c r="R209" s="360"/>
      <c r="S209" s="360"/>
      <c r="T209" s="360"/>
      <c r="U209" s="360"/>
      <c r="V209" s="360"/>
      <c r="W209" s="360"/>
      <c r="X209" s="360"/>
      <c r="Y209" s="360"/>
      <c r="Z209" s="360"/>
      <c r="AA209" s="360"/>
    </row>
    <row r="210" spans="2:29" x14ac:dyDescent="0.2">
      <c r="C210" s="361" t="s">
        <v>162</v>
      </c>
      <c r="D210" s="362"/>
      <c r="E210" s="363"/>
      <c r="F210" s="52" t="str">
        <f>IF(AC208=0,"",AC208)</f>
        <v/>
      </c>
      <c r="H210" s="360"/>
      <c r="I210" s="360"/>
      <c r="J210" s="360"/>
      <c r="K210" s="360"/>
      <c r="L210" s="360"/>
      <c r="M210" s="360"/>
      <c r="N210" s="360"/>
      <c r="O210" s="360"/>
      <c r="P210" s="360"/>
      <c r="Q210" s="360"/>
      <c r="R210" s="360"/>
      <c r="S210" s="360"/>
      <c r="T210" s="360"/>
      <c r="U210" s="360"/>
      <c r="V210" s="360"/>
      <c r="W210" s="360"/>
      <c r="X210" s="360"/>
      <c r="Y210" s="360"/>
      <c r="Z210" s="360"/>
      <c r="AA210" s="360"/>
    </row>
    <row r="211" spans="2:29" ht="13.5" customHeight="1" x14ac:dyDescent="0.2">
      <c r="H211" s="453"/>
      <c r="I211" s="453"/>
      <c r="J211" s="453"/>
      <c r="K211" s="453"/>
      <c r="L211" s="453"/>
      <c r="M211" s="453"/>
      <c r="N211" s="453"/>
      <c r="O211" s="453"/>
      <c r="P211" s="360"/>
      <c r="Q211" s="360"/>
      <c r="R211" s="360"/>
      <c r="S211" s="360"/>
      <c r="T211" s="360"/>
      <c r="U211" s="360"/>
      <c r="V211" s="360"/>
      <c r="W211" s="360"/>
      <c r="X211" s="360"/>
      <c r="Y211" s="360"/>
      <c r="Z211" s="360"/>
      <c r="AA211" s="360"/>
    </row>
    <row r="212" spans="2:29" x14ac:dyDescent="0.2">
      <c r="H212" s="453"/>
      <c r="I212" s="453"/>
      <c r="J212" s="453"/>
      <c r="K212" s="453"/>
      <c r="L212" s="453"/>
      <c r="M212" s="453"/>
      <c r="N212" s="453"/>
      <c r="O212" s="453"/>
      <c r="P212" s="453"/>
      <c r="Q212" s="453"/>
      <c r="R212" s="453"/>
      <c r="S212" s="453"/>
      <c r="T212" s="453"/>
      <c r="U212" s="453"/>
      <c r="V212" s="453"/>
      <c r="W212" s="453"/>
      <c r="X212" s="453"/>
      <c r="Y212" s="453"/>
      <c r="Z212" s="453"/>
      <c r="AA212" s="453"/>
    </row>
    <row r="213" spans="2:29" x14ac:dyDescent="0.2">
      <c r="G213" s="1" t="s">
        <v>98</v>
      </c>
      <c r="N213" s="343"/>
      <c r="O213" s="344"/>
      <c r="P213" s="345"/>
      <c r="Q213" s="1" t="s">
        <v>87</v>
      </c>
      <c r="AB213" s="4" t="str">
        <f>IF(AND(B208="✔",N213=""),"←見付面積を入力してください。","")</f>
        <v/>
      </c>
    </row>
    <row r="214" spans="2:29" x14ac:dyDescent="0.2">
      <c r="C214" s="454" t="s">
        <v>186</v>
      </c>
      <c r="D214" s="454"/>
      <c r="E214" s="454"/>
      <c r="F214" s="454"/>
      <c r="G214" s="454"/>
      <c r="H214" s="454"/>
      <c r="I214" s="454"/>
      <c r="J214" s="454"/>
      <c r="K214" s="454"/>
      <c r="L214" s="454"/>
      <c r="M214" s="454"/>
      <c r="N214" s="454"/>
      <c r="O214" s="454"/>
      <c r="P214" s="454"/>
      <c r="Q214" s="454"/>
      <c r="R214" s="454"/>
      <c r="S214" s="454"/>
      <c r="T214" s="454"/>
      <c r="U214" s="454"/>
      <c r="V214" s="454"/>
      <c r="W214" s="454"/>
      <c r="X214" s="454"/>
      <c r="Y214" s="454"/>
      <c r="Z214" s="454"/>
      <c r="AA214" s="454"/>
    </row>
    <row r="215" spans="2:29" x14ac:dyDescent="0.2">
      <c r="C215" s="454"/>
      <c r="D215" s="454"/>
      <c r="E215" s="454"/>
      <c r="F215" s="454"/>
      <c r="G215" s="454"/>
      <c r="H215" s="454"/>
      <c r="I215" s="454"/>
      <c r="J215" s="454"/>
      <c r="K215" s="454"/>
      <c r="L215" s="454"/>
      <c r="M215" s="454"/>
      <c r="N215" s="454"/>
      <c r="O215" s="454"/>
      <c r="P215" s="454"/>
      <c r="Q215" s="454"/>
      <c r="R215" s="454"/>
      <c r="S215" s="454"/>
      <c r="T215" s="454"/>
      <c r="U215" s="454"/>
      <c r="V215" s="454"/>
      <c r="W215" s="454"/>
      <c r="X215" s="454"/>
      <c r="Y215" s="454"/>
      <c r="Z215" s="454"/>
      <c r="AA215" s="454"/>
    </row>
    <row r="216" spans="2:29" x14ac:dyDescent="0.2">
      <c r="C216" s="454"/>
      <c r="D216" s="454"/>
      <c r="E216" s="454"/>
      <c r="F216" s="454"/>
      <c r="G216" s="454"/>
      <c r="H216" s="454"/>
      <c r="I216" s="454"/>
      <c r="J216" s="454"/>
      <c r="K216" s="454"/>
      <c r="L216" s="454"/>
      <c r="M216" s="454"/>
      <c r="N216" s="454"/>
      <c r="O216" s="454"/>
      <c r="P216" s="454"/>
      <c r="Q216" s="454"/>
      <c r="R216" s="454"/>
      <c r="S216" s="454"/>
      <c r="T216" s="454"/>
      <c r="U216" s="454"/>
      <c r="V216" s="454"/>
      <c r="W216" s="454"/>
      <c r="X216" s="454"/>
      <c r="Y216" s="454"/>
      <c r="Z216" s="454"/>
      <c r="AA216" s="454"/>
    </row>
    <row r="217" spans="2:29" x14ac:dyDescent="0.2">
      <c r="C217" s="48"/>
      <c r="D217" s="48"/>
      <c r="E217" s="48"/>
      <c r="F217" s="48"/>
      <c r="G217" s="48"/>
      <c r="H217" s="48"/>
      <c r="I217" s="48"/>
      <c r="J217" s="48"/>
      <c r="K217" s="48"/>
      <c r="L217" s="48"/>
      <c r="M217" s="48"/>
      <c r="N217" s="48"/>
      <c r="O217" s="48"/>
      <c r="P217" s="48"/>
      <c r="Q217" s="48"/>
      <c r="R217" s="48"/>
      <c r="S217" s="48"/>
      <c r="T217" s="48"/>
      <c r="U217" s="48"/>
      <c r="V217" s="48"/>
      <c r="W217" s="48"/>
      <c r="X217" s="48"/>
      <c r="Y217" s="48"/>
      <c r="Z217" s="48"/>
      <c r="AA217" s="48"/>
    </row>
    <row r="218" spans="2:29" x14ac:dyDescent="0.2">
      <c r="B218" s="63"/>
      <c r="C218" s="1" t="s">
        <v>99</v>
      </c>
      <c r="H218" s="360" t="s">
        <v>177</v>
      </c>
      <c r="I218" s="360"/>
      <c r="J218" s="360"/>
      <c r="K218" s="360"/>
      <c r="L218" s="360"/>
      <c r="M218" s="360"/>
      <c r="N218" s="360"/>
      <c r="O218" s="360"/>
      <c r="P218" s="360"/>
      <c r="Q218" s="360"/>
      <c r="R218" s="360"/>
      <c r="S218" s="360"/>
      <c r="T218" s="360"/>
      <c r="U218" s="360"/>
      <c r="V218" s="360"/>
      <c r="W218" s="360"/>
      <c r="X218" s="360"/>
      <c r="Y218" s="360"/>
      <c r="Z218" s="360"/>
      <c r="AA218" s="360"/>
      <c r="AC218" s="3">
        <f>IF(AND(B218="✔",N220&gt;=6),1,0)</f>
        <v>0</v>
      </c>
    </row>
    <row r="219" spans="2:29" x14ac:dyDescent="0.2">
      <c r="C219" s="1" t="s">
        <v>100</v>
      </c>
      <c r="H219" s="360"/>
      <c r="I219" s="360"/>
      <c r="J219" s="360"/>
      <c r="K219" s="360"/>
      <c r="L219" s="360"/>
      <c r="M219" s="360"/>
      <c r="N219" s="360"/>
      <c r="O219" s="360"/>
      <c r="P219" s="360"/>
      <c r="Q219" s="360"/>
      <c r="R219" s="360"/>
      <c r="S219" s="360"/>
      <c r="T219" s="360"/>
      <c r="U219" s="360"/>
      <c r="V219" s="360"/>
      <c r="W219" s="360"/>
      <c r="X219" s="360"/>
      <c r="Y219" s="360"/>
      <c r="Z219" s="360"/>
      <c r="AA219" s="360"/>
    </row>
    <row r="220" spans="2:29" x14ac:dyDescent="0.2">
      <c r="C220" s="361" t="s">
        <v>162</v>
      </c>
      <c r="D220" s="362"/>
      <c r="E220" s="363"/>
      <c r="F220" s="52" t="str">
        <f>IF(AC218=0,"",AC218)</f>
        <v/>
      </c>
      <c r="I220" s="1" t="s">
        <v>101</v>
      </c>
      <c r="N220" s="343"/>
      <c r="O220" s="344"/>
      <c r="P220" s="345"/>
      <c r="Q220" s="1" t="s">
        <v>102</v>
      </c>
      <c r="AB220" s="4" t="str">
        <f>IF(AND(B218="✔",N220=""),"←畳の数量を入力してください。","")</f>
        <v/>
      </c>
    </row>
    <row r="221" spans="2:29" x14ac:dyDescent="0.2">
      <c r="C221" s="454" t="s">
        <v>187</v>
      </c>
      <c r="D221" s="454"/>
      <c r="E221" s="454"/>
      <c r="F221" s="454"/>
      <c r="G221" s="454"/>
      <c r="H221" s="454"/>
      <c r="I221" s="454"/>
      <c r="J221" s="454"/>
      <c r="K221" s="454"/>
      <c r="L221" s="454"/>
      <c r="M221" s="454"/>
      <c r="N221" s="454"/>
      <c r="O221" s="454"/>
      <c r="P221" s="454"/>
      <c r="Q221" s="454"/>
      <c r="R221" s="454"/>
      <c r="S221" s="454"/>
      <c r="T221" s="454"/>
      <c r="U221" s="454"/>
      <c r="V221" s="454"/>
      <c r="W221" s="454"/>
      <c r="X221" s="454"/>
      <c r="Y221" s="454"/>
      <c r="Z221" s="454"/>
      <c r="AA221" s="454"/>
    </row>
    <row r="222" spans="2:29" x14ac:dyDescent="0.2">
      <c r="C222" s="454"/>
      <c r="D222" s="454"/>
      <c r="E222" s="454"/>
      <c r="F222" s="454"/>
      <c r="G222" s="454"/>
      <c r="H222" s="454"/>
      <c r="I222" s="454"/>
      <c r="J222" s="454"/>
      <c r="K222" s="454"/>
      <c r="L222" s="454"/>
      <c r="M222" s="454"/>
      <c r="N222" s="454"/>
      <c r="O222" s="454"/>
      <c r="P222" s="454"/>
      <c r="Q222" s="454"/>
      <c r="R222" s="454"/>
      <c r="S222" s="454"/>
      <c r="T222" s="454"/>
      <c r="U222" s="454"/>
      <c r="V222" s="454"/>
      <c r="W222" s="454"/>
      <c r="X222" s="454"/>
      <c r="Y222" s="454"/>
      <c r="Z222" s="454"/>
      <c r="AA222" s="454"/>
    </row>
    <row r="223" spans="2:29" x14ac:dyDescent="0.2">
      <c r="C223" s="454"/>
      <c r="D223" s="454"/>
      <c r="E223" s="454"/>
      <c r="F223" s="454"/>
      <c r="G223" s="454"/>
      <c r="H223" s="454"/>
      <c r="I223" s="454"/>
      <c r="J223" s="454"/>
      <c r="K223" s="454"/>
      <c r="L223" s="454"/>
      <c r="M223" s="454"/>
      <c r="N223" s="454"/>
      <c r="O223" s="454"/>
      <c r="P223" s="454"/>
      <c r="Q223" s="454"/>
      <c r="R223" s="454"/>
      <c r="S223" s="454"/>
      <c r="T223" s="454"/>
      <c r="U223" s="454"/>
      <c r="V223" s="454"/>
      <c r="W223" s="454"/>
      <c r="X223" s="454"/>
      <c r="Y223" s="454"/>
      <c r="Z223" s="454"/>
      <c r="AA223" s="454"/>
    </row>
    <row r="224" spans="2:29" ht="6" customHeight="1" x14ac:dyDescent="0.2"/>
    <row r="225" spans="2:29" ht="13.5" customHeight="1" x14ac:dyDescent="0.2">
      <c r="B225" s="63"/>
      <c r="C225" s="458" t="s">
        <v>174</v>
      </c>
      <c r="D225" s="459"/>
      <c r="E225" s="459"/>
      <c r="F225" s="459"/>
      <c r="G225" s="459"/>
      <c r="H225" s="467" t="s">
        <v>498</v>
      </c>
      <c r="I225" s="467"/>
      <c r="J225" s="467"/>
      <c r="K225" s="467"/>
      <c r="L225" s="467"/>
      <c r="M225" s="467"/>
      <c r="N225" s="467"/>
      <c r="O225" s="467"/>
      <c r="P225" s="467"/>
      <c r="Q225" s="467"/>
      <c r="R225" s="467"/>
      <c r="S225" s="467"/>
      <c r="T225" s="467"/>
      <c r="U225" s="467"/>
      <c r="V225" s="467"/>
      <c r="W225" s="467"/>
      <c r="X225" s="467"/>
      <c r="Y225" s="467"/>
      <c r="Z225" s="467"/>
      <c r="AA225" s="467"/>
      <c r="AC225" s="3">
        <f>IF(AND(B225="✔",N231&gt;=20),2,IF(AND(B225="✔",N231&gt;=10),1,0))</f>
        <v>0</v>
      </c>
    </row>
    <row r="226" spans="2:29" ht="13.5" customHeight="1" x14ac:dyDescent="0.2">
      <c r="C226" s="1" t="s">
        <v>91</v>
      </c>
      <c r="H226" s="467"/>
      <c r="I226" s="467"/>
      <c r="J226" s="467"/>
      <c r="K226" s="467"/>
      <c r="L226" s="467"/>
      <c r="M226" s="467"/>
      <c r="N226" s="467"/>
      <c r="O226" s="467"/>
      <c r="P226" s="467"/>
      <c r="Q226" s="467"/>
      <c r="R226" s="467"/>
      <c r="S226" s="467"/>
      <c r="T226" s="467"/>
      <c r="U226" s="467"/>
      <c r="V226" s="467"/>
      <c r="W226" s="467"/>
      <c r="X226" s="467"/>
      <c r="Y226" s="467"/>
      <c r="Z226" s="467"/>
      <c r="AA226" s="467"/>
    </row>
    <row r="227" spans="2:29" x14ac:dyDescent="0.2">
      <c r="C227" s="361" t="s">
        <v>162</v>
      </c>
      <c r="D227" s="362"/>
      <c r="E227" s="363"/>
      <c r="F227" s="52" t="str">
        <f>IF(AC225=0,"",AC225)</f>
        <v/>
      </c>
      <c r="H227" s="467"/>
      <c r="I227" s="467"/>
      <c r="J227" s="467"/>
      <c r="K227" s="467"/>
      <c r="L227" s="467"/>
      <c r="M227" s="467"/>
      <c r="N227" s="467"/>
      <c r="O227" s="467"/>
      <c r="P227" s="467"/>
      <c r="Q227" s="467"/>
      <c r="R227" s="467"/>
      <c r="S227" s="467"/>
      <c r="T227" s="467"/>
      <c r="U227" s="467"/>
      <c r="V227" s="467"/>
      <c r="W227" s="467"/>
      <c r="X227" s="467"/>
      <c r="Y227" s="467"/>
      <c r="Z227" s="467"/>
      <c r="AA227" s="467"/>
    </row>
    <row r="228" spans="2:29" x14ac:dyDescent="0.2">
      <c r="D228" s="38"/>
      <c r="E228" s="38"/>
      <c r="F228" s="38"/>
      <c r="H228" s="467"/>
      <c r="I228" s="467"/>
      <c r="J228" s="467"/>
      <c r="K228" s="467"/>
      <c r="L228" s="467"/>
      <c r="M228" s="467"/>
      <c r="N228" s="467"/>
      <c r="O228" s="467"/>
      <c r="P228" s="467"/>
      <c r="Q228" s="467"/>
      <c r="R228" s="467"/>
      <c r="S228" s="467"/>
      <c r="T228" s="467"/>
      <c r="U228" s="467"/>
      <c r="V228" s="467"/>
      <c r="W228" s="467"/>
      <c r="X228" s="467"/>
      <c r="Y228" s="467"/>
      <c r="Z228" s="467"/>
      <c r="AA228" s="467"/>
    </row>
    <row r="229" spans="2:29" ht="13.5" customHeight="1" x14ac:dyDescent="0.2">
      <c r="H229" s="467"/>
      <c r="I229" s="467"/>
      <c r="J229" s="467"/>
      <c r="K229" s="467"/>
      <c r="L229" s="467"/>
      <c r="M229" s="467"/>
      <c r="N229" s="467"/>
      <c r="O229" s="467"/>
      <c r="P229" s="467"/>
      <c r="Q229" s="467"/>
      <c r="R229" s="467"/>
      <c r="S229" s="467"/>
      <c r="T229" s="467"/>
      <c r="U229" s="467"/>
      <c r="V229" s="467"/>
      <c r="W229" s="467"/>
      <c r="X229" s="467"/>
      <c r="Y229" s="467"/>
      <c r="Z229" s="467"/>
      <c r="AA229" s="467"/>
    </row>
    <row r="230" spans="2:29" x14ac:dyDescent="0.2">
      <c r="C230" s="360" t="s">
        <v>173</v>
      </c>
      <c r="D230" s="360"/>
      <c r="E230" s="360"/>
      <c r="F230" s="360"/>
      <c r="G230" s="360"/>
      <c r="H230" s="360"/>
      <c r="I230" s="360"/>
      <c r="J230" s="360"/>
      <c r="K230" s="360"/>
      <c r="L230" s="360"/>
    </row>
    <row r="231" spans="2:29" x14ac:dyDescent="0.2">
      <c r="C231" s="360"/>
      <c r="D231" s="360"/>
      <c r="E231" s="360"/>
      <c r="F231" s="360"/>
      <c r="G231" s="360"/>
      <c r="H231" s="360"/>
      <c r="I231" s="360"/>
      <c r="J231" s="360"/>
      <c r="K231" s="360"/>
      <c r="L231" s="360"/>
      <c r="N231" s="343"/>
      <c r="O231" s="344"/>
      <c r="P231" s="345"/>
      <c r="Q231" s="1" t="s">
        <v>87</v>
      </c>
      <c r="AB231" s="4" t="str">
        <f>IF(AND(B225="✔",N231=""),"←小屋組又は床組みの県産材構造現し見上げ面積を入力してください。","")</f>
        <v/>
      </c>
    </row>
    <row r="232" spans="2:29" ht="42" customHeight="1" x14ac:dyDescent="0.2">
      <c r="C232" s="454" t="s">
        <v>497</v>
      </c>
      <c r="D232" s="454"/>
      <c r="E232" s="454"/>
      <c r="F232" s="454"/>
      <c r="G232" s="454"/>
      <c r="H232" s="454"/>
      <c r="I232" s="454"/>
      <c r="J232" s="454"/>
      <c r="K232" s="454"/>
      <c r="L232" s="454"/>
      <c r="M232" s="454"/>
      <c r="N232" s="454"/>
      <c r="O232" s="454"/>
      <c r="P232" s="454"/>
      <c r="Q232" s="454"/>
      <c r="R232" s="454"/>
      <c r="S232" s="454"/>
      <c r="T232" s="454"/>
      <c r="U232" s="454"/>
      <c r="V232" s="454"/>
      <c r="W232" s="454"/>
      <c r="X232" s="454"/>
      <c r="Y232" s="454"/>
      <c r="Z232" s="454"/>
      <c r="AA232" s="454"/>
    </row>
    <row r="233" spans="2:29" x14ac:dyDescent="0.2">
      <c r="B233" s="465" t="s">
        <v>163</v>
      </c>
      <c r="C233" s="465"/>
      <c r="D233" s="465"/>
      <c r="E233" s="465"/>
      <c r="F233" s="53" t="str">
        <f>IF(SUM(F182,F187,F194,F202,F210,F220,F227)=0,"",SUM(F182,F187,F194,F202,F210,F220,F227))</f>
        <v/>
      </c>
      <c r="G233" s="49"/>
      <c r="H233" s="49"/>
      <c r="I233" s="49"/>
      <c r="J233" s="49"/>
      <c r="K233" s="49"/>
      <c r="L233" s="49"/>
      <c r="M233" s="49"/>
      <c r="N233" s="49"/>
      <c r="O233" s="49"/>
      <c r="P233" s="49"/>
      <c r="Q233" s="49"/>
      <c r="R233" s="49"/>
      <c r="S233" s="49"/>
      <c r="T233" s="49"/>
      <c r="U233" s="49"/>
      <c r="V233" s="49"/>
      <c r="W233" s="49"/>
      <c r="X233" s="49"/>
      <c r="Y233" s="49"/>
      <c r="Z233" s="49"/>
      <c r="AA233" s="49"/>
    </row>
    <row r="234" spans="2:29" x14ac:dyDescent="0.2">
      <c r="C234" s="49"/>
      <c r="D234" s="49"/>
      <c r="E234" s="49"/>
      <c r="F234" s="49"/>
      <c r="G234" s="49"/>
      <c r="H234" s="49"/>
      <c r="I234" s="49"/>
      <c r="J234" s="49"/>
      <c r="K234" s="49"/>
      <c r="L234" s="49"/>
      <c r="M234" s="49"/>
      <c r="N234" s="49"/>
      <c r="O234" s="49"/>
      <c r="P234" s="49"/>
      <c r="Q234" s="49"/>
      <c r="R234" s="49"/>
      <c r="S234" s="49"/>
      <c r="T234" s="49"/>
      <c r="U234" s="49"/>
      <c r="V234" s="49"/>
      <c r="W234" s="49"/>
      <c r="X234" s="49"/>
      <c r="Y234" s="49"/>
      <c r="Z234" s="49"/>
      <c r="AA234" s="5" t="s">
        <v>69</v>
      </c>
    </row>
    <row r="235" spans="2:29" x14ac:dyDescent="0.2">
      <c r="K235" s="466">
        <f>IFERROR(IF(T239="","",T239+T240),T239)</f>
        <v>0</v>
      </c>
      <c r="L235" s="466"/>
      <c r="M235" s="466"/>
    </row>
    <row r="236" spans="2:29" x14ac:dyDescent="0.2">
      <c r="C236" s="1" t="s">
        <v>198</v>
      </c>
      <c r="K236" s="466"/>
      <c r="L236" s="466"/>
      <c r="M236" s="466"/>
      <c r="N236" s="1" t="s">
        <v>64</v>
      </c>
      <c r="AB236" s="62">
        <f>SUM(AB173,AB146,AB128,AB102,AB108,AB106,AB101)</f>
        <v>0</v>
      </c>
    </row>
    <row r="238" spans="2:29" x14ac:dyDescent="0.2">
      <c r="D238" s="1" t="s">
        <v>263</v>
      </c>
    </row>
    <row r="239" spans="2:29" ht="27" customHeight="1" x14ac:dyDescent="0.2">
      <c r="D239" s="469" t="s">
        <v>264</v>
      </c>
      <c r="E239" s="470"/>
      <c r="F239" s="470"/>
      <c r="G239" s="470"/>
      <c r="H239" s="470"/>
      <c r="I239" s="470"/>
      <c r="J239" s="470"/>
      <c r="K239" s="470"/>
      <c r="L239" s="470"/>
      <c r="M239" s="470"/>
      <c r="N239" s="470"/>
      <c r="O239" s="470"/>
      <c r="P239" s="470"/>
      <c r="Q239" s="470"/>
      <c r="R239" s="470"/>
      <c r="S239" s="471"/>
      <c r="T239" s="472">
        <f>IF(Y109="",0,MIN(SUM(Y109,Y128,Y146,Y173),100))</f>
        <v>0</v>
      </c>
      <c r="U239" s="473"/>
      <c r="V239" s="473"/>
      <c r="W239" s="10" t="s">
        <v>0</v>
      </c>
      <c r="X239" s="11"/>
    </row>
    <row r="240" spans="2:29" ht="28.5" customHeight="1" x14ac:dyDescent="0.2">
      <c r="D240" s="474" t="s">
        <v>265</v>
      </c>
      <c r="E240" s="475"/>
      <c r="F240" s="475"/>
      <c r="G240" s="475"/>
      <c r="H240" s="475"/>
      <c r="I240" s="475"/>
      <c r="J240" s="475"/>
      <c r="K240" s="475"/>
      <c r="L240" s="475"/>
      <c r="M240" s="475"/>
      <c r="N240" s="475"/>
      <c r="O240" s="475"/>
      <c r="P240" s="475"/>
      <c r="Q240" s="475"/>
      <c r="R240" s="475"/>
      <c r="S240" s="475"/>
      <c r="T240" s="472">
        <f>IF(B88="",IF(B63="",0,AB240),AB240)</f>
        <v>0</v>
      </c>
      <c r="U240" s="473"/>
      <c r="V240" s="473"/>
      <c r="W240" s="10" t="s">
        <v>0</v>
      </c>
      <c r="X240" s="11"/>
      <c r="AB240" s="3" t="str">
        <f>IF(U52="","",IF(AND(B57="",B60=""),"",IF(AND(B57="✔",B60="✔"),"error",IF(B69="✔",IF(U52="T-G1",5,IF(U52="T-G2",15,IF(U52="T-G3",25,0))),(IF(U52="T-G1",10,IF(U52="T-G2",30,IF(U52="T-G3",50,0)))))))+IF(B65="",IF(B67="",IF(B69="",IF(B71="",(IF(U57="『ZEH』",50,IF(U57="Nearly ZEH（多雪地域に限る）",50,0))))))))</f>
        <v/>
      </c>
    </row>
    <row r="243" spans="1:27" x14ac:dyDescent="0.2">
      <c r="A243" s="13" t="s">
        <v>76</v>
      </c>
    </row>
    <row r="245" spans="1:27" x14ac:dyDescent="0.2">
      <c r="C245" s="1" t="s">
        <v>465</v>
      </c>
    </row>
    <row r="246" spans="1:27" x14ac:dyDescent="0.2">
      <c r="C246" s="22" t="s">
        <v>105</v>
      </c>
    </row>
    <row r="248" spans="1:27" x14ac:dyDescent="0.2">
      <c r="C248" s="1" t="s">
        <v>201</v>
      </c>
    </row>
    <row r="249" spans="1:27" x14ac:dyDescent="0.2">
      <c r="C249" s="1" t="s">
        <v>462</v>
      </c>
    </row>
    <row r="250" spans="1:27" hidden="1" x14ac:dyDescent="0.2">
      <c r="C250" s="1" t="e">
        <f>IF(#REF!="有","他に利用する補助金一覧表（様式第６号別紙）","")</f>
        <v>#REF!</v>
      </c>
    </row>
    <row r="251" spans="1:27" x14ac:dyDescent="0.2">
      <c r="C251" s="1" t="str">
        <f>IF(I47="要","検査済み証の写し",IF(I47="不要","建築工事届の写し",""))</f>
        <v/>
      </c>
    </row>
    <row r="252" spans="1:27" x14ac:dyDescent="0.2">
      <c r="C252" s="1" t="str">
        <f>IF(B84="✔","変更後の各階平面図、配置図","")</f>
        <v/>
      </c>
    </row>
    <row r="253" spans="1:27" x14ac:dyDescent="0.2">
      <c r="C253" s="1" t="s">
        <v>202</v>
      </c>
    </row>
    <row r="254" spans="1:27" x14ac:dyDescent="0.2">
      <c r="C254" s="1" t="s">
        <v>493</v>
      </c>
    </row>
    <row r="255" spans="1:27" ht="26.25" customHeight="1" x14ac:dyDescent="0.2">
      <c r="C255" s="456" t="str">
        <f>IF(B90="","","県内プレカット加工証明書（様式第９号）の原本若しくはその写し又はプレカット工場が記載された県産材の産地証明書写し")</f>
        <v/>
      </c>
      <c r="D255" s="456"/>
      <c r="E255" s="456"/>
      <c r="F255" s="456"/>
      <c r="G255" s="456"/>
      <c r="H255" s="456"/>
      <c r="I255" s="456"/>
      <c r="J255" s="456"/>
      <c r="K255" s="456"/>
      <c r="L255" s="456"/>
      <c r="M255" s="456"/>
      <c r="N255" s="456"/>
      <c r="O255" s="456"/>
      <c r="P255" s="456"/>
      <c r="Q255" s="456"/>
      <c r="R255" s="456"/>
      <c r="S255" s="456"/>
      <c r="T255" s="456"/>
      <c r="U255" s="456"/>
      <c r="V255" s="456"/>
      <c r="W255" s="456"/>
      <c r="X255" s="456"/>
      <c r="Y255" s="456"/>
      <c r="Z255" s="456"/>
      <c r="AA255" s="456"/>
    </row>
    <row r="256" spans="1:27" ht="32.700000000000003" customHeight="1" x14ac:dyDescent="0.2">
      <c r="C256" s="456" t="str">
        <f>IF(Y106="","","鳥取県木材協同組合連合会が発行する日本農林規格県産材（ＪＡＳ格付及び含水率20%以下）であることを証明する書類等")</f>
        <v/>
      </c>
      <c r="D256" s="456"/>
      <c r="E256" s="456"/>
      <c r="F256" s="456"/>
      <c r="G256" s="456"/>
      <c r="H256" s="456"/>
      <c r="I256" s="456"/>
      <c r="J256" s="456"/>
      <c r="K256" s="456"/>
      <c r="L256" s="456"/>
      <c r="M256" s="456"/>
      <c r="N256" s="456"/>
      <c r="O256" s="456"/>
      <c r="P256" s="456"/>
      <c r="Q256" s="456"/>
      <c r="R256" s="456"/>
      <c r="S256" s="456"/>
      <c r="T256" s="456"/>
      <c r="U256" s="456"/>
      <c r="V256" s="456"/>
      <c r="W256" s="456"/>
      <c r="X256" s="456"/>
      <c r="Y256" s="456"/>
      <c r="Z256" s="456"/>
      <c r="AA256" s="456"/>
    </row>
    <row r="257" spans="3:55" x14ac:dyDescent="0.2">
      <c r="C257" s="456" t="str">
        <f>IF(Y107="","","県産ヤング係数確認構造材一覧表（様式第８号）又は同等の内容を記載した証明書類若しくはその写し")</f>
        <v/>
      </c>
      <c r="D257" s="456"/>
      <c r="E257" s="456"/>
      <c r="F257" s="456"/>
      <c r="G257" s="456"/>
      <c r="H257" s="456"/>
      <c r="I257" s="456"/>
      <c r="J257" s="456"/>
      <c r="K257" s="456"/>
      <c r="L257" s="456"/>
      <c r="M257" s="456"/>
      <c r="N257" s="456"/>
      <c r="O257" s="456"/>
      <c r="P257" s="456"/>
      <c r="Q257" s="456"/>
      <c r="R257" s="456"/>
      <c r="S257" s="456"/>
      <c r="T257" s="456"/>
      <c r="U257" s="456"/>
      <c r="V257" s="456"/>
      <c r="W257" s="456"/>
      <c r="X257" s="456"/>
      <c r="Y257" s="456"/>
      <c r="Z257" s="456"/>
      <c r="AA257" s="456"/>
    </row>
    <row r="258" spans="3:55" x14ac:dyDescent="0.2">
      <c r="C258" s="456" t="str">
        <f>IF(Q107="","","県産CLT材であることを証明する書類（納品書等）")</f>
        <v/>
      </c>
      <c r="D258" s="456"/>
      <c r="E258" s="456"/>
      <c r="F258" s="456"/>
      <c r="G258" s="456"/>
      <c r="H258" s="456"/>
      <c r="I258" s="456"/>
      <c r="J258" s="456"/>
      <c r="K258" s="456"/>
      <c r="L258" s="456"/>
      <c r="M258" s="456"/>
      <c r="N258" s="456"/>
      <c r="O258" s="456"/>
      <c r="P258" s="456"/>
      <c r="Q258" s="456"/>
      <c r="R258" s="456"/>
      <c r="S258" s="456"/>
      <c r="T258" s="456"/>
      <c r="U258" s="456"/>
      <c r="V258" s="456"/>
      <c r="W258" s="456"/>
      <c r="X258" s="456"/>
      <c r="Y258" s="456"/>
      <c r="Z258" s="456"/>
      <c r="AA258" s="456"/>
    </row>
    <row r="259" spans="3:55" ht="44.25" customHeight="1" x14ac:dyDescent="0.2">
      <c r="C259" s="360" t="str">
        <f>IF(Q108="","","県産内外装材の見付面積及び使用場所を図示した立面図、展開図等の図面並びに含水率の測定結果写真（日本農林規格県産材であることを証明する書類の写しで含水率20%以下であることを証することができる場合を除く。）、内外装材に係る県産材の産地証明書の写し")</f>
        <v/>
      </c>
      <c r="D259" s="360"/>
      <c r="E259" s="360"/>
      <c r="F259" s="360"/>
      <c r="G259" s="360"/>
      <c r="H259" s="360"/>
      <c r="I259" s="360"/>
      <c r="J259" s="360"/>
      <c r="K259" s="360"/>
      <c r="L259" s="360"/>
      <c r="M259" s="360"/>
      <c r="N259" s="360"/>
      <c r="O259" s="360"/>
      <c r="P259" s="360"/>
      <c r="Q259" s="360"/>
      <c r="R259" s="360"/>
      <c r="S259" s="360"/>
      <c r="T259" s="360"/>
      <c r="U259" s="360"/>
      <c r="V259" s="360"/>
      <c r="W259" s="360"/>
      <c r="X259" s="360"/>
      <c r="Y259" s="360"/>
      <c r="Z259" s="360"/>
      <c r="AA259" s="360"/>
      <c r="AB259" s="68" t="s">
        <v>205</v>
      </c>
      <c r="AC259" s="68"/>
      <c r="AD259" s="68"/>
      <c r="AE259" s="68"/>
      <c r="AF259" s="68"/>
      <c r="AG259" s="68"/>
      <c r="AH259" s="68"/>
      <c r="AI259" s="68"/>
      <c r="AJ259" s="68"/>
      <c r="AK259" s="68"/>
    </row>
    <row r="260" spans="3:55" ht="13.5" customHeight="1" x14ac:dyDescent="0.2">
      <c r="C260" s="360" t="str">
        <f>IF(AC260="はい","登録住宅を購入した場合は、その購入契約書の写し","")</f>
        <v>登録住宅を購入した場合は、その購入契約書の写し</v>
      </c>
      <c r="D260" s="360"/>
      <c r="E260" s="360"/>
      <c r="F260" s="360"/>
      <c r="G260" s="360"/>
      <c r="H260" s="360"/>
      <c r="I260" s="360"/>
      <c r="J260" s="360"/>
      <c r="K260" s="360"/>
      <c r="L260" s="360"/>
      <c r="M260" s="360"/>
      <c r="N260" s="360"/>
      <c r="O260" s="360"/>
      <c r="P260" s="360"/>
      <c r="Q260" s="360"/>
      <c r="R260" s="360"/>
      <c r="S260" s="360"/>
      <c r="T260" s="360"/>
      <c r="U260" s="360"/>
      <c r="V260" s="360"/>
      <c r="W260" s="360"/>
      <c r="X260" s="360"/>
      <c r="Y260" s="360"/>
      <c r="Z260" s="360"/>
      <c r="AA260" s="360"/>
      <c r="AB260" s="68" t="s">
        <v>204</v>
      </c>
      <c r="AC260" s="69" t="s">
        <v>508</v>
      </c>
      <c r="AE260" s="68" t="s">
        <v>206</v>
      </c>
      <c r="AT260" s="1"/>
      <c r="AU260" s="1"/>
      <c r="AV260" s="1"/>
      <c r="AW260" s="1"/>
      <c r="AX260" s="1"/>
      <c r="AY260" s="1"/>
      <c r="AZ260" s="1"/>
      <c r="BA260" s="1"/>
      <c r="BB260" s="1"/>
      <c r="BC260" s="1"/>
    </row>
    <row r="261" spans="3:55" ht="13.5" customHeight="1" x14ac:dyDescent="0.2">
      <c r="C261" s="360"/>
      <c r="D261" s="360"/>
      <c r="E261" s="360"/>
      <c r="F261" s="360"/>
      <c r="G261" s="360"/>
      <c r="H261" s="360"/>
      <c r="I261" s="360"/>
      <c r="J261" s="360"/>
      <c r="K261" s="360"/>
      <c r="L261" s="360"/>
      <c r="M261" s="360"/>
      <c r="N261" s="360"/>
      <c r="O261" s="360"/>
      <c r="P261" s="360"/>
      <c r="Q261" s="360"/>
      <c r="R261" s="360"/>
      <c r="S261" s="360"/>
      <c r="T261" s="360"/>
      <c r="U261" s="360"/>
      <c r="V261" s="360"/>
      <c r="W261" s="360"/>
      <c r="X261" s="360"/>
      <c r="Y261" s="360"/>
      <c r="Z261" s="360"/>
      <c r="AA261" s="360"/>
      <c r="AB261" s="68"/>
      <c r="AC261" s="111"/>
      <c r="AE261" s="68"/>
      <c r="AT261" s="1"/>
      <c r="AU261" s="1"/>
      <c r="AV261" s="1"/>
      <c r="AW261" s="1"/>
      <c r="AX261" s="1"/>
      <c r="AY261" s="1"/>
      <c r="AZ261" s="1"/>
      <c r="BA261" s="1"/>
      <c r="BB261" s="1"/>
      <c r="BC261" s="1"/>
    </row>
    <row r="262" spans="3:55" ht="13.5" customHeight="1" x14ac:dyDescent="0.2">
      <c r="C262" s="360" t="str">
        <f>IF(OR(Y128=0,Y128=""),"","補助対象住宅に転居後の世帯全員の住民票")</f>
        <v/>
      </c>
      <c r="D262" s="360"/>
      <c r="E262" s="360"/>
      <c r="F262" s="360"/>
      <c r="G262" s="360"/>
      <c r="H262" s="360"/>
      <c r="I262" s="360"/>
      <c r="J262" s="360"/>
      <c r="K262" s="360"/>
      <c r="L262" s="360"/>
      <c r="M262" s="360"/>
      <c r="N262" s="360"/>
      <c r="O262" s="360"/>
      <c r="P262" s="360"/>
      <c r="Q262" s="360"/>
      <c r="R262" s="360"/>
      <c r="S262" s="360"/>
      <c r="T262" s="360"/>
      <c r="U262" s="360"/>
      <c r="V262" s="360"/>
      <c r="W262" s="360"/>
      <c r="X262" s="360"/>
      <c r="Y262" s="360"/>
      <c r="Z262" s="360"/>
      <c r="AA262" s="360"/>
    </row>
    <row r="263" spans="3:55" ht="13.5" customHeight="1" x14ac:dyDescent="0.2">
      <c r="C263" s="360" t="str">
        <f>IF(AND(Y128=10,B130="",P130="✔"),"申請者の戸籍抄本、申請者の戸籍謄本","")</f>
        <v/>
      </c>
      <c r="D263" s="360"/>
      <c r="E263" s="360"/>
      <c r="F263" s="360"/>
      <c r="G263" s="360"/>
      <c r="H263" s="360"/>
      <c r="I263" s="360"/>
      <c r="J263" s="360"/>
      <c r="K263" s="360"/>
      <c r="L263" s="360"/>
      <c r="M263" s="360"/>
      <c r="N263" s="360"/>
      <c r="O263" s="360"/>
      <c r="P263" s="360"/>
      <c r="Q263" s="360"/>
      <c r="R263" s="360"/>
      <c r="S263" s="360"/>
      <c r="T263" s="360"/>
      <c r="U263" s="360"/>
      <c r="V263" s="360"/>
      <c r="W263" s="360"/>
      <c r="X263" s="360"/>
      <c r="Y263" s="360"/>
      <c r="Z263" s="360"/>
      <c r="AA263" s="360"/>
      <c r="AB263" s="67" t="str">
        <f>IF(C263="","","申請者の戸籍抄本、申請者の戸籍謄本、誓約書のうちいづれか一つを添付してください。")</f>
        <v/>
      </c>
      <c r="AI263" s="1"/>
    </row>
    <row r="264" spans="3:55" ht="13.5" customHeight="1" x14ac:dyDescent="0.2">
      <c r="C264" s="360" t="str">
        <f>IF(Y146="","","補助対象住宅に転居後の同居又は近居の対象となる直系親族世帯全員の住民票")</f>
        <v/>
      </c>
      <c r="D264" s="360"/>
      <c r="E264" s="360"/>
      <c r="F264" s="360"/>
      <c r="G264" s="360"/>
      <c r="H264" s="360"/>
      <c r="I264" s="360"/>
      <c r="J264" s="360"/>
      <c r="K264" s="360"/>
      <c r="L264" s="360"/>
      <c r="M264" s="360"/>
      <c r="N264" s="360"/>
      <c r="O264" s="360"/>
      <c r="P264" s="360"/>
      <c r="Q264" s="360"/>
      <c r="R264" s="360"/>
      <c r="S264" s="360"/>
      <c r="T264" s="360"/>
      <c r="U264" s="360"/>
      <c r="V264" s="360"/>
      <c r="W264" s="360"/>
      <c r="X264" s="360"/>
      <c r="Y264" s="360"/>
      <c r="Z264" s="360"/>
      <c r="AA264" s="360"/>
    </row>
    <row r="265" spans="3:55" ht="30.75" customHeight="1" x14ac:dyDescent="0.2">
      <c r="C265" s="360" t="str">
        <f>IF(B149="✔","同居又は近居する直系親族世帯全員の住民票の写し　（補助対象住宅に転居後のもの）
同居又は近居する直系親族と姓が異なる場合は、申請者の戸籍謄本等直系親族とわかる書類","")</f>
        <v/>
      </c>
      <c r="D265" s="360"/>
      <c r="E265" s="360"/>
      <c r="F265" s="360"/>
      <c r="G265" s="360"/>
      <c r="H265" s="360"/>
      <c r="I265" s="360"/>
      <c r="J265" s="360"/>
      <c r="K265" s="360"/>
      <c r="L265" s="360"/>
      <c r="M265" s="360"/>
      <c r="N265" s="360"/>
      <c r="O265" s="360"/>
      <c r="P265" s="360"/>
      <c r="Q265" s="360"/>
      <c r="R265" s="360"/>
      <c r="S265" s="360"/>
      <c r="T265" s="360"/>
      <c r="U265" s="360"/>
      <c r="V265" s="360"/>
      <c r="W265" s="360"/>
      <c r="X265" s="360"/>
      <c r="Y265" s="360"/>
      <c r="Z265" s="360"/>
      <c r="AA265" s="360"/>
    </row>
    <row r="266" spans="3:55" ht="13.5" customHeight="1" x14ac:dyDescent="0.2">
      <c r="C266" s="360" t="str">
        <f>IF(AND(B177="✔",OR(B185="✔",B192="✔",B200="✔",B208="✔",B218="✔",B225="✔")),"各伝統技能（手刻み加工を除く。）の施工面積及び施工箇所を図示した立面図、展開図等の図面","")</f>
        <v/>
      </c>
      <c r="D266" s="360"/>
      <c r="E266" s="360"/>
      <c r="F266" s="360"/>
      <c r="G266" s="360"/>
      <c r="H266" s="360"/>
      <c r="I266" s="360"/>
      <c r="J266" s="360"/>
      <c r="K266" s="360"/>
      <c r="L266" s="360"/>
      <c r="M266" s="360"/>
      <c r="N266" s="360"/>
      <c r="O266" s="360"/>
      <c r="P266" s="360"/>
      <c r="Q266" s="360"/>
      <c r="R266" s="360"/>
      <c r="S266" s="360"/>
      <c r="T266" s="360"/>
      <c r="U266" s="360"/>
      <c r="V266" s="360"/>
      <c r="W266" s="360"/>
      <c r="X266" s="360"/>
      <c r="Y266" s="360"/>
      <c r="Z266" s="360"/>
      <c r="AA266" s="360"/>
    </row>
    <row r="267" spans="3:55" ht="13.5" customHeight="1" x14ac:dyDescent="0.2">
      <c r="C267" s="360" t="str">
        <f>IF(B180="","","手刻み加工で仕口、継手等を加工している写真（建築主名を記載した工事看板を写し込んだもの）")</f>
        <v/>
      </c>
      <c r="D267" s="360"/>
      <c r="E267" s="360"/>
      <c r="F267" s="360"/>
      <c r="G267" s="360"/>
      <c r="H267" s="360"/>
      <c r="I267" s="360"/>
      <c r="J267" s="360"/>
      <c r="K267" s="360"/>
      <c r="L267" s="360"/>
      <c r="M267" s="360"/>
      <c r="N267" s="360"/>
      <c r="O267" s="360"/>
      <c r="P267" s="360"/>
      <c r="Q267" s="360"/>
      <c r="R267" s="360"/>
      <c r="S267" s="360"/>
      <c r="T267" s="360"/>
      <c r="U267" s="360"/>
      <c r="V267" s="360"/>
      <c r="W267" s="360"/>
      <c r="X267" s="360"/>
      <c r="Y267" s="360"/>
      <c r="Z267" s="360"/>
      <c r="AA267" s="360"/>
    </row>
    <row r="268" spans="3:55" ht="13.5" customHeight="1" x14ac:dyDescent="0.2">
      <c r="C268" s="360" t="str">
        <f>IF(B185="","","下見板張り施工後の写真（建築主名を記載した工事看板を写し込んだもの）")</f>
        <v/>
      </c>
      <c r="D268" s="360"/>
      <c r="E268" s="360"/>
      <c r="F268" s="360"/>
      <c r="G268" s="360"/>
      <c r="H268" s="360"/>
      <c r="I268" s="360"/>
      <c r="J268" s="360"/>
      <c r="K268" s="360"/>
      <c r="L268" s="360"/>
      <c r="M268" s="360"/>
      <c r="N268" s="360"/>
      <c r="O268" s="360"/>
      <c r="P268" s="360"/>
      <c r="Q268" s="360"/>
      <c r="R268" s="360"/>
      <c r="S268" s="360"/>
      <c r="T268" s="360"/>
      <c r="U268" s="360"/>
      <c r="V268" s="360"/>
      <c r="W268" s="360"/>
      <c r="X268" s="360"/>
      <c r="Y268" s="360"/>
      <c r="Z268" s="360"/>
      <c r="AA268" s="360"/>
    </row>
    <row r="269" spans="3:55" ht="13.5" customHeight="1" x14ac:dyDescent="0.2">
      <c r="C269" s="360" t="str">
        <f>IF(B192="","","左官仕上げのこて塗りが確認できる施工状況写真（建築主名を記載した工事看板を写し込んだもの）")</f>
        <v/>
      </c>
      <c r="D269" s="360"/>
      <c r="E269" s="360"/>
      <c r="F269" s="360"/>
      <c r="G269" s="360"/>
      <c r="H269" s="360"/>
      <c r="I269" s="360"/>
      <c r="J269" s="360"/>
      <c r="K269" s="360"/>
      <c r="L269" s="360"/>
      <c r="M269" s="360"/>
      <c r="N269" s="360"/>
      <c r="O269" s="360"/>
      <c r="P269" s="360"/>
      <c r="Q269" s="360"/>
      <c r="R269" s="360"/>
      <c r="S269" s="360"/>
      <c r="T269" s="360"/>
      <c r="U269" s="360"/>
      <c r="V269" s="360"/>
      <c r="W269" s="360"/>
      <c r="X269" s="360"/>
      <c r="Y269" s="360"/>
      <c r="Z269" s="360"/>
      <c r="AA269" s="360"/>
      <c r="AB269" s="67" t="str">
        <f>IF(C269="","","こて塗りで実際施工中の写真を添付してください（建築主名記載の工事看板入り）。")</f>
        <v/>
      </c>
    </row>
    <row r="270" spans="3:55" ht="30.75" customHeight="1" x14ac:dyDescent="0.2">
      <c r="C270" s="360" t="str">
        <f>IF(B200="","","瓦の留め付け状況及び棟の補強金物及び屋根下地への緊結状況がわかる写真（建築主名を記載した工事看板を写し込んだもの）")</f>
        <v/>
      </c>
      <c r="D270" s="360"/>
      <c r="E270" s="360"/>
      <c r="F270" s="360"/>
      <c r="G270" s="360"/>
      <c r="H270" s="360"/>
      <c r="I270" s="360"/>
      <c r="J270" s="360"/>
      <c r="K270" s="360"/>
      <c r="L270" s="360"/>
      <c r="M270" s="360"/>
      <c r="N270" s="360"/>
      <c r="O270" s="360"/>
      <c r="P270" s="360"/>
      <c r="Q270" s="360"/>
      <c r="R270" s="360"/>
      <c r="S270" s="360"/>
      <c r="T270" s="360"/>
      <c r="U270" s="360"/>
      <c r="V270" s="360"/>
      <c r="W270" s="360"/>
      <c r="X270" s="360"/>
      <c r="Y270" s="360"/>
      <c r="Z270" s="360"/>
      <c r="AA270" s="360"/>
      <c r="AB270" s="67" t="str">
        <f>IF(C270="","","瓦の施工作業中の写真を添付してください（建築主名記載の工事看板入り）。")</f>
        <v/>
      </c>
    </row>
    <row r="271" spans="3:55" ht="39" customHeight="1" x14ac:dyDescent="0.2">
      <c r="C271" s="360" t="str">
        <f>IF(B208="","","木製建具の種類及び見付面積が確認できる資料、設置完了後の写真（建具の種類ごとに建築主名、建具業者名及び建具の名称を記載した工事看板を写し込んだもの）及び当該木製建具に係る納品書の写し")</f>
        <v/>
      </c>
      <c r="D271" s="360"/>
      <c r="E271" s="360"/>
      <c r="F271" s="360"/>
      <c r="G271" s="360"/>
      <c r="H271" s="360"/>
      <c r="I271" s="360"/>
      <c r="J271" s="360"/>
      <c r="K271" s="360"/>
      <c r="L271" s="360"/>
      <c r="M271" s="360"/>
      <c r="N271" s="360"/>
      <c r="O271" s="360"/>
      <c r="P271" s="360"/>
      <c r="Q271" s="360"/>
      <c r="R271" s="360"/>
      <c r="S271" s="360"/>
      <c r="T271" s="360"/>
      <c r="U271" s="360"/>
      <c r="V271" s="360"/>
      <c r="W271" s="360"/>
      <c r="X271" s="360"/>
      <c r="Y271" s="360"/>
      <c r="Z271" s="360"/>
      <c r="AA271" s="360"/>
    </row>
    <row r="272" spans="3:55" ht="26.25" customHeight="1" x14ac:dyDescent="0.2">
      <c r="C272" s="360" t="str">
        <f>IF(B218="","","畳の設置完了後の写真（建築主名、畳業者名を記載した看板を写し込んだもの）及び当該畳に係る納品書の写し")</f>
        <v/>
      </c>
      <c r="D272" s="360"/>
      <c r="E272" s="360"/>
      <c r="F272" s="360"/>
      <c r="G272" s="360"/>
      <c r="H272" s="360"/>
      <c r="I272" s="360"/>
      <c r="J272" s="360"/>
      <c r="K272" s="360"/>
      <c r="L272" s="360"/>
      <c r="M272" s="360"/>
      <c r="N272" s="360"/>
      <c r="O272" s="360"/>
      <c r="P272" s="360"/>
      <c r="Q272" s="360"/>
      <c r="R272" s="360"/>
      <c r="S272" s="360"/>
      <c r="T272" s="360"/>
      <c r="U272" s="360"/>
      <c r="V272" s="360"/>
      <c r="W272" s="360"/>
      <c r="X272" s="360"/>
      <c r="Y272" s="360"/>
      <c r="Z272" s="360"/>
      <c r="AA272" s="360"/>
    </row>
    <row r="273" spans="1:55" ht="42.75" customHeight="1" x14ac:dyDescent="0.2">
      <c r="C273" s="360" t="str">
        <f>IF(B225="","","構造材現し　施工後の写真（建築主名を記載した工事看板を写し込んだもの）並びに主要なはり、桁及び母屋を記載した伏図（小屋伏図及び床伏図をいう。）に、居室で構造材現しになっているものを色分けした資料")</f>
        <v/>
      </c>
      <c r="D273" s="360"/>
      <c r="E273" s="360"/>
      <c r="F273" s="360"/>
      <c r="G273" s="360"/>
      <c r="H273" s="360"/>
      <c r="I273" s="360"/>
      <c r="J273" s="360"/>
      <c r="K273" s="360"/>
      <c r="L273" s="360"/>
      <c r="M273" s="360"/>
      <c r="N273" s="360"/>
      <c r="O273" s="360"/>
      <c r="P273" s="360"/>
      <c r="Q273" s="360"/>
      <c r="R273" s="360"/>
      <c r="S273" s="360"/>
      <c r="T273" s="360"/>
      <c r="U273" s="360"/>
      <c r="V273" s="360"/>
      <c r="W273" s="360"/>
      <c r="X273" s="360"/>
      <c r="Y273" s="360"/>
      <c r="Z273" s="360"/>
      <c r="AA273" s="360"/>
    </row>
    <row r="274" spans="1:55" ht="13.5" customHeight="1" x14ac:dyDescent="0.2">
      <c r="C274" s="453" t="str">
        <f>IF(AC275="はい","現地審査に関する通知書（竣工時）の写し","")</f>
        <v/>
      </c>
      <c r="D274" s="453"/>
      <c r="E274" s="453"/>
      <c r="F274" s="453"/>
      <c r="G274" s="453"/>
      <c r="H274" s="453"/>
      <c r="I274" s="453"/>
      <c r="J274" s="453"/>
      <c r="K274" s="453"/>
      <c r="L274" s="453"/>
      <c r="M274" s="453"/>
      <c r="N274" s="453"/>
      <c r="O274" s="453"/>
      <c r="P274" s="453"/>
      <c r="Q274" s="453"/>
      <c r="R274" s="453"/>
      <c r="S274" s="453"/>
      <c r="T274" s="453"/>
      <c r="U274" s="453"/>
      <c r="V274" s="453"/>
      <c r="W274" s="453"/>
      <c r="X274" s="453"/>
      <c r="Y274" s="453"/>
      <c r="Z274" s="453"/>
      <c r="AA274" s="453"/>
      <c r="AB274" s="68" t="s">
        <v>203</v>
      </c>
      <c r="AC274" s="68"/>
      <c r="AD274" s="68"/>
      <c r="AE274" s="68"/>
      <c r="AF274" s="68"/>
      <c r="AG274" s="68"/>
      <c r="AH274" s="68"/>
      <c r="AI274" s="68"/>
      <c r="AJ274" s="68"/>
      <c r="AK274" s="68"/>
    </row>
    <row r="275" spans="1:55" ht="13.5" customHeight="1" x14ac:dyDescent="0.2">
      <c r="C275" s="1" t="str">
        <f>IF(B57="","","ZEHを証する書類")</f>
        <v/>
      </c>
      <c r="AB275" s="68" t="s">
        <v>204</v>
      </c>
      <c r="AC275" s="69"/>
      <c r="AU275" s="1"/>
      <c r="AV275" s="1"/>
      <c r="AW275" s="1"/>
      <c r="AX275" s="1"/>
      <c r="AY275" s="1"/>
      <c r="AZ275" s="1"/>
      <c r="BA275" s="1"/>
      <c r="BB275" s="1"/>
      <c r="BC275" s="1"/>
    </row>
    <row r="276" spans="1:55" ht="13.5" customHeight="1" x14ac:dyDescent="0.2">
      <c r="C276" s="1" t="str">
        <f>IF(B52="","","とっとり健康省エネ住宅認定証の写し")</f>
        <v/>
      </c>
      <c r="AB276" s="68"/>
      <c r="AC276" s="111"/>
      <c r="AU276" s="1"/>
      <c r="AV276" s="1"/>
      <c r="AW276" s="1"/>
      <c r="AX276" s="1"/>
      <c r="AY276" s="1"/>
      <c r="AZ276" s="1"/>
      <c r="BA276" s="1"/>
      <c r="BB276" s="1"/>
      <c r="BC276" s="1"/>
    </row>
    <row r="277" spans="1:55" ht="13.5" customHeight="1" x14ac:dyDescent="0.2">
      <c r="C277" s="1" t="str">
        <f>IF(Q108="",IF(B63="","","県産内外装材の見付面積及び使用場所を示した立面図、展開図等の図面"),"")</f>
        <v/>
      </c>
      <c r="AB277" s="68"/>
      <c r="AC277" s="111"/>
      <c r="AU277" s="1"/>
      <c r="AV277" s="1"/>
      <c r="AW277" s="1"/>
      <c r="AX277" s="1"/>
      <c r="AY277" s="1"/>
      <c r="AZ277" s="1"/>
      <c r="BA277" s="1"/>
      <c r="BB277" s="1"/>
      <c r="BC277" s="1"/>
    </row>
    <row r="278" spans="1:55" ht="13.5" customHeight="1" x14ac:dyDescent="0.2">
      <c r="W278" s="49"/>
      <c r="X278" s="49"/>
      <c r="Y278" s="49"/>
      <c r="Z278" s="49"/>
      <c r="AA278" s="5"/>
    </row>
    <row r="279" spans="1:55" x14ac:dyDescent="0.2">
      <c r="A279" s="360" t="s">
        <v>466</v>
      </c>
      <c r="B279" s="360"/>
      <c r="C279" s="360"/>
      <c r="D279" s="360"/>
      <c r="E279" s="360"/>
      <c r="F279" s="360"/>
      <c r="G279" s="360"/>
      <c r="H279" s="360"/>
      <c r="I279" s="360"/>
      <c r="J279" s="360"/>
      <c r="K279" s="360"/>
      <c r="L279" s="360"/>
      <c r="M279" s="360"/>
      <c r="N279" s="360"/>
      <c r="O279" s="360"/>
      <c r="P279" s="360"/>
      <c r="Q279" s="360"/>
      <c r="R279" s="360"/>
      <c r="S279" s="360"/>
      <c r="T279" s="360"/>
      <c r="U279" s="360"/>
      <c r="V279" s="360"/>
      <c r="W279" s="360"/>
      <c r="X279" s="360"/>
      <c r="Y279" s="360"/>
      <c r="Z279" s="360"/>
      <c r="AA279" s="360"/>
    </row>
    <row r="280" spans="1:55" x14ac:dyDescent="0.2">
      <c r="A280" s="360"/>
      <c r="B280" s="360"/>
      <c r="C280" s="360"/>
      <c r="D280" s="360"/>
      <c r="E280" s="360"/>
      <c r="F280" s="360"/>
      <c r="G280" s="360"/>
      <c r="H280" s="360"/>
      <c r="I280" s="360"/>
      <c r="J280" s="360"/>
      <c r="K280" s="360"/>
      <c r="L280" s="360"/>
      <c r="M280" s="360"/>
      <c r="N280" s="360"/>
      <c r="O280" s="360"/>
      <c r="P280" s="360"/>
      <c r="Q280" s="360"/>
      <c r="R280" s="360"/>
      <c r="S280" s="360"/>
      <c r="T280" s="360"/>
      <c r="U280" s="360"/>
      <c r="V280" s="360"/>
      <c r="W280" s="360"/>
      <c r="X280" s="360"/>
      <c r="Y280" s="360"/>
      <c r="Z280" s="360"/>
      <c r="AA280" s="360"/>
    </row>
    <row r="282" spans="1:55" ht="17.25" customHeight="1" x14ac:dyDescent="0.2">
      <c r="J282" s="457" t="s">
        <v>196</v>
      </c>
      <c r="K282" s="414"/>
      <c r="L282" s="414"/>
      <c r="M282" s="414"/>
      <c r="N282" s="414"/>
      <c r="O282" s="414"/>
      <c r="P282" s="414"/>
      <c r="Q282" s="414"/>
      <c r="R282" s="414"/>
      <c r="S282" s="414"/>
      <c r="T282" s="414"/>
      <c r="U282" s="414"/>
      <c r="V282" s="414"/>
      <c r="W282" s="414"/>
      <c r="X282" s="414"/>
      <c r="Y282" s="414"/>
      <c r="Z282" s="414"/>
      <c r="AA282" s="414"/>
      <c r="AB282" s="4" t="str">
        <f>IF(P282="","←工事監理者氏名（工事監理者が不要な場合は工事施工者氏名を選択し、当該内容）を入力してください。","")</f>
        <v>←工事監理者氏名（工事監理者が不要な場合は工事施工者氏名を選択し、当該内容）を入力してください。</v>
      </c>
    </row>
    <row r="283" spans="1:55" ht="17.25" customHeight="1" x14ac:dyDescent="0.2">
      <c r="J283" s="413" t="s">
        <v>164</v>
      </c>
      <c r="K283" s="413"/>
      <c r="L283" s="413"/>
      <c r="M283" s="413"/>
      <c r="N283" s="413"/>
      <c r="O283" s="413"/>
      <c r="P283" s="414"/>
      <c r="Q283" s="414"/>
      <c r="R283" s="414"/>
      <c r="S283" s="414"/>
      <c r="T283" s="414"/>
      <c r="U283" s="414"/>
      <c r="V283" s="414"/>
      <c r="W283" s="414"/>
      <c r="X283" s="414"/>
      <c r="Y283" s="414"/>
      <c r="Z283" s="414"/>
      <c r="AA283" s="414"/>
      <c r="AB283" s="4" t="str">
        <f>IF(P283="","←建築士事務所名を入力してください。","")</f>
        <v>←建築士事務所名を入力してください。</v>
      </c>
    </row>
    <row r="284" spans="1:55" ht="17.25" customHeight="1" x14ac:dyDescent="0.2">
      <c r="J284" s="369" t="s">
        <v>165</v>
      </c>
      <c r="K284" s="370"/>
      <c r="L284" s="370"/>
      <c r="M284" s="370"/>
      <c r="N284" s="370"/>
      <c r="O284" s="371"/>
      <c r="P284" s="347" t="s">
        <v>49</v>
      </c>
      <c r="Q284" s="348"/>
      <c r="R284" s="348"/>
      <c r="S284" s="348"/>
      <c r="T284" s="344"/>
      <c r="U284" s="344"/>
      <c r="V284" s="344"/>
      <c r="W284" s="344"/>
      <c r="X284" s="344"/>
      <c r="Y284" s="344"/>
      <c r="Z284" s="344"/>
      <c r="AA284" s="345"/>
      <c r="AB284" s="4" t="str">
        <f>IF(T284="","←建築士事務所の登録区分を選択（１級、２級、木造）してください。","")</f>
        <v>←建築士事務所の登録区分を選択（１級、２級、木造）してください。</v>
      </c>
    </row>
    <row r="285" spans="1:55" ht="17.25" customHeight="1" x14ac:dyDescent="0.2">
      <c r="J285" s="460"/>
      <c r="K285" s="461"/>
      <c r="L285" s="461"/>
      <c r="M285" s="461"/>
      <c r="N285" s="461"/>
      <c r="O285" s="462"/>
      <c r="P285" s="347" t="s">
        <v>167</v>
      </c>
      <c r="Q285" s="348"/>
      <c r="R285" s="348"/>
      <c r="S285" s="348"/>
      <c r="T285" s="344"/>
      <c r="U285" s="344"/>
      <c r="V285" s="344"/>
      <c r="W285" s="344"/>
      <c r="X285" s="344"/>
      <c r="Y285" s="344"/>
      <c r="Z285" s="348" t="s">
        <v>168</v>
      </c>
      <c r="AA285" s="349"/>
      <c r="AB285" s="4" t="str">
        <f>IF(T285="","←建築士事務所の登録を受けた都道府県名入力してください。","")</f>
        <v>←建築士事務所の登録を受けた都道府県名入力してください。</v>
      </c>
    </row>
    <row r="286" spans="1:55" ht="17.25" customHeight="1" x14ac:dyDescent="0.2">
      <c r="J286" s="372"/>
      <c r="K286" s="373"/>
      <c r="L286" s="373"/>
      <c r="M286" s="373"/>
      <c r="N286" s="373"/>
      <c r="O286" s="374"/>
      <c r="P286" s="347" t="s">
        <v>166</v>
      </c>
      <c r="Q286" s="348"/>
      <c r="R286" s="348"/>
      <c r="S286" s="348"/>
      <c r="T286" s="463"/>
      <c r="U286" s="463"/>
      <c r="V286" s="463"/>
      <c r="W286" s="463"/>
      <c r="X286" s="463"/>
      <c r="Y286" s="463"/>
      <c r="Z286" s="463"/>
      <c r="AA286" s="464"/>
      <c r="AB286" s="4" t="str">
        <f>IF(T286="","←建築士事務所の登録番号を入力してください。","")</f>
        <v>←建築士事務所の登録番号を入力してください。</v>
      </c>
    </row>
    <row r="287" spans="1:55" x14ac:dyDescent="0.2">
      <c r="A287" s="1" t="s">
        <v>188</v>
      </c>
    </row>
    <row r="288" spans="1:55" ht="31.5" customHeight="1" x14ac:dyDescent="0.2">
      <c r="A288" s="360" t="s">
        <v>197</v>
      </c>
      <c r="B288" s="360"/>
      <c r="C288" s="360"/>
      <c r="D288" s="360"/>
      <c r="E288" s="360"/>
      <c r="F288" s="360"/>
      <c r="G288" s="360"/>
      <c r="H288" s="360"/>
      <c r="I288" s="360"/>
      <c r="J288" s="360"/>
      <c r="K288" s="360"/>
      <c r="L288" s="360"/>
      <c r="M288" s="360"/>
      <c r="N288" s="360"/>
      <c r="O288" s="360"/>
      <c r="P288" s="360"/>
      <c r="Q288" s="360"/>
      <c r="R288" s="360"/>
      <c r="S288" s="360"/>
      <c r="T288" s="360"/>
      <c r="U288" s="360"/>
      <c r="V288" s="360"/>
      <c r="W288" s="360"/>
      <c r="X288" s="360"/>
      <c r="Y288" s="360"/>
      <c r="Z288" s="360"/>
      <c r="AA288" s="360"/>
    </row>
  </sheetData>
  <sheetProtection algorithmName="SHA-512" hashValue="jJ0QrOUStR9wrOcmivjwGo9cnQuPazXGjQE/WuKNFtSWA8Y+HoqQCpDfkjPrB73StkPKx4mWROQYQB/JflH/jA==" saltValue="zGnbFwLInL6uPRReSyhq8w==" spinCount="100000" sheet="1" selectLockedCells="1"/>
  <mergeCells count="226">
    <mergeCell ref="D39:H39"/>
    <mergeCell ref="L39:U39"/>
    <mergeCell ref="D239:S239"/>
    <mergeCell ref="T239:V239"/>
    <mergeCell ref="D240:S240"/>
    <mergeCell ref="T240:V240"/>
    <mergeCell ref="N203:P203"/>
    <mergeCell ref="R196:U196"/>
    <mergeCell ref="H208:AA210"/>
    <mergeCell ref="N213:P213"/>
    <mergeCell ref="C202:E202"/>
    <mergeCell ref="C210:E210"/>
    <mergeCell ref="C221:AA223"/>
    <mergeCell ref="C232:AA232"/>
    <mergeCell ref="I203:L203"/>
    <mergeCell ref="C190:AA190"/>
    <mergeCell ref="N189:P189"/>
    <mergeCell ref="C227:E227"/>
    <mergeCell ref="R197:U197"/>
    <mergeCell ref="V196:Z196"/>
    <mergeCell ref="V197:Z197"/>
    <mergeCell ref="H218:AA219"/>
    <mergeCell ref="N220:P220"/>
    <mergeCell ref="C204:AA206"/>
    <mergeCell ref="A288:AA288"/>
    <mergeCell ref="P284:S284"/>
    <mergeCell ref="J282:O282"/>
    <mergeCell ref="P282:AA282"/>
    <mergeCell ref="J283:O283"/>
    <mergeCell ref="P283:AA283"/>
    <mergeCell ref="C225:G225"/>
    <mergeCell ref="T284:AA284"/>
    <mergeCell ref="C260:AA260"/>
    <mergeCell ref="C263:AA263"/>
    <mergeCell ref="C262:AA262"/>
    <mergeCell ref="C255:AA255"/>
    <mergeCell ref="J284:O286"/>
    <mergeCell ref="T285:Y285"/>
    <mergeCell ref="Z285:AA285"/>
    <mergeCell ref="P286:S286"/>
    <mergeCell ref="T286:AA286"/>
    <mergeCell ref="P285:S285"/>
    <mergeCell ref="B233:E233"/>
    <mergeCell ref="A279:AA280"/>
    <mergeCell ref="K235:M236"/>
    <mergeCell ref="H225:AA229"/>
    <mergeCell ref="C230:L231"/>
    <mergeCell ref="N231:P231"/>
    <mergeCell ref="H211:O211"/>
    <mergeCell ref="P211:AA211"/>
    <mergeCell ref="H212:O212"/>
    <mergeCell ref="P212:AA212"/>
    <mergeCell ref="C220:E220"/>
    <mergeCell ref="C214:AA216"/>
    <mergeCell ref="C256:AA256"/>
    <mergeCell ref="C257:AA257"/>
    <mergeCell ref="C258:AA258"/>
    <mergeCell ref="C259:AA259"/>
    <mergeCell ref="C274:AA274"/>
    <mergeCell ref="C264:AA264"/>
    <mergeCell ref="C266:AA266"/>
    <mergeCell ref="C267:AA267"/>
    <mergeCell ref="C268:AA268"/>
    <mergeCell ref="C269:AA269"/>
    <mergeCell ref="C273:AA273"/>
    <mergeCell ref="C270:AA270"/>
    <mergeCell ref="C271:AA271"/>
    <mergeCell ref="C272:AA272"/>
    <mergeCell ref="C261:AA261"/>
    <mergeCell ref="C265:AA265"/>
    <mergeCell ref="C182:E182"/>
    <mergeCell ref="H200:AA201"/>
    <mergeCell ref="N188:S188"/>
    <mergeCell ref="H180:AA182"/>
    <mergeCell ref="B172:X173"/>
    <mergeCell ref="H186:O186"/>
    <mergeCell ref="H187:O187"/>
    <mergeCell ref="P186:AA186"/>
    <mergeCell ref="P187:AA187"/>
    <mergeCell ref="C174:AA175"/>
    <mergeCell ref="Y171:AA172"/>
    <mergeCell ref="Y173:Z173"/>
    <mergeCell ref="N196:P196"/>
    <mergeCell ref="N197:P197"/>
    <mergeCell ref="C183:AA183"/>
    <mergeCell ref="C187:E187"/>
    <mergeCell ref="C194:E194"/>
    <mergeCell ref="H9:I9"/>
    <mergeCell ref="K9:L9"/>
    <mergeCell ref="N13:Z13"/>
    <mergeCell ref="N14:Z14"/>
    <mergeCell ref="N12:Z12"/>
    <mergeCell ref="O11:Z11"/>
    <mergeCell ref="O31:R31"/>
    <mergeCell ref="W31:X31"/>
    <mergeCell ref="S31:V31"/>
    <mergeCell ref="C21:AA22"/>
    <mergeCell ref="E9:F9"/>
    <mergeCell ref="A17:AA17"/>
    <mergeCell ref="D30:H30"/>
    <mergeCell ref="I30:X30"/>
    <mergeCell ref="I36:X36"/>
    <mergeCell ref="I40:X40"/>
    <mergeCell ref="D31:H31"/>
    <mergeCell ref="V32:W32"/>
    <mergeCell ref="V33:W33"/>
    <mergeCell ref="R32:U32"/>
    <mergeCell ref="R33:U33"/>
    <mergeCell ref="S37:T37"/>
    <mergeCell ref="S38:T38"/>
    <mergeCell ref="V34:W34"/>
    <mergeCell ref="D37:H38"/>
    <mergeCell ref="L32:L33"/>
    <mergeCell ref="I34:N34"/>
    <mergeCell ref="S34:U34"/>
    <mergeCell ref="V37:W37"/>
    <mergeCell ref="N38:Q38"/>
    <mergeCell ref="I38:M38"/>
    <mergeCell ref="V38:W38"/>
    <mergeCell ref="D40:H40"/>
    <mergeCell ref="I32:K33"/>
    <mergeCell ref="N37:Q37"/>
    <mergeCell ref="I37:M37"/>
    <mergeCell ref="D34:H34"/>
    <mergeCell ref="D36:H36"/>
    <mergeCell ref="H165:N165"/>
    <mergeCell ref="O165:Z165"/>
    <mergeCell ref="B162:G163"/>
    <mergeCell ref="H162:N162"/>
    <mergeCell ref="O162:Z162"/>
    <mergeCell ref="H163:N163"/>
    <mergeCell ref="B164:G166"/>
    <mergeCell ref="H166:N166"/>
    <mergeCell ref="O166:Z166"/>
    <mergeCell ref="O163:Z163"/>
    <mergeCell ref="H164:N164"/>
    <mergeCell ref="O164:Z164"/>
    <mergeCell ref="D42:H42"/>
    <mergeCell ref="I43:X43"/>
    <mergeCell ref="I44:X44"/>
    <mergeCell ref="Y146:Z146"/>
    <mergeCell ref="Y144:AA145"/>
    <mergeCell ref="C141:Z142"/>
    <mergeCell ref="Q131:AA132"/>
    <mergeCell ref="C134:N135"/>
    <mergeCell ref="Y109:Z109"/>
    <mergeCell ref="Q108:T108"/>
    <mergeCell ref="Y128:Z128"/>
    <mergeCell ref="C137:N138"/>
    <mergeCell ref="Q137:AA138"/>
    <mergeCell ref="Y126:AA127"/>
    <mergeCell ref="Q134:AA135"/>
    <mergeCell ref="U108:X108"/>
    <mergeCell ref="I42:X42"/>
    <mergeCell ref="F108:P108"/>
    <mergeCell ref="D99:P99"/>
    <mergeCell ref="Y106:Z106"/>
    <mergeCell ref="E101:P101"/>
    <mergeCell ref="D43:H43"/>
    <mergeCell ref="U54:Z54"/>
    <mergeCell ref="U57:Z57"/>
    <mergeCell ref="A3:AA3"/>
    <mergeCell ref="A6:AA7"/>
    <mergeCell ref="D47:H47"/>
    <mergeCell ref="Y101:Z101"/>
    <mergeCell ref="Q101:T101"/>
    <mergeCell ref="D48:N48"/>
    <mergeCell ref="O48:Q48"/>
    <mergeCell ref="S48:T48"/>
    <mergeCell ref="V48:W48"/>
    <mergeCell ref="A4:AA4"/>
    <mergeCell ref="D91:H91"/>
    <mergeCell ref="I91:X91"/>
    <mergeCell ref="I29:X29"/>
    <mergeCell ref="D28:H29"/>
    <mergeCell ref="I28:L28"/>
    <mergeCell ref="M28:X28"/>
    <mergeCell ref="I31:N31"/>
    <mergeCell ref="M32:Q33"/>
    <mergeCell ref="D32:H33"/>
    <mergeCell ref="D44:H44"/>
    <mergeCell ref="I35:K35"/>
    <mergeCell ref="U101:X101"/>
    <mergeCell ref="I47:N47"/>
    <mergeCell ref="D100:P100"/>
    <mergeCell ref="U52:Z52"/>
    <mergeCell ref="U99:X100"/>
    <mergeCell ref="Q99:T99"/>
    <mergeCell ref="B95:AA96"/>
    <mergeCell ref="Y99:AA100"/>
    <mergeCell ref="Q100:T100"/>
    <mergeCell ref="D77:O77"/>
    <mergeCell ref="P77:T77"/>
    <mergeCell ref="U77:Z77"/>
    <mergeCell ref="D78:O78"/>
    <mergeCell ref="P78:T78"/>
    <mergeCell ref="U78:Z78"/>
    <mergeCell ref="D79:O79"/>
    <mergeCell ref="P79:T79"/>
    <mergeCell ref="U79:Z79"/>
    <mergeCell ref="D80:O80"/>
    <mergeCell ref="P80:T80"/>
    <mergeCell ref="U80:Z80"/>
    <mergeCell ref="D81:O81"/>
    <mergeCell ref="P81:T81"/>
    <mergeCell ref="U81:Z81"/>
    <mergeCell ref="D82:O82"/>
    <mergeCell ref="P82:T82"/>
    <mergeCell ref="U82:Z82"/>
    <mergeCell ref="F107:P107"/>
    <mergeCell ref="Y108:Z108"/>
    <mergeCell ref="A115:AA116"/>
    <mergeCell ref="F102:P102"/>
    <mergeCell ref="Q102:T102"/>
    <mergeCell ref="U102:X102"/>
    <mergeCell ref="Y102:Z102"/>
    <mergeCell ref="G103:P103"/>
    <mergeCell ref="Q103:T104"/>
    <mergeCell ref="U103:X104"/>
    <mergeCell ref="G104:P104"/>
    <mergeCell ref="G105:P105"/>
    <mergeCell ref="Q105:T106"/>
    <mergeCell ref="U105:X106"/>
    <mergeCell ref="G106:P106"/>
    <mergeCell ref="Q107:T107"/>
    <mergeCell ref="U107:X107"/>
  </mergeCells>
  <phoneticPr fontId="1"/>
  <conditionalFormatting sqref="B21">
    <cfRule type="containsBlanks" dxfId="101" priority="228">
      <formula>LEN(TRIM(B21))=0</formula>
    </cfRule>
  </conditionalFormatting>
  <conditionalFormatting sqref="B23">
    <cfRule type="containsBlanks" dxfId="100" priority="229">
      <formula>LEN(TRIM(B23))=0</formula>
    </cfRule>
  </conditionalFormatting>
  <conditionalFormatting sqref="B41">
    <cfRule type="containsBlanks" dxfId="99" priority="230">
      <formula>LEN(TRIM(B41))=0</formula>
    </cfRule>
  </conditionalFormatting>
  <conditionalFormatting sqref="B46">
    <cfRule type="containsBlanks" dxfId="98" priority="231">
      <formula>LEN(TRIM(B46))=0</formula>
    </cfRule>
  </conditionalFormatting>
  <conditionalFormatting sqref="B50">
    <cfRule type="containsBlanks" dxfId="97" priority="232">
      <formula>LEN(TRIM(B50))=0</formula>
    </cfRule>
  </conditionalFormatting>
  <conditionalFormatting sqref="B52">
    <cfRule type="containsBlanks" dxfId="96" priority="49">
      <formula>LEN(TRIM(B52))=0</formula>
    </cfRule>
  </conditionalFormatting>
  <conditionalFormatting sqref="B54">
    <cfRule type="containsBlanks" dxfId="95" priority="47">
      <formula>LEN(TRIM(B54))=0</formula>
    </cfRule>
  </conditionalFormatting>
  <conditionalFormatting sqref="B57">
    <cfRule type="containsBlanks" dxfId="94" priority="46">
      <formula>LEN(TRIM(B57))=0</formula>
    </cfRule>
  </conditionalFormatting>
  <conditionalFormatting sqref="B60">
    <cfRule type="containsBlanks" dxfId="93" priority="43">
      <formula>LEN(TRIM(B60))=0</formula>
    </cfRule>
  </conditionalFormatting>
  <conditionalFormatting sqref="B63">
    <cfRule type="containsBlanks" dxfId="92" priority="34">
      <formula>LEN(TRIM(B63))=0</formula>
    </cfRule>
  </conditionalFormatting>
  <conditionalFormatting sqref="B65">
    <cfRule type="containsBlanks" dxfId="91" priority="48">
      <formula>LEN(TRIM(B65))=0</formula>
    </cfRule>
  </conditionalFormatting>
  <conditionalFormatting sqref="B67">
    <cfRule type="containsBlanks" dxfId="90" priority="51">
      <formula>LEN(TRIM(B67))=0</formula>
    </cfRule>
  </conditionalFormatting>
  <conditionalFormatting sqref="B69">
    <cfRule type="containsBlanks" dxfId="89" priority="8">
      <formula>LEN(TRIM(B69))=0</formula>
    </cfRule>
  </conditionalFormatting>
  <conditionalFormatting sqref="B71">
    <cfRule type="containsBlanks" dxfId="88" priority="31">
      <formula>LEN(TRIM(B71))=0</formula>
    </cfRule>
  </conditionalFormatting>
  <conditionalFormatting sqref="B75">
    <cfRule type="containsBlanks" dxfId="87" priority="1">
      <formula>LEN(TRIM(B75))=0</formula>
    </cfRule>
  </conditionalFormatting>
  <conditionalFormatting sqref="B84">
    <cfRule type="containsBlanks" dxfId="86" priority="55">
      <formula>LEN(TRIM(B84))=0</formula>
    </cfRule>
  </conditionalFormatting>
  <conditionalFormatting sqref="B88">
    <cfRule type="containsBlanks" dxfId="85" priority="234">
      <formula>LEN(TRIM(B88))=0</formula>
    </cfRule>
  </conditionalFormatting>
  <conditionalFormatting sqref="B90">
    <cfRule type="containsBlanks" dxfId="84" priority="235">
      <formula>LEN(TRIM(B90))=0</formula>
    </cfRule>
  </conditionalFormatting>
  <conditionalFormatting sqref="B94">
    <cfRule type="containsBlanks" dxfId="83" priority="227">
      <formula>LEN(TRIM(B94))=0</formula>
    </cfRule>
  </conditionalFormatting>
  <conditionalFormatting sqref="B130">
    <cfRule type="containsBlanks" dxfId="82" priority="203">
      <formula>LEN(TRIM(B130))=0</formula>
    </cfRule>
  </conditionalFormatting>
  <conditionalFormatting sqref="B149">
    <cfRule type="containsBlanks" dxfId="81" priority="205">
      <formula>LEN(TRIM(B149))=0</formula>
    </cfRule>
  </conditionalFormatting>
  <conditionalFormatting sqref="B151">
    <cfRule type="containsBlanks" dxfId="80" priority="206">
      <formula>LEN(TRIM(B151))=0</formula>
    </cfRule>
  </conditionalFormatting>
  <conditionalFormatting sqref="B153">
    <cfRule type="containsBlanks" dxfId="79" priority="207">
      <formula>LEN(TRIM(B153))=0</formula>
    </cfRule>
  </conditionalFormatting>
  <conditionalFormatting sqref="B155">
    <cfRule type="containsBlanks" dxfId="78" priority="208">
      <formula>LEN(TRIM(B155))=0</formula>
    </cfRule>
  </conditionalFormatting>
  <conditionalFormatting sqref="B157">
    <cfRule type="containsBlanks" dxfId="77" priority="209">
      <formula>LEN(TRIM(B157))=0</formula>
    </cfRule>
  </conditionalFormatting>
  <conditionalFormatting sqref="B159">
    <cfRule type="containsBlanks" dxfId="76" priority="50">
      <formula>LEN(TRIM(B159))=0</formula>
    </cfRule>
  </conditionalFormatting>
  <conditionalFormatting sqref="B177">
    <cfRule type="containsBlanks" dxfId="75" priority="210">
      <formula>LEN(TRIM(B177))=0</formula>
    </cfRule>
  </conditionalFormatting>
  <conditionalFormatting sqref="B180">
    <cfRule type="containsBlanks" dxfId="74" priority="211">
      <formula>LEN(TRIM(B180))=0</formula>
    </cfRule>
  </conditionalFormatting>
  <conditionalFormatting sqref="B185">
    <cfRule type="containsBlanks" dxfId="73" priority="212">
      <formula>LEN(TRIM(B185))=0</formula>
    </cfRule>
  </conditionalFormatting>
  <conditionalFormatting sqref="B192">
    <cfRule type="containsBlanks" dxfId="72" priority="213">
      <formula>LEN(TRIM(B192))=0</formula>
    </cfRule>
  </conditionalFormatting>
  <conditionalFormatting sqref="B200">
    <cfRule type="containsBlanks" dxfId="71" priority="219">
      <formula>LEN(TRIM(B200))=0</formula>
    </cfRule>
  </conditionalFormatting>
  <conditionalFormatting sqref="B208">
    <cfRule type="containsBlanks" dxfId="70" priority="225">
      <formula>LEN(TRIM(B208))=0</formula>
    </cfRule>
  </conditionalFormatting>
  <conditionalFormatting sqref="B218">
    <cfRule type="containsBlanks" dxfId="69" priority="223">
      <formula>LEN(TRIM(B218))=0</formula>
    </cfRule>
  </conditionalFormatting>
  <conditionalFormatting sqref="B225">
    <cfRule type="containsBlanks" dxfId="68" priority="217">
      <formula>LEN(TRIM(B225))=0</formula>
    </cfRule>
  </conditionalFormatting>
  <conditionalFormatting sqref="C73">
    <cfRule type="containsBlanks" dxfId="67" priority="30">
      <formula>LEN(TRIM(C73))=0</formula>
    </cfRule>
  </conditionalFormatting>
  <conditionalFormatting sqref="D78:Z82">
    <cfRule type="cellIs" dxfId="66" priority="2" operator="equal">
      <formula>""</formula>
    </cfRule>
  </conditionalFormatting>
  <conditionalFormatting sqref="E9">
    <cfRule type="containsBlanks" dxfId="65" priority="115">
      <formula>LEN(TRIM(E9))=0</formula>
    </cfRule>
  </conditionalFormatting>
  <conditionalFormatting sqref="H9">
    <cfRule type="containsBlanks" dxfId="64" priority="117">
      <formula>LEN(TRIM(H9))=0</formula>
    </cfRule>
  </conditionalFormatting>
  <conditionalFormatting sqref="I29:I32">
    <cfRule type="containsBlanks" dxfId="63" priority="33">
      <formula>LEN(TRIM(I29))=0</formula>
    </cfRule>
  </conditionalFormatting>
  <conditionalFormatting sqref="I34">
    <cfRule type="containsBlanks" dxfId="62" priority="60">
      <formula>LEN(TRIM(I34))=0</formula>
    </cfRule>
  </conditionalFormatting>
  <conditionalFormatting sqref="I47:N47">
    <cfRule type="containsBlanks" dxfId="61" priority="107">
      <formula>LEN(TRIM(I47))=0</formula>
    </cfRule>
  </conditionalFormatting>
  <conditionalFormatting sqref="I40:X40">
    <cfRule type="expression" dxfId="60" priority="196">
      <formula>AND($I$36="その他",$I$40="")</formula>
    </cfRule>
  </conditionalFormatting>
  <conditionalFormatting sqref="I75:X76">
    <cfRule type="expression" dxfId="59" priority="7">
      <formula>AND($I$36="その他",#REF!="")</formula>
    </cfRule>
  </conditionalFormatting>
  <conditionalFormatting sqref="I83:X83">
    <cfRule type="expression" dxfId="58" priority="41">
      <formula>AND($I$36="その他",#REF!="")</formula>
    </cfRule>
  </conditionalFormatting>
  <conditionalFormatting sqref="I91:X91">
    <cfRule type="containsBlanks" dxfId="57" priority="75">
      <formula>LEN(TRIM(I91))=0</formula>
    </cfRule>
  </conditionalFormatting>
  <conditionalFormatting sqref="K9">
    <cfRule type="containsBlanks" dxfId="56" priority="116">
      <formula>LEN(TRIM(K9))=0</formula>
    </cfRule>
  </conditionalFormatting>
  <conditionalFormatting sqref="L35 Q35">
    <cfRule type="containsBlanks" dxfId="55" priority="195">
      <formula>LEN(TRIM(L35))=0</formula>
    </cfRule>
  </conditionalFormatting>
  <conditionalFormatting sqref="L39">
    <cfRule type="containsBlanks" dxfId="54" priority="28">
      <formula>LEN(TRIM(L39))=0</formula>
    </cfRule>
  </conditionalFormatting>
  <conditionalFormatting sqref="N189:P189">
    <cfRule type="containsBlanks" dxfId="53" priority="215">
      <formula>LEN(TRIM(N189))=0</formula>
    </cfRule>
  </conditionalFormatting>
  <conditionalFormatting sqref="N196:P197">
    <cfRule type="containsBlanks" dxfId="52" priority="216">
      <formula>LEN(TRIM(N196))=0</formula>
    </cfRule>
  </conditionalFormatting>
  <conditionalFormatting sqref="N203:P203">
    <cfRule type="containsBlanks" dxfId="51" priority="220">
      <formula>LEN(TRIM(N203))=0</formula>
    </cfRule>
  </conditionalFormatting>
  <conditionalFormatting sqref="N213:P213">
    <cfRule type="containsBlanks" dxfId="50" priority="221">
      <formula>LEN(TRIM(N213))=0</formula>
    </cfRule>
  </conditionalFormatting>
  <conditionalFormatting sqref="N220:P220">
    <cfRule type="containsBlanks" dxfId="49" priority="222">
      <formula>LEN(TRIM(N220))=0</formula>
    </cfRule>
  </conditionalFormatting>
  <conditionalFormatting sqref="N231:P231">
    <cfRule type="containsBlanks" dxfId="48" priority="224">
      <formula>LEN(TRIM(N231))=0</formula>
    </cfRule>
  </conditionalFormatting>
  <conditionalFormatting sqref="N37:Q38">
    <cfRule type="containsBlanks" dxfId="47" priority="101">
      <formula>LEN(TRIM(N37))=0</formula>
    </cfRule>
  </conditionalFormatting>
  <conditionalFormatting sqref="N188:S188">
    <cfRule type="containsBlanks" dxfId="46" priority="214">
      <formula>LEN(TRIM(N188))=0</formula>
    </cfRule>
  </conditionalFormatting>
  <conditionalFormatting sqref="O48">
    <cfRule type="containsBlanks" dxfId="45" priority="54">
      <formula>LEN(TRIM(O48))=0</formula>
    </cfRule>
  </conditionalFormatting>
  <conditionalFormatting sqref="O11:Z11 N12:Z14 M28 I36:X36 I42:X44">
    <cfRule type="containsBlanks" dxfId="44" priority="201">
      <formula>LEN(TRIM(I11))=0</formula>
    </cfRule>
  </conditionalFormatting>
  <conditionalFormatting sqref="O162:Z166">
    <cfRule type="containsBlanks" dxfId="43" priority="52">
      <formula>LEN(TRIM(O162))=0</formula>
    </cfRule>
  </conditionalFormatting>
  <conditionalFormatting sqref="P77:P82">
    <cfRule type="expression" dxfId="42" priority="3">
      <formula>AND($I$36="その他",#REF!="")</formula>
    </cfRule>
  </conditionalFormatting>
  <conditionalFormatting sqref="P130">
    <cfRule type="containsBlanks" dxfId="41" priority="204">
      <formula>LEN(TRIM(P130))=0</formula>
    </cfRule>
  </conditionalFormatting>
  <conditionalFormatting sqref="P282:AA283">
    <cfRule type="containsBlanks" dxfId="40" priority="77">
      <formula>LEN(TRIM(P282))=0</formula>
    </cfRule>
  </conditionalFormatting>
  <conditionalFormatting sqref="Q100:Q103 Q105 Q107:Q108">
    <cfRule type="containsBlanks" dxfId="39" priority="27">
      <formula>LEN(TRIM(Q100))=0</formula>
    </cfRule>
  </conditionalFormatting>
  <conditionalFormatting sqref="R196:U197">
    <cfRule type="containsBlanks" dxfId="38" priority="218">
      <formula>LEN(TRIM(R196))=0</formula>
    </cfRule>
  </conditionalFormatting>
  <conditionalFormatting sqref="S31">
    <cfRule type="containsBlanks" dxfId="37" priority="125">
      <formula>LEN(TRIM(S31))=0</formula>
    </cfRule>
  </conditionalFormatting>
  <conditionalFormatting sqref="S37:S38 V37:V38">
    <cfRule type="containsBlanks" dxfId="36" priority="102">
      <formula>LEN(TRIM(S37))=0</formula>
    </cfRule>
  </conditionalFormatting>
  <conditionalFormatting sqref="S48 V48">
    <cfRule type="containsBlanks" dxfId="35" priority="53">
      <formula>LEN(TRIM(S48))=0</formula>
    </cfRule>
  </conditionalFormatting>
  <conditionalFormatting sqref="T284:AA284 T285 Z285 T286:AA286">
    <cfRule type="containsBlanks" dxfId="34" priority="76">
      <formula>LEN(TRIM(T284))=0</formula>
    </cfRule>
  </conditionalFormatting>
  <conditionalFormatting sqref="U77:U82">
    <cfRule type="expression" dxfId="33" priority="4">
      <formula>AND($I$36="その他",#REF!="")</formula>
    </cfRule>
  </conditionalFormatting>
  <conditionalFormatting sqref="U102">
    <cfRule type="expression" dxfId="32" priority="16">
      <formula>AND($I$31="併用住宅",$U$102="")</formula>
    </cfRule>
    <cfRule type="expression" dxfId="31" priority="15">
      <formula>$I$31="併用住宅"</formula>
    </cfRule>
  </conditionalFormatting>
  <conditionalFormatting sqref="U99:X101">
    <cfRule type="expression" dxfId="30" priority="17">
      <formula>$I$31="併用住宅"</formula>
    </cfRule>
  </conditionalFormatting>
  <conditionalFormatting sqref="U101:X101">
    <cfRule type="expression" dxfId="29" priority="18">
      <formula>AND($I$31="併用住宅",$U$101="")</formula>
    </cfRule>
  </conditionalFormatting>
  <conditionalFormatting sqref="U103:X104">
    <cfRule type="expression" dxfId="28" priority="13">
      <formula>AND($I$31="併用住宅",$U$103="")</formula>
    </cfRule>
  </conditionalFormatting>
  <conditionalFormatting sqref="U103:X106">
    <cfRule type="expression" dxfId="27" priority="10">
      <formula>$I$31="併用住宅"</formula>
    </cfRule>
  </conditionalFormatting>
  <conditionalFormatting sqref="U105:X106">
    <cfRule type="expression" dxfId="26" priority="9">
      <formula>AND($I$31="併用住宅",$U$105="")</formula>
    </cfRule>
  </conditionalFormatting>
  <conditionalFormatting sqref="U107:X107">
    <cfRule type="expression" dxfId="25" priority="21">
      <formula>AND($I$31="併用住宅",$U$107="")</formula>
    </cfRule>
    <cfRule type="expression" dxfId="24" priority="19">
      <formula>$I$31="併用住宅"</formula>
    </cfRule>
  </conditionalFormatting>
  <conditionalFormatting sqref="U108:X108">
    <cfRule type="expression" dxfId="23" priority="12">
      <formula>$I$31="併用住宅"</formula>
    </cfRule>
    <cfRule type="expression" dxfId="22" priority="11">
      <formula>AND($I$31="併用住宅",$U$108="")</formula>
    </cfRule>
  </conditionalFormatting>
  <conditionalFormatting sqref="U52:Z52">
    <cfRule type="cellIs" dxfId="21" priority="42" operator="equal">
      <formula>""</formula>
    </cfRule>
  </conditionalFormatting>
  <conditionalFormatting sqref="U54:Z54">
    <cfRule type="cellIs" dxfId="20" priority="44" operator="equal">
      <formula>""</formula>
    </cfRule>
  </conditionalFormatting>
  <conditionalFormatting sqref="U57:Z57">
    <cfRule type="cellIs" dxfId="19" priority="45" operator="equal">
      <formula>""</formula>
    </cfRule>
  </conditionalFormatting>
  <conditionalFormatting sqref="V34:V35">
    <cfRule type="containsBlanks" dxfId="18" priority="120">
      <formula>LEN(TRIM(V34))=0</formula>
    </cfRule>
  </conditionalFormatting>
  <conditionalFormatting sqref="V32:W32">
    <cfRule type="expression" dxfId="17" priority="189">
      <formula>AND($I$31="併用住宅",$V$32="")</formula>
    </cfRule>
  </conditionalFormatting>
  <conditionalFormatting sqref="V33:W33">
    <cfRule type="expression" dxfId="16" priority="188">
      <formula>AND($I$31="併用住宅",$V$33="")</formula>
    </cfRule>
  </conditionalFormatting>
  <conditionalFormatting sqref="V196:Z196">
    <cfRule type="expression" dxfId="15" priority="70">
      <formula>"$R$158=""その他のこて塗り"""</formula>
    </cfRule>
    <cfRule type="expression" dxfId="14" priority="69">
      <formula>AND($R$196="その他のこて塗り",$V$196="")</formula>
    </cfRule>
  </conditionalFormatting>
  <conditionalFormatting sqref="V197:Z197">
    <cfRule type="expression" dxfId="13" priority="68">
      <formula>AND($R$197="その他のこて塗り",$V$197="")</formula>
    </cfRule>
  </conditionalFormatting>
  <dataValidations count="34">
    <dataValidation type="whole" operator="greaterThanOrEqual" allowBlank="1" showInputMessage="1" showErrorMessage="1" error="1か所以上が必須です。" sqref="V35 Q35 L35" xr:uid="{00000000-0002-0000-0000-000000000000}">
      <formula1>1</formula1>
    </dataValidation>
    <dataValidation type="list" allowBlank="1" showInputMessage="1" showErrorMessage="1" sqref="I31" xr:uid="{00000000-0002-0000-0000-000002000000}">
      <formula1>"専用住宅,併用住宅"</formula1>
    </dataValidation>
    <dataValidation type="list" allowBlank="1" showInputMessage="1" showErrorMessage="1" sqref="I36:X36" xr:uid="{00000000-0002-0000-0000-000003000000}">
      <formula1>"在来軸組工法,伝統構法,その他"</formula1>
    </dataValidation>
    <dataValidation type="whole" operator="greaterThanOrEqual" allowBlank="1" showInputMessage="1" showErrorMessage="1" errorTitle="エラー" error="10以上の整数値（小数点以下切捨て）を入力してください。（10未満の数値や整数値以外の内容は入力できません。）" sqref="Q100:T100" xr:uid="{00000000-0002-0000-0000-000004000000}">
      <formula1>10</formula1>
    </dataValidation>
    <dataValidation type="whole" allowBlank="1" showInputMessage="1" showErrorMessage="1" errorTitle="エラー" error="10以上かつ木材使用材積合計以下の整数値（小数点以下切捨て）を入力してください。（10未満の数値や整数値以外の内容は入力できません。）_x000a_県産材10m3未満は補助対象外です。" sqref="Q101:T101" xr:uid="{00000000-0002-0000-0000-000005000000}">
      <formula1>10</formula1>
      <formula2>Q100</formula2>
    </dataValidation>
    <dataValidation type="list" allowBlank="1" showInputMessage="1" showErrorMessage="1" sqref="N203:P203" xr:uid="{00000000-0002-0000-0000-000006000000}">
      <formula1>"　,和瓦,平板瓦,S瓦,"</formula1>
    </dataValidation>
    <dataValidation type="list" allowBlank="1" showInputMessage="1" showErrorMessage="1" sqref="N188:S188" xr:uid="{00000000-0002-0000-0000-000007000000}">
      <formula1>"ささら子下見板,押縁下見板,南京下見板,"</formula1>
    </dataValidation>
    <dataValidation type="list" allowBlank="1" showInputMessage="1" showErrorMessage="1" sqref="M28:X28" xr:uid="{00000000-0002-0000-0000-000008000000}">
      <formula1>"鳥取市,米子市,倉吉市,境港市,岩美町,若桜町,智頭町,八頭町,三朝町,湯梨浜町,琴浦町,北栄町,大山町,日吉津村,伯耆町,南部町,日野町,日南町,江府町,"</formula1>
    </dataValidation>
    <dataValidation type="list" allowBlank="1" showInputMessage="1" showErrorMessage="1" sqref="H9:I9 S48:T48 S37:T38" xr:uid="{00000000-0002-0000-0000-000009000000}">
      <formula1>"1,2,3,4,5,6,7,8,9,10,11,12,"</formula1>
    </dataValidation>
    <dataValidation type="list" allowBlank="1" showInputMessage="1" showErrorMessage="1" sqref="V34:W34" xr:uid="{00000000-0002-0000-0000-00000A000000}">
      <formula1>"1,2,3,"</formula1>
    </dataValidation>
    <dataValidation type="list" allowBlank="1" showInputMessage="1" showErrorMessage="1" sqref="K9:L9" xr:uid="{00000000-0002-0000-0000-00000B000000}">
      <formula1>"1,2,3,4,5,6,7,8,9,10,11,12,13,14,15,16,17,18,19,20,21,22,23,24,25,26,27,28,29,30,31, "</formula1>
    </dataValidation>
    <dataValidation type="list" allowBlank="1" showInputMessage="1" showErrorMessage="1" sqref="O48" xr:uid="{00000000-0002-0000-0000-00000C000000}">
      <formula1>"2,3,4,5,6,7,8,9,10,"</formula1>
    </dataValidation>
    <dataValidation type="list" allowBlank="1" showInputMessage="1" showErrorMessage="1" sqref="I47:N47" xr:uid="{00000000-0002-0000-0000-00000D000000}">
      <formula1>"要,不要,"</formula1>
    </dataValidation>
    <dataValidation type="list" allowBlank="1" showInputMessage="1" showErrorMessage="1" sqref="V48:W48 V37:W38" xr:uid="{00000000-0002-0000-0000-00000E000000}">
      <formula1>"1,2,3,4,5,6,7,8,9,10,11,12,13,14,15,16,17,18,19,20,21,22,23,24,25,26,27,28,29,30,31,"</formula1>
    </dataValidation>
    <dataValidation type="list" allowBlank="1" showInputMessage="1" showErrorMessage="1" sqref="B21 B23 B41 B46 B50 B88 B84 B90 B94 B130 P130 B149 B151 B153 B155 B177 B180 B185 B192 B200 B208 B218 B225 B67 B157 B159 B52 B60 B65 B54 B57 B63 B71 C73 B69 B75" xr:uid="{00000000-0002-0000-0000-00000F000000}">
      <formula1>"✔,"</formula1>
    </dataValidation>
    <dataValidation type="list" allowBlank="1" showInputMessage="1" showErrorMessage="1" sqref="T284:AA284" xr:uid="{00000000-0002-0000-0000-000010000000}">
      <formula1>"一級建築士事務所,二級建築士事務所,木造建築士事務所"</formula1>
    </dataValidation>
    <dataValidation type="list" allowBlank="1" showInputMessage="1" showErrorMessage="1" sqref="J282:O282" xr:uid="{00000000-0002-0000-0000-000011000000}">
      <formula1>"工事監理者氏名,工事施工者氏名"</formula1>
    </dataValidation>
    <dataValidation type="whole" allowBlank="1" showInputMessage="1" showErrorMessage="1" error="整数値（小数点以下切捨て）を入力してください。" sqref="Q108:T108" xr:uid="{00000000-0002-0000-0000-000012000000}">
      <formula1>0</formula1>
      <formula2>1000000</formula2>
    </dataValidation>
    <dataValidation type="list" allowBlank="1" showInputMessage="1" showErrorMessage="1" sqref="R196:U196" xr:uid="{00000000-0002-0000-0000-000013000000}">
      <formula1>"　,モルタル塗,漆喰塗,土壁塗,そとん壁,その他のこて塗り"</formula1>
    </dataValidation>
    <dataValidation type="list" allowBlank="1" showInputMessage="1" showErrorMessage="1" sqref="R197:U197" xr:uid="{00000000-0002-0000-0000-000014000000}">
      <formula1>"　,珪藻土塗,じゅらく塗,その他のこて塗り"</formula1>
    </dataValidation>
    <dataValidation type="list" allowBlank="1" showInputMessage="1" showErrorMessage="1" sqref="AC260 AC275:AC277" xr:uid="{00000000-0002-0000-0000-000015000000}">
      <formula1>"はい,いいえ"</formula1>
    </dataValidation>
    <dataValidation type="list" allowBlank="1" showInputMessage="1" showErrorMessage="1" sqref="O166:Z166" xr:uid="{00000000-0002-0000-0000-000016000000}">
      <formula1>"申請者と同じ,申請者と異なる"</formula1>
    </dataValidation>
    <dataValidation type="list" allowBlank="1" showInputMessage="1" showErrorMessage="1" sqref="U57:Z57" xr:uid="{00000000-0002-0000-0000-000017000000}">
      <formula1>"『ZEH』,Nearly ZEH（多雪地域に限る）,ZEH Oriented（補助対象外）"</formula1>
    </dataValidation>
    <dataValidation type="list" allowBlank="1" showInputMessage="1" showErrorMessage="1" sqref="U54:Z54" xr:uid="{00000000-0002-0000-0000-000018000000}">
      <formula1>"太陽光発電（自家設置）,太陽光発電（リース）,太陽光発電（PPA）,太陽熱利用設備,バイオマス利用設備,地中熱利用設備,その他"</formula1>
    </dataValidation>
    <dataValidation type="list" allowBlank="1" showInputMessage="1" showErrorMessage="1" sqref="U52:Z52" xr:uid="{00000000-0002-0000-0000-000019000000}">
      <formula1>"T-G1,T-G2,T-G3"</formula1>
    </dataValidation>
    <dataValidation type="list" allowBlank="1" showInputMessage="1" showErrorMessage="1" sqref="E9:F9 N37:Q38" xr:uid="{00000000-0002-0000-0000-00001A000000}">
      <formula1>"5,6,7,8,9,10,"</formula1>
    </dataValidation>
    <dataValidation type="whole" showInputMessage="1" showErrorMessage="1" errorTitle="エラー" error="県産材の使用材積以下の整数値（小数点以下切捨て）を入力してください。_x000a_" sqref="Q105:T106" xr:uid="{00000000-0002-0000-0000-00001B000000}">
      <formula1>0</formula1>
      <formula2>Q102</formula2>
    </dataValidation>
    <dataValidation type="whole" showInputMessage="1" showErrorMessage="1" errorTitle="エラー" error="県産材の使用材積以下の整数値（小数点以下切捨て）を入力してください。_x000a_" sqref="Q102:T104" xr:uid="{00000000-0002-0000-0000-00001C000000}">
      <formula1>0</formula1>
      <formula2>Q101</formula2>
    </dataValidation>
    <dataValidation type="whole" allowBlank="1" showInputMessage="1" showErrorMessage="1" errorTitle="エラー" error="住宅部分の県産材使用材積以下かつ併用住宅全体の県産CLT材の使用材積以下の整数値（小数点以下切捨て）を入力してください。" sqref="U107:X107 U101:X101" xr:uid="{00000000-0002-0000-0000-00001D000000}">
      <formula1>0</formula1>
      <formula2>MIN(Q101,U95)</formula2>
    </dataValidation>
    <dataValidation type="whole" allowBlank="1" showInputMessage="1" showErrorMessage="1" error="県産材の使用材積以下の整数値（小数点以下切捨て）を入力してください。_x000a_" sqref="Q107:T107" xr:uid="{00000000-0002-0000-0000-00001E000000}">
      <formula1>0</formula1>
      <formula2>Q101</formula2>
    </dataValidation>
    <dataValidation type="whole" allowBlank="1" showInputMessage="1" showErrorMessage="1" errorTitle="エラー" error="併用住宅全体の県産内外装材、県産木塀の見付面積以下の整数値（小数点以下切捨て）を入力してください。" sqref="U108:X108" xr:uid="{00000000-0002-0000-0000-00001F000000}">
      <formula1>0</formula1>
      <formula2>Q108</formula2>
    </dataValidation>
    <dataValidation type="whole" allowBlank="1" showInputMessage="1" showErrorMessage="1" errorTitle="エラー" error="住宅部分の県産材使用材積以下かつ併用住宅全体の県産CLT材の使用材積以下の整数値（小数点以下切捨て）を入力してください。" sqref="U103:X104" xr:uid="{00000000-0002-0000-0000-000020000000}">
      <formula1>0</formula1>
      <formula2>MIN(U102,Q103)</formula2>
    </dataValidation>
    <dataValidation type="whole" allowBlank="1" showInputMessage="1" showErrorMessage="1" errorTitle="エラー" error="住宅部分の県産材使用材積以下かつ併用住宅全体の県産CLT材の使用材積以下の整数値（小数点以下切捨て）を入力してください。" sqref="U105:X106" xr:uid="{00000000-0002-0000-0000-000021000000}">
      <formula1>0</formula1>
      <formula2>MIN(U102,Q105)</formula2>
    </dataValidation>
    <dataValidation type="whole" allowBlank="1" showInputMessage="1" showErrorMessage="1" errorTitle="エラー" error="住宅部分の県産材使用材積以下かつ併用住宅全体の県産CLT材の使用材積以下の整数値（小数点以下切捨て）を入力してください。" sqref="U102:X102" xr:uid="{00000000-0002-0000-0000-000022000000}">
      <formula1>0</formula1>
      <formula2>MIN(Q102,U101)</formula2>
    </dataValidation>
  </dataValidations>
  <printOptions horizontalCentered="1"/>
  <pageMargins left="0.70866141732283472" right="0.70866141732283472" top="0.47244094488188981" bottom="0.23622047244094491" header="0.31496062992125984" footer="0.31496062992125984"/>
  <pageSetup paperSize="9" scale="80" orientation="portrait" verticalDpi="1200" r:id="rId1"/>
  <rowBreaks count="3" manualBreakCount="3">
    <brk id="86" max="26" man="1"/>
    <brk id="170" max="26" man="1"/>
    <brk id="234" max="26"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B1:J18"/>
  <sheetViews>
    <sheetView workbookViewId="0">
      <selection activeCell="C18" sqref="C18"/>
    </sheetView>
  </sheetViews>
  <sheetFormatPr defaultColWidth="9" defaultRowHeight="13.2" x14ac:dyDescent="0.2"/>
  <cols>
    <col min="1" max="1" width="2" style="61" customWidth="1"/>
    <col min="2" max="2" width="18.6640625" style="61" customWidth="1"/>
    <col min="3" max="4" width="15.44140625" style="61" customWidth="1"/>
    <col min="5" max="5" width="6.88671875" style="61" customWidth="1"/>
    <col min="6" max="6" width="20.109375" style="61" customWidth="1"/>
    <col min="7" max="8" width="15.44140625" style="61" customWidth="1"/>
    <col min="9" max="9" width="5.33203125" style="61" customWidth="1"/>
    <col min="10" max="10" width="19.88671875" style="61" customWidth="1"/>
    <col min="11" max="11" width="1" style="61" customWidth="1"/>
    <col min="12" max="16384" width="9" style="61"/>
  </cols>
  <sheetData>
    <row r="1" spans="2:10" ht="43.5" customHeight="1" x14ac:dyDescent="0.2">
      <c r="B1" s="480" t="s">
        <v>509</v>
      </c>
      <c r="C1" s="480"/>
      <c r="D1" s="480"/>
      <c r="F1" s="70" t="s">
        <v>230</v>
      </c>
      <c r="J1" s="71" t="s">
        <v>207</v>
      </c>
    </row>
    <row r="2" spans="2:10" x14ac:dyDescent="0.2">
      <c r="B2" s="104" t="s">
        <v>49</v>
      </c>
      <c r="C2" s="104" t="s">
        <v>208</v>
      </c>
      <c r="D2" s="104" t="s">
        <v>209</v>
      </c>
      <c r="F2" s="104" t="s">
        <v>49</v>
      </c>
      <c r="G2" s="104" t="s">
        <v>208</v>
      </c>
      <c r="H2" s="104" t="s">
        <v>210</v>
      </c>
      <c r="J2" s="104" t="s">
        <v>211</v>
      </c>
    </row>
    <row r="3" spans="2:10" x14ac:dyDescent="0.2">
      <c r="B3" s="105" t="s">
        <v>212</v>
      </c>
      <c r="C3" s="72"/>
      <c r="D3" s="72"/>
      <c r="F3" s="105" t="str">
        <f>B3</f>
        <v>県産材</v>
      </c>
      <c r="G3" s="73">
        <f>IF(【様式第６号】事業報告書兼チェックシート!Y101="",0,【様式第６号】事業報告書兼チェックシート!Y101*10000)</f>
        <v>0</v>
      </c>
      <c r="H3" s="73">
        <f>IF(【様式第６号】事業報告書兼チェックシート!Y101="",0,【様式第６号】事業報告書兼チェックシート!Y101*10000)</f>
        <v>0</v>
      </c>
      <c r="J3" s="74">
        <f>IF(H3="","",MIN(D3,H3))</f>
        <v>0</v>
      </c>
    </row>
    <row r="4" spans="2:10" x14ac:dyDescent="0.2">
      <c r="B4" s="105" t="s">
        <v>492</v>
      </c>
      <c r="C4" s="75"/>
      <c r="D4" s="72"/>
      <c r="F4" s="105" t="str">
        <f>B4</f>
        <v>県産JAS製材</v>
      </c>
      <c r="G4" s="73">
        <f>IF(【様式第６号】事業報告書兼チェックシート!Y102="",0,【様式第６号】事業報告書兼チェックシート!Y102*10000)</f>
        <v>0</v>
      </c>
      <c r="H4" s="73">
        <f>IF(【様式第６号】事業報告書兼チェックシート!Y106="",0,【様式第６号】事業報告書兼チェックシート!Y106*10000)</f>
        <v>0</v>
      </c>
      <c r="J4" s="74">
        <f t="shared" ref="J4:J9" si="0">IF(H4="","",MIN(D4,H4))</f>
        <v>0</v>
      </c>
    </row>
    <row r="5" spans="2:10" x14ac:dyDescent="0.2">
      <c r="B5" s="105" t="s">
        <v>504</v>
      </c>
      <c r="C5" s="75"/>
      <c r="D5" s="72"/>
      <c r="F5" s="105" t="str">
        <f t="shared" ref="F5:F9" si="1">B5</f>
        <v>県産ヤング係数確認構造材</v>
      </c>
      <c r="G5" s="73">
        <f>IF(【様式第６号】事業報告書兼チェックシート!Y106="",0,【様式第６号】事業報告書兼チェックシート!Y106*10000)</f>
        <v>0</v>
      </c>
      <c r="H5" s="73">
        <f>IF(【様式第６号】事業報告書兼チェックシート!Y107="",0,【様式第６号】事業報告書兼チェックシート!Y107*10000)</f>
        <v>0</v>
      </c>
      <c r="J5" s="74">
        <f t="shared" si="0"/>
        <v>0</v>
      </c>
    </row>
    <row r="6" spans="2:10" x14ac:dyDescent="0.2">
      <c r="B6" s="105" t="s">
        <v>216</v>
      </c>
      <c r="C6" s="75"/>
      <c r="D6" s="72"/>
      <c r="F6" s="105" t="str">
        <f t="shared" si="1"/>
        <v>県産ＣＬＴ材、県産内外装材</v>
      </c>
      <c r="G6" s="73">
        <f>IF(【様式第６号】事業報告書兼チェックシート!Y108="",0,【様式第６号】事業報告書兼チェックシート!Y108*10000)</f>
        <v>0</v>
      </c>
      <c r="H6" s="73">
        <f>IF(【様式第６号】事業報告書兼チェックシート!Y108="",0,【様式第６号】事業報告書兼チェックシート!Y108*10000)</f>
        <v>0</v>
      </c>
      <c r="J6" s="74">
        <f>IF(H6="","",MIN(D6,H6))</f>
        <v>0</v>
      </c>
    </row>
    <row r="7" spans="2:10" x14ac:dyDescent="0.2">
      <c r="B7" s="105" t="s">
        <v>213</v>
      </c>
      <c r="C7" s="72"/>
      <c r="D7" s="72"/>
      <c r="F7" s="105" t="str">
        <f t="shared" si="1"/>
        <v>伝統技能活用</v>
      </c>
      <c r="G7" s="73">
        <f>IF(【様式第６号】事業報告書兼チェックシート!Y173="",0,【様式第６号】事業報告書兼チェックシート!Y173*10000)</f>
        <v>0</v>
      </c>
      <c r="H7" s="73">
        <f>IF(【様式第６号】事業報告書兼チェックシート!Y173="",0,【様式第６号】事業報告書兼チェックシート!Y173*10000)</f>
        <v>0</v>
      </c>
      <c r="J7" s="74">
        <f t="shared" si="0"/>
        <v>0</v>
      </c>
    </row>
    <row r="8" spans="2:10" x14ac:dyDescent="0.2">
      <c r="B8" s="105" t="s">
        <v>214</v>
      </c>
      <c r="C8" s="72"/>
      <c r="D8" s="72"/>
      <c r="F8" s="105" t="str">
        <f t="shared" si="1"/>
        <v>子育て世帯等</v>
      </c>
      <c r="G8" s="73">
        <f>IF(【様式第６号】事業報告書兼チェックシート!Y128="",0,【様式第６号】事業報告書兼チェックシート!Y128*10000)</f>
        <v>0</v>
      </c>
      <c r="H8" s="73">
        <f>IF(【様式第６号】事業報告書兼チェックシート!Y128="",0,【様式第６号】事業報告書兼チェックシート!Y128*10000)</f>
        <v>0</v>
      </c>
      <c r="J8" s="74">
        <f t="shared" si="0"/>
        <v>0</v>
      </c>
    </row>
    <row r="9" spans="2:10" x14ac:dyDescent="0.2">
      <c r="B9" s="105" t="s">
        <v>217</v>
      </c>
      <c r="C9" s="72"/>
      <c r="D9" s="72"/>
      <c r="F9" s="105" t="str">
        <f t="shared" si="1"/>
        <v>三世代同居等世帯支援</v>
      </c>
      <c r="G9" s="73">
        <f>IF(【様式第６号】事業報告書兼チェックシート!Y146="",0,【様式第６号】事業報告書兼チェックシート!Y146*10000)</f>
        <v>0</v>
      </c>
      <c r="H9" s="73">
        <f>IF(【様式第６号】事業報告書兼チェックシート!Y146="",0,【様式第６号】事業報告書兼チェックシート!Y146*10000)</f>
        <v>0</v>
      </c>
      <c r="J9" s="74">
        <f t="shared" si="0"/>
        <v>0</v>
      </c>
    </row>
    <row r="11" spans="2:10" x14ac:dyDescent="0.2">
      <c r="C11" s="104" t="s">
        <v>215</v>
      </c>
      <c r="D11" s="104" t="s">
        <v>209</v>
      </c>
      <c r="G11" s="104" t="s">
        <v>215</v>
      </c>
      <c r="H11" s="104" t="s">
        <v>209</v>
      </c>
    </row>
    <row r="12" spans="2:10" x14ac:dyDescent="0.2">
      <c r="C12" s="74" t="str">
        <f>IF(C3=0,"",SUM(C3:C9))</f>
        <v/>
      </c>
      <c r="D12" s="74" t="str">
        <f>IF(D3=0,"",MIN(SUM(D3:D9),1000000))</f>
        <v/>
      </c>
      <c r="G12" s="74" t="str">
        <f>IF(G3=0,"",SUM(G3:G9))</f>
        <v/>
      </c>
      <c r="H12" s="74" t="str">
        <f>IF(H3=0,"",MIN(MIN(SUM(J3:J9),1000000),1500000,D12))</f>
        <v/>
      </c>
    </row>
    <row r="14" spans="2:10" x14ac:dyDescent="0.2">
      <c r="B14" s="104" t="s">
        <v>49</v>
      </c>
      <c r="C14" s="104" t="s">
        <v>208</v>
      </c>
      <c r="D14" s="104" t="s">
        <v>209</v>
      </c>
      <c r="F14" s="104" t="s">
        <v>49</v>
      </c>
      <c r="G14" s="104" t="s">
        <v>208</v>
      </c>
      <c r="H14" s="104" t="s">
        <v>210</v>
      </c>
      <c r="J14" s="104" t="s">
        <v>211</v>
      </c>
    </row>
    <row r="15" spans="2:10" x14ac:dyDescent="0.2">
      <c r="B15" s="105" t="s">
        <v>454</v>
      </c>
      <c r="C15" s="72"/>
      <c r="D15" s="72"/>
      <c r="F15" s="105" t="str">
        <f>B15</f>
        <v>未来型</v>
      </c>
      <c r="G15" s="73">
        <f>IF(【様式第６号】事業報告書兼チェックシート!T240="",0,【様式第６号】事業報告書兼チェックシート!T240*10000)</f>
        <v>0</v>
      </c>
      <c r="H15" s="73">
        <f>IF(【様式第６号】事業報告書兼チェックシート!T240="",0,【様式第６号】事業報告書兼チェックシート!T240*10000)</f>
        <v>0</v>
      </c>
      <c r="J15" s="74">
        <f>IF(H15="","",MIN(D15,H15))</f>
        <v>0</v>
      </c>
    </row>
    <row r="16" spans="2:10" ht="13.5" customHeight="1" x14ac:dyDescent="0.2"/>
    <row r="17" spans="3:8" x14ac:dyDescent="0.2">
      <c r="C17" s="104" t="s">
        <v>215</v>
      </c>
      <c r="D17" s="104" t="s">
        <v>209</v>
      </c>
      <c r="G17" s="104" t="s">
        <v>215</v>
      </c>
      <c r="H17" s="104" t="s">
        <v>209</v>
      </c>
    </row>
    <row r="18" spans="3:8" x14ac:dyDescent="0.2">
      <c r="C18" s="74" t="str">
        <f>IF(C15=0,"",SUM(C15))</f>
        <v/>
      </c>
      <c r="D18" s="74" t="str">
        <f>IF(D15=0,"",SUM(D15))</f>
        <v/>
      </c>
      <c r="G18" s="74" t="str">
        <f>IF(G15=0,"",SUM(G15))</f>
        <v/>
      </c>
      <c r="H18" s="74" t="str">
        <f>IF(H15=0,"",SUM(H15))</f>
        <v/>
      </c>
    </row>
  </sheetData>
  <mergeCells count="1">
    <mergeCell ref="B1:D1"/>
  </mergeCells>
  <phoneticPr fontId="1"/>
  <conditionalFormatting sqref="C3:D9">
    <cfRule type="cellIs" dxfId="12" priority="3" operator="lessThan">
      <formula>1</formula>
    </cfRule>
    <cfRule type="containsBlanks" dxfId="11" priority="4">
      <formula>LEN(TRIM(C3))=0</formula>
    </cfRule>
  </conditionalFormatting>
  <conditionalFormatting sqref="C15:D15">
    <cfRule type="cellIs" dxfId="10" priority="1" operator="lessThan">
      <formula>1</formula>
    </cfRule>
    <cfRule type="containsBlanks" dxfId="9" priority="2">
      <formula>LEN(TRIM(C15))=0</formula>
    </cfRule>
  </conditionalFormatting>
  <dataValidations count="1">
    <dataValidation type="whole" operator="greaterThanOrEqual" showInputMessage="1" showErrorMessage="1" sqref="C3:D9 C15:D15" xr:uid="{00000000-0002-0000-0100-000000000000}">
      <formula1>0</formula1>
    </dataValidation>
  </dataValidations>
  <pageMargins left="0.7" right="0.7" top="0.75" bottom="0.75" header="0.3" footer="0.3"/>
  <pageSetup paperSize="9" orientation="portrait"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3"/>
  <sheetViews>
    <sheetView showGridLines="0" view="pageBreakPreview" topLeftCell="A13" zoomScale="85" zoomScaleNormal="100" zoomScaleSheetLayoutView="85" workbookViewId="0">
      <selection activeCell="K34" sqref="K34"/>
    </sheetView>
  </sheetViews>
  <sheetFormatPr defaultColWidth="9" defaultRowHeight="13.2" x14ac:dyDescent="0.2"/>
  <cols>
    <col min="1" max="1" width="4.88671875" style="1" customWidth="1"/>
    <col min="2" max="4" width="24.6640625" style="1" customWidth="1"/>
    <col min="5" max="16384" width="9" style="1"/>
  </cols>
  <sheetData>
    <row r="1" spans="1:6" x14ac:dyDescent="0.2">
      <c r="A1" s="1" t="s">
        <v>153</v>
      </c>
    </row>
    <row r="5" spans="1:6" ht="14.4" x14ac:dyDescent="0.2">
      <c r="A5" s="482" t="s">
        <v>142</v>
      </c>
      <c r="B5" s="482"/>
      <c r="C5" s="482"/>
      <c r="D5" s="482"/>
      <c r="E5" s="482"/>
    </row>
    <row r="7" spans="1:6" ht="38.25" customHeight="1" x14ac:dyDescent="0.2">
      <c r="C7" s="5" t="s">
        <v>39</v>
      </c>
      <c r="D7" s="360" t="str">
        <f>IF(【様式第６号】事業報告書兼チェックシート!N12="","",【様式第６号】事業報告書兼チェックシート!N12)</f>
        <v/>
      </c>
      <c r="E7" s="360"/>
    </row>
    <row r="8" spans="1:6" x14ac:dyDescent="0.2">
      <c r="C8" s="5" t="s">
        <v>40</v>
      </c>
      <c r="D8" s="453" t="str">
        <f>IF(【様式第６号】事業報告書兼チェックシート!N13="","",【様式第６号】事業報告書兼チェックシート!N13)</f>
        <v/>
      </c>
      <c r="E8" s="453"/>
    </row>
    <row r="10" spans="1:6" x14ac:dyDescent="0.2">
      <c r="A10" s="1" t="s">
        <v>34</v>
      </c>
    </row>
    <row r="11" spans="1:6" x14ac:dyDescent="0.2">
      <c r="A11" s="1" t="s">
        <v>35</v>
      </c>
    </row>
    <row r="13" spans="1:6" x14ac:dyDescent="0.2">
      <c r="B13" s="91" t="s">
        <v>33</v>
      </c>
      <c r="C13" s="91" t="s">
        <v>5</v>
      </c>
      <c r="D13" s="91" t="s">
        <v>38</v>
      </c>
    </row>
    <row r="14" spans="1:6" ht="28.35" customHeight="1" x14ac:dyDescent="0.2">
      <c r="A14" s="39" t="s">
        <v>37</v>
      </c>
      <c r="B14" s="91" t="s">
        <v>249</v>
      </c>
      <c r="C14" s="98" t="s">
        <v>250</v>
      </c>
      <c r="D14" s="97" t="s">
        <v>251</v>
      </c>
    </row>
    <row r="15" spans="1:6" ht="29.85" customHeight="1" x14ac:dyDescent="0.2">
      <c r="A15" s="39" t="s">
        <v>37</v>
      </c>
      <c r="B15" s="58" t="s">
        <v>252</v>
      </c>
      <c r="C15" s="58" t="s">
        <v>253</v>
      </c>
      <c r="D15" s="58" t="s">
        <v>254</v>
      </c>
      <c r="F15" s="93"/>
    </row>
    <row r="16" spans="1:6" x14ac:dyDescent="0.2">
      <c r="B16" s="92"/>
      <c r="C16" s="92"/>
      <c r="D16" s="92"/>
    </row>
    <row r="17" spans="1:7" x14ac:dyDescent="0.2">
      <c r="B17" s="57" t="s">
        <v>33</v>
      </c>
      <c r="C17" s="91" t="s">
        <v>5</v>
      </c>
      <c r="D17" s="91" t="s">
        <v>19</v>
      </c>
    </row>
    <row r="18" spans="1:7" ht="36" customHeight="1" x14ac:dyDescent="0.2">
      <c r="B18" s="65"/>
      <c r="C18" s="65"/>
      <c r="D18" s="66"/>
    </row>
    <row r="19" spans="1:7" ht="36" customHeight="1" x14ac:dyDescent="0.2">
      <c r="B19" s="65"/>
      <c r="C19" s="65"/>
      <c r="D19" s="66"/>
    </row>
    <row r="20" spans="1:7" ht="36" customHeight="1" x14ac:dyDescent="0.2">
      <c r="B20" s="65"/>
      <c r="C20" s="65"/>
      <c r="D20" s="66"/>
    </row>
    <row r="21" spans="1:7" ht="36" customHeight="1" x14ac:dyDescent="0.2">
      <c r="B21" s="65"/>
      <c r="C21" s="65"/>
      <c r="D21" s="66"/>
      <c r="G21" s="1" t="s">
        <v>232</v>
      </c>
    </row>
    <row r="22" spans="1:7" ht="36" customHeight="1" x14ac:dyDescent="0.2">
      <c r="B22" s="65"/>
      <c r="C22" s="65"/>
      <c r="D22" s="66"/>
      <c r="G22" s="1" t="s">
        <v>233</v>
      </c>
    </row>
    <row r="23" spans="1:7" ht="36" customHeight="1" x14ac:dyDescent="0.2">
      <c r="B23" s="65"/>
      <c r="C23" s="65"/>
      <c r="D23" s="66"/>
      <c r="G23" s="1" t="s">
        <v>234</v>
      </c>
    </row>
    <row r="24" spans="1:7" ht="36" customHeight="1" x14ac:dyDescent="0.2">
      <c r="B24" s="65"/>
      <c r="C24" s="65"/>
      <c r="D24" s="66"/>
      <c r="G24" s="1" t="s">
        <v>235</v>
      </c>
    </row>
    <row r="26" spans="1:7" x14ac:dyDescent="0.2">
      <c r="B26" s="94"/>
      <c r="C26" s="94"/>
      <c r="D26" s="95"/>
      <c r="G26" s="1" t="s">
        <v>236</v>
      </c>
    </row>
    <row r="27" spans="1:7" x14ac:dyDescent="0.2">
      <c r="A27" s="1" t="s">
        <v>44</v>
      </c>
    </row>
    <row r="28" spans="1:7" x14ac:dyDescent="0.2">
      <c r="A28" s="59" t="s">
        <v>237</v>
      </c>
      <c r="B28" s="481" t="s">
        <v>43</v>
      </c>
      <c r="C28" s="481"/>
      <c r="D28" s="481"/>
      <c r="E28" s="481"/>
    </row>
    <row r="29" spans="1:7" x14ac:dyDescent="0.2">
      <c r="A29" s="60"/>
      <c r="B29" s="481"/>
      <c r="C29" s="481"/>
      <c r="D29" s="481"/>
      <c r="E29" s="481"/>
    </row>
    <row r="30" spans="1:7" x14ac:dyDescent="0.2">
      <c r="A30" s="59" t="s">
        <v>237</v>
      </c>
      <c r="B30" s="481" t="s">
        <v>45</v>
      </c>
      <c r="C30" s="481"/>
      <c r="D30" s="481"/>
      <c r="E30" s="481"/>
      <c r="G30" s="1" t="s">
        <v>238</v>
      </c>
    </row>
    <row r="31" spans="1:7" x14ac:dyDescent="0.2">
      <c r="A31" s="59"/>
      <c r="B31" s="481"/>
      <c r="C31" s="481"/>
      <c r="D31" s="481"/>
      <c r="E31" s="481"/>
      <c r="G31" s="1" t="s">
        <v>239</v>
      </c>
    </row>
    <row r="32" spans="1:7" x14ac:dyDescent="0.2">
      <c r="A32" s="59"/>
      <c r="B32" s="481"/>
      <c r="C32" s="481"/>
      <c r="D32" s="481"/>
      <c r="E32" s="481"/>
    </row>
    <row r="33" spans="1:5" x14ac:dyDescent="0.2">
      <c r="A33" s="60"/>
      <c r="B33" s="481"/>
      <c r="C33" s="481"/>
      <c r="D33" s="481"/>
      <c r="E33" s="481"/>
    </row>
  </sheetData>
  <mergeCells count="5">
    <mergeCell ref="B30:E33"/>
    <mergeCell ref="A5:E5"/>
    <mergeCell ref="D7:E7"/>
    <mergeCell ref="D8:E8"/>
    <mergeCell ref="B28:E29"/>
  </mergeCells>
  <phoneticPr fontId="1"/>
  <pageMargins left="0.7" right="0.7" top="0.75" bottom="0.75" header="0.3" footer="0.3"/>
  <pageSetup paperSize="9"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K102"/>
  <sheetViews>
    <sheetView view="pageBreakPreview" topLeftCell="A13" zoomScaleNormal="100" zoomScaleSheetLayoutView="100" workbookViewId="0">
      <selection activeCell="A2" sqref="A2"/>
    </sheetView>
  </sheetViews>
  <sheetFormatPr defaultColWidth="3.109375" defaultRowHeight="18" customHeight="1" x14ac:dyDescent="0.2"/>
  <cols>
    <col min="1" max="1" width="3.109375" style="1"/>
    <col min="2" max="2" width="6.44140625" style="1" bestFit="1" customWidth="1"/>
    <col min="3" max="26" width="3.109375" style="1"/>
    <col min="27" max="27" width="9.109375" style="22" customWidth="1"/>
    <col min="28" max="16384" width="3.109375" style="1"/>
  </cols>
  <sheetData>
    <row r="1" spans="1:63" ht="15.75" customHeight="1" x14ac:dyDescent="0.2">
      <c r="A1" s="1" t="s">
        <v>512</v>
      </c>
    </row>
    <row r="2" spans="1:63" ht="15.75" customHeight="1" x14ac:dyDescent="0.2">
      <c r="A2" s="291"/>
      <c r="B2" s="291"/>
      <c r="C2" s="291"/>
      <c r="D2" s="291"/>
      <c r="E2" s="291"/>
      <c r="F2" s="291"/>
      <c r="G2" s="291"/>
      <c r="H2" s="291"/>
      <c r="I2" s="291"/>
      <c r="J2" s="291"/>
      <c r="K2" s="291"/>
      <c r="L2" s="291"/>
      <c r="M2" s="291"/>
      <c r="N2" s="291"/>
      <c r="O2" s="303" t="s">
        <v>262</v>
      </c>
      <c r="P2" s="292"/>
      <c r="Q2" s="483" t="str">
        <f>IF(【様式第６号】事業報告書兼チェックシート!E9="","",【様式第６号】事業報告書兼チェックシート!E9)</f>
        <v/>
      </c>
      <c r="R2" s="483"/>
      <c r="S2" s="304" t="s">
        <v>8</v>
      </c>
      <c r="T2" s="483" t="str">
        <f>IF(【様式第６号】事業報告書兼チェックシート!H9="","",【様式第６号】事業報告書兼チェックシート!H9)</f>
        <v/>
      </c>
      <c r="U2" s="483"/>
      <c r="V2" s="304" t="s">
        <v>416</v>
      </c>
      <c r="W2" s="483" t="str">
        <f>IF(【様式第６号】事業報告書兼チェックシート!K9="","",【様式第６号】事業報告書兼チェックシート!K9)</f>
        <v/>
      </c>
      <c r="X2" s="483"/>
      <c r="Y2" s="304" t="s">
        <v>7</v>
      </c>
      <c r="Z2" s="293"/>
      <c r="AA2" s="76" t="str">
        <f>IF(A2="令和　年　月　日","←申請日を入力してください。","")</f>
        <v/>
      </c>
      <c r="BK2" s="77" t="s">
        <v>218</v>
      </c>
    </row>
    <row r="3" spans="1:63" ht="11.25" customHeight="1" x14ac:dyDescent="0.2">
      <c r="A3" s="78"/>
      <c r="B3" s="78"/>
      <c r="C3" s="78"/>
      <c r="D3" s="78"/>
      <c r="E3" s="78"/>
      <c r="F3" s="78"/>
      <c r="G3" s="78"/>
      <c r="H3" s="78"/>
      <c r="I3" s="78"/>
      <c r="J3" s="78"/>
      <c r="K3" s="78"/>
      <c r="L3" s="78"/>
      <c r="M3" s="78"/>
      <c r="N3" s="78"/>
      <c r="O3" s="78"/>
      <c r="P3" s="78"/>
      <c r="Q3" s="78"/>
      <c r="R3" s="78"/>
      <c r="S3" s="78"/>
      <c r="T3" s="78"/>
      <c r="U3" s="78"/>
      <c r="V3" s="78"/>
      <c r="W3" s="78"/>
      <c r="X3" s="78"/>
      <c r="Y3" s="78"/>
      <c r="Z3" s="78"/>
      <c r="BK3" s="77" t="s">
        <v>219</v>
      </c>
    </row>
    <row r="4" spans="1:63" ht="11.25" customHeight="1" x14ac:dyDescent="0.2"/>
    <row r="5" spans="1:63" ht="15.75" customHeight="1" x14ac:dyDescent="0.2">
      <c r="B5" s="1" t="str">
        <f>IF(【様式第６号】事業報告書兼チェックシート!M28="","鳥取県　　　　　所長　様",【様式第６号】事業報告書兼チェックシート!BG28&amp;"　様")</f>
        <v>鳥取県　　　　　所長　様</v>
      </c>
    </row>
    <row r="6" spans="1:63" ht="11.25" customHeight="1" x14ac:dyDescent="0.2"/>
    <row r="7" spans="1:63" ht="11.25" customHeight="1" x14ac:dyDescent="0.2"/>
    <row r="8" spans="1:63" ht="15.75" customHeight="1" x14ac:dyDescent="0.2">
      <c r="M8" s="1" t="s">
        <v>13</v>
      </c>
    </row>
    <row r="9" spans="1:63" ht="15.75" customHeight="1" x14ac:dyDescent="0.2">
      <c r="M9" s="1" t="s">
        <v>12</v>
      </c>
      <c r="O9" s="1" t="s">
        <v>220</v>
      </c>
      <c r="P9" s="453" t="str">
        <f>IF(【様式第６号】事業報告書兼チェックシート!O11="","",【様式第６号】事業報告書兼チェックシート!O11)</f>
        <v/>
      </c>
      <c r="Q9" s="453"/>
      <c r="R9" s="453"/>
      <c r="S9" s="453"/>
      <c r="T9" s="453"/>
      <c r="U9" s="453"/>
      <c r="V9" s="453"/>
      <c r="W9" s="453"/>
      <c r="X9" s="453"/>
    </row>
    <row r="10" spans="1:63" ht="35.25" customHeight="1" x14ac:dyDescent="0.2">
      <c r="O10" s="360" t="str">
        <f>IF(【様式第６号】事業報告書兼チェックシート!N12="","",【様式第６号】事業報告書兼チェックシート!N12)</f>
        <v/>
      </c>
      <c r="P10" s="360"/>
      <c r="Q10" s="360"/>
      <c r="R10" s="360"/>
      <c r="S10" s="360"/>
      <c r="T10" s="360"/>
      <c r="U10" s="360"/>
      <c r="V10" s="360"/>
      <c r="W10" s="360"/>
      <c r="X10" s="360"/>
    </row>
    <row r="11" spans="1:63" ht="16.5" customHeight="1" x14ac:dyDescent="0.2">
      <c r="M11" s="1" t="s">
        <v>6</v>
      </c>
      <c r="O11" s="360" t="str">
        <f>IF(【様式第６号】事業報告書兼チェックシート!N13="","",【様式第６号】事業報告書兼チェックシート!N13)</f>
        <v/>
      </c>
      <c r="P11" s="360"/>
      <c r="Q11" s="360"/>
      <c r="R11" s="360"/>
      <c r="S11" s="360"/>
      <c r="T11" s="360"/>
      <c r="U11" s="360"/>
      <c r="V11" s="360"/>
      <c r="W11" s="360"/>
      <c r="X11" s="360"/>
      <c r="AA11" s="22" t="s">
        <v>65</v>
      </c>
    </row>
    <row r="12" spans="1:63" ht="16.5" customHeight="1" x14ac:dyDescent="0.2">
      <c r="M12" s="1" t="s">
        <v>9</v>
      </c>
      <c r="O12" s="360" t="str">
        <f>IF(【様式第６号】事業報告書兼チェックシート!N14="","",【様式第６号】事業報告書兼チェックシート!N14)</f>
        <v/>
      </c>
      <c r="P12" s="360"/>
      <c r="Q12" s="360"/>
      <c r="R12" s="360"/>
      <c r="S12" s="360"/>
      <c r="T12" s="360"/>
      <c r="U12" s="360"/>
      <c r="V12" s="360"/>
      <c r="W12" s="360"/>
      <c r="X12" s="360"/>
    </row>
    <row r="13" spans="1:63" ht="12" customHeight="1" x14ac:dyDescent="0.2"/>
    <row r="14" spans="1:63" ht="12" customHeight="1" x14ac:dyDescent="0.2"/>
    <row r="15" spans="1:63" ht="16.5" customHeight="1" x14ac:dyDescent="0.2">
      <c r="A15" s="461" t="s">
        <v>475</v>
      </c>
      <c r="B15" s="461"/>
      <c r="C15" s="461"/>
      <c r="D15" s="461"/>
      <c r="E15" s="461"/>
      <c r="F15" s="461"/>
      <c r="G15" s="461"/>
      <c r="H15" s="461"/>
      <c r="I15" s="461"/>
      <c r="J15" s="461"/>
      <c r="K15" s="461"/>
      <c r="L15" s="461"/>
      <c r="M15" s="461"/>
      <c r="N15" s="461"/>
      <c r="O15" s="461"/>
      <c r="P15" s="461"/>
      <c r="Q15" s="461"/>
      <c r="R15" s="461"/>
      <c r="S15" s="461"/>
      <c r="T15" s="461"/>
      <c r="U15" s="461"/>
      <c r="V15" s="461"/>
      <c r="W15" s="461"/>
      <c r="X15" s="461"/>
      <c r="Y15" s="461"/>
      <c r="Z15" s="461"/>
      <c r="AA15" s="79"/>
      <c r="AB15" s="79"/>
      <c r="AC15" s="79"/>
      <c r="AD15" s="79"/>
      <c r="AE15" s="79"/>
      <c r="AF15" s="79"/>
      <c r="AG15" s="79"/>
    </row>
    <row r="16" spans="1:63" ht="12.75" customHeight="1" x14ac:dyDescent="0.2">
      <c r="AA16" s="79"/>
      <c r="AB16" s="79"/>
      <c r="AC16" s="484"/>
      <c r="AD16" s="485"/>
      <c r="AE16" s="485"/>
      <c r="AF16" s="485"/>
      <c r="AG16" s="486"/>
      <c r="AH16" s="68"/>
    </row>
    <row r="17" spans="1:52" ht="45" customHeight="1" x14ac:dyDescent="0.2">
      <c r="A17" s="360" t="s">
        <v>477</v>
      </c>
      <c r="B17" s="360"/>
      <c r="C17" s="360"/>
      <c r="D17" s="360"/>
      <c r="E17" s="360"/>
      <c r="F17" s="360"/>
      <c r="G17" s="360"/>
      <c r="H17" s="360"/>
      <c r="I17" s="360"/>
      <c r="J17" s="360"/>
      <c r="K17" s="360"/>
      <c r="L17" s="360"/>
      <c r="M17" s="360"/>
      <c r="N17" s="360"/>
      <c r="O17" s="360"/>
      <c r="P17" s="360"/>
      <c r="Q17" s="360"/>
      <c r="R17" s="360"/>
      <c r="S17" s="360"/>
      <c r="T17" s="360"/>
      <c r="U17" s="360"/>
      <c r="V17" s="360"/>
      <c r="W17" s="360"/>
      <c r="X17" s="360"/>
      <c r="Y17" s="360"/>
      <c r="Z17" s="360"/>
      <c r="AA17" s="76" t="str">
        <f>IF(OR(A17=BK2,A17=BK3),"←交付決定年月日及びその番号を入力してください（変更承認を受けている場合はその承認年月日及びその番号の追記も必要になります。）","")</f>
        <v/>
      </c>
    </row>
    <row r="18" spans="1:52" ht="16.5" customHeight="1" x14ac:dyDescent="0.2">
      <c r="AA18" s="79"/>
    </row>
    <row r="19" spans="1:52" ht="16.5" customHeight="1" x14ac:dyDescent="0.2">
      <c r="A19" s="461" t="s">
        <v>14</v>
      </c>
      <c r="B19" s="461"/>
      <c r="C19" s="461"/>
      <c r="D19" s="461"/>
      <c r="E19" s="461"/>
      <c r="F19" s="461"/>
      <c r="G19" s="461"/>
      <c r="H19" s="461"/>
      <c r="I19" s="461"/>
      <c r="J19" s="461"/>
      <c r="K19" s="461"/>
      <c r="L19" s="461"/>
      <c r="M19" s="461"/>
      <c r="N19" s="461"/>
      <c r="O19" s="461"/>
      <c r="P19" s="461"/>
      <c r="Q19" s="461"/>
      <c r="R19" s="461"/>
      <c r="S19" s="461"/>
      <c r="T19" s="461"/>
      <c r="U19" s="461"/>
      <c r="V19" s="461"/>
      <c r="W19" s="461"/>
      <c r="X19" s="461"/>
      <c r="Y19" s="461"/>
      <c r="Z19" s="461"/>
      <c r="AA19" s="487"/>
      <c r="AB19" s="487"/>
      <c r="AC19" s="487"/>
      <c r="AD19" s="487"/>
      <c r="AE19" s="487"/>
      <c r="AF19" s="487"/>
      <c r="AG19" s="487"/>
      <c r="AH19" s="487"/>
      <c r="AI19" s="487"/>
      <c r="AJ19" s="487"/>
      <c r="AK19" s="487"/>
      <c r="AL19" s="487"/>
      <c r="AM19" s="487"/>
      <c r="AN19" s="487"/>
      <c r="AO19" s="487"/>
      <c r="AP19" s="487"/>
      <c r="AQ19" s="487"/>
      <c r="AR19" s="487"/>
      <c r="AS19" s="487"/>
      <c r="AT19" s="487"/>
      <c r="AU19" s="487"/>
      <c r="AV19" s="487"/>
      <c r="AW19" s="487"/>
      <c r="AX19" s="487"/>
      <c r="AY19" s="487"/>
      <c r="AZ19" s="487"/>
    </row>
    <row r="20" spans="1:52" ht="16.5" customHeight="1" x14ac:dyDescent="0.2"/>
    <row r="21" spans="1:52" ht="16.5" customHeight="1" x14ac:dyDescent="0.2">
      <c r="B21" s="347" t="s">
        <v>221</v>
      </c>
      <c r="C21" s="348"/>
      <c r="D21" s="348"/>
      <c r="E21" s="348"/>
      <c r="F21" s="348"/>
      <c r="G21" s="349"/>
      <c r="H21" s="347" t="s">
        <v>15</v>
      </c>
      <c r="I21" s="348"/>
      <c r="J21" s="348"/>
      <c r="K21" s="348"/>
      <c r="L21" s="348"/>
      <c r="M21" s="348"/>
      <c r="N21" s="348"/>
      <c r="O21" s="348"/>
      <c r="P21" s="348"/>
      <c r="Q21" s="348"/>
      <c r="R21" s="348"/>
      <c r="S21" s="348"/>
      <c r="T21" s="348"/>
      <c r="U21" s="348"/>
      <c r="V21" s="348"/>
      <c r="W21" s="348"/>
      <c r="X21" s="348"/>
      <c r="Y21" s="349"/>
    </row>
    <row r="22" spans="1:52" ht="16.5" customHeight="1" x14ac:dyDescent="0.2">
      <c r="B22" s="369" t="s">
        <v>474</v>
      </c>
      <c r="C22" s="370"/>
      <c r="D22" s="370"/>
      <c r="E22" s="370"/>
      <c r="F22" s="370"/>
      <c r="G22" s="371"/>
      <c r="H22" s="490" t="s">
        <v>16</v>
      </c>
      <c r="I22" s="491"/>
      <c r="J22" s="491"/>
      <c r="K22" s="491"/>
      <c r="L22" s="491"/>
      <c r="M22" s="491"/>
      <c r="N22" s="491"/>
      <c r="O22" s="491"/>
      <c r="P22" s="492"/>
      <c r="Q22" s="347" t="s">
        <v>473</v>
      </c>
      <c r="R22" s="348"/>
      <c r="S22" s="348"/>
      <c r="T22" s="348"/>
      <c r="U22" s="348"/>
      <c r="V22" s="348"/>
      <c r="W22" s="348"/>
      <c r="X22" s="348"/>
      <c r="Y22" s="349"/>
    </row>
    <row r="23" spans="1:52" ht="16.5" customHeight="1" x14ac:dyDescent="0.2">
      <c r="B23" s="372"/>
      <c r="C23" s="373"/>
      <c r="D23" s="373"/>
      <c r="E23" s="373"/>
      <c r="F23" s="373"/>
      <c r="G23" s="374"/>
      <c r="H23" s="488" t="str">
        <f>IF('要入力　登録決定状況入力シート'!C12="","",'要入力　登録決定状況入力シート'!C12)</f>
        <v/>
      </c>
      <c r="I23" s="489"/>
      <c r="J23" s="489"/>
      <c r="K23" s="489"/>
      <c r="L23" s="489"/>
      <c r="M23" s="489"/>
      <c r="N23" s="489"/>
      <c r="O23" s="489"/>
      <c r="P23" s="80" t="s">
        <v>17</v>
      </c>
      <c r="Q23" s="488" t="str">
        <f>IF('要入力　登録決定状況入力シート'!D12="","",'要入力　登録決定状況入力シート'!D12)</f>
        <v/>
      </c>
      <c r="R23" s="489"/>
      <c r="S23" s="489"/>
      <c r="T23" s="489"/>
      <c r="U23" s="489"/>
      <c r="V23" s="489"/>
      <c r="W23" s="489"/>
      <c r="X23" s="489"/>
      <c r="Y23" s="80" t="s">
        <v>17</v>
      </c>
      <c r="AA23" s="22" t="s">
        <v>267</v>
      </c>
    </row>
    <row r="24" spans="1:52" ht="16.5" customHeight="1" x14ac:dyDescent="0.2">
      <c r="B24" s="347" t="s">
        <v>472</v>
      </c>
      <c r="C24" s="348"/>
      <c r="D24" s="348"/>
      <c r="E24" s="348"/>
      <c r="F24" s="348"/>
      <c r="G24" s="349"/>
      <c r="H24" s="488" t="str">
        <f>IF('要入力　登録決定状況入力シート'!G12="","",'要入力　登録決定状況入力シート'!G12)</f>
        <v/>
      </c>
      <c r="I24" s="489"/>
      <c r="J24" s="489"/>
      <c r="K24" s="489"/>
      <c r="L24" s="489"/>
      <c r="M24" s="489"/>
      <c r="N24" s="489"/>
      <c r="O24" s="489"/>
      <c r="P24" s="80" t="s">
        <v>17</v>
      </c>
      <c r="Q24" s="488" t="str">
        <f>IF('要入力　登録決定状況入力シート'!H12="","",'要入力　登録決定状況入力シート'!H12)</f>
        <v/>
      </c>
      <c r="R24" s="489"/>
      <c r="S24" s="489"/>
      <c r="T24" s="489"/>
      <c r="U24" s="489"/>
      <c r="V24" s="489"/>
      <c r="W24" s="489"/>
      <c r="X24" s="489"/>
      <c r="Y24" s="80" t="s">
        <v>17</v>
      </c>
      <c r="AA24" s="22" t="s">
        <v>229</v>
      </c>
    </row>
    <row r="25" spans="1:52" ht="16.5" customHeight="1" x14ac:dyDescent="0.2">
      <c r="B25" s="347" t="s">
        <v>222</v>
      </c>
      <c r="C25" s="348"/>
      <c r="D25" s="348"/>
      <c r="E25" s="348"/>
      <c r="F25" s="348"/>
      <c r="G25" s="349"/>
      <c r="H25" s="488" t="str">
        <f>IF(H23="","",H24-H23)</f>
        <v/>
      </c>
      <c r="I25" s="489"/>
      <c r="J25" s="489"/>
      <c r="K25" s="489"/>
      <c r="L25" s="489"/>
      <c r="M25" s="489"/>
      <c r="N25" s="489"/>
      <c r="O25" s="489"/>
      <c r="P25" s="80" t="s">
        <v>17</v>
      </c>
      <c r="Q25" s="488" t="str">
        <f>IF(Q23="","",Q24-Q23)</f>
        <v/>
      </c>
      <c r="R25" s="489"/>
      <c r="S25" s="489"/>
      <c r="T25" s="489"/>
      <c r="U25" s="489"/>
      <c r="V25" s="489"/>
      <c r="W25" s="489"/>
      <c r="X25" s="489"/>
      <c r="Y25" s="80" t="s">
        <v>17</v>
      </c>
      <c r="AA25" s="79"/>
    </row>
    <row r="26" spans="1:52" ht="16.5" customHeight="1" x14ac:dyDescent="0.2">
      <c r="B26" s="39"/>
      <c r="C26" s="39"/>
      <c r="D26" s="39"/>
      <c r="E26" s="39"/>
      <c r="F26" s="39"/>
      <c r="G26" s="39"/>
      <c r="H26" s="108"/>
      <c r="I26" s="108"/>
      <c r="J26" s="108"/>
      <c r="K26" s="108"/>
      <c r="L26" s="108"/>
      <c r="M26" s="108"/>
      <c r="N26" s="108"/>
      <c r="O26" s="108"/>
      <c r="P26" s="109"/>
      <c r="Q26" s="108"/>
      <c r="R26" s="108"/>
      <c r="S26" s="108"/>
      <c r="T26" s="108"/>
      <c r="U26" s="108"/>
      <c r="V26" s="108"/>
      <c r="W26" s="108"/>
      <c r="X26" s="108"/>
      <c r="Y26" s="109"/>
      <c r="AA26" s="79"/>
    </row>
    <row r="27" spans="1:52" ht="16.5" customHeight="1" x14ac:dyDescent="0.2">
      <c r="B27" s="39"/>
      <c r="C27" s="39"/>
      <c r="D27" s="39"/>
      <c r="E27" s="39"/>
      <c r="F27" s="39"/>
      <c r="G27" s="39"/>
      <c r="H27" s="108"/>
      <c r="I27" s="108"/>
      <c r="J27" s="108"/>
      <c r="K27" s="108"/>
      <c r="L27" s="108"/>
      <c r="M27" s="108"/>
      <c r="N27" s="108"/>
      <c r="O27" s="108"/>
      <c r="P27" s="109"/>
      <c r="Q27" s="108"/>
      <c r="R27" s="108"/>
      <c r="S27" s="108"/>
      <c r="T27" s="108"/>
      <c r="U27" s="108"/>
      <c r="V27" s="108"/>
      <c r="W27" s="108"/>
      <c r="X27" s="108"/>
      <c r="Y27" s="109"/>
      <c r="AA27" s="79"/>
    </row>
    <row r="28" spans="1:52" ht="16.5" customHeight="1" x14ac:dyDescent="0.2">
      <c r="B28" s="39"/>
      <c r="C28" s="39"/>
      <c r="D28" s="39"/>
      <c r="E28" s="39"/>
      <c r="F28" s="39"/>
      <c r="G28" s="39"/>
      <c r="H28" s="108"/>
      <c r="I28" s="108"/>
      <c r="J28" s="108"/>
      <c r="K28" s="108"/>
      <c r="L28" s="108"/>
      <c r="M28" s="108"/>
      <c r="N28" s="108"/>
      <c r="O28" s="108"/>
      <c r="P28" s="109"/>
      <c r="Q28" s="108"/>
      <c r="R28" s="108"/>
      <c r="S28" s="108"/>
      <c r="T28" s="108"/>
      <c r="U28" s="108"/>
      <c r="V28" s="108"/>
      <c r="W28" s="108"/>
      <c r="X28" s="108"/>
      <c r="Y28" s="109"/>
      <c r="AA28" s="79"/>
    </row>
    <row r="29" spans="1:52" ht="16.5" customHeight="1" x14ac:dyDescent="0.2">
      <c r="B29" s="39"/>
      <c r="C29" s="39"/>
      <c r="D29" s="39"/>
      <c r="E29" s="39"/>
      <c r="F29" s="39"/>
      <c r="G29" s="39"/>
      <c r="H29" s="108"/>
      <c r="I29" s="108"/>
      <c r="J29" s="108"/>
      <c r="K29" s="108"/>
      <c r="L29" s="108"/>
      <c r="M29" s="108"/>
      <c r="N29" s="108"/>
      <c r="O29" s="108"/>
      <c r="P29" s="109"/>
      <c r="Q29" s="108"/>
      <c r="R29" s="108"/>
      <c r="S29" s="108"/>
      <c r="T29" s="108"/>
      <c r="U29" s="108"/>
      <c r="V29" s="108"/>
      <c r="W29" s="108"/>
      <c r="X29" s="108"/>
      <c r="Y29" s="109"/>
      <c r="AA29" s="79"/>
    </row>
    <row r="30" spans="1:52" ht="16.5" customHeight="1" x14ac:dyDescent="0.2">
      <c r="B30" s="39"/>
      <c r="C30" s="39"/>
      <c r="D30" s="39"/>
      <c r="E30" s="39"/>
      <c r="F30" s="39"/>
      <c r="G30" s="39"/>
      <c r="H30" s="108"/>
      <c r="I30" s="108"/>
      <c r="J30" s="108"/>
      <c r="K30" s="108"/>
      <c r="L30" s="108"/>
      <c r="M30" s="108"/>
      <c r="N30" s="108"/>
      <c r="O30" s="108"/>
      <c r="P30" s="109"/>
      <c r="Q30" s="108"/>
      <c r="R30" s="108"/>
      <c r="S30" s="108"/>
      <c r="T30" s="108"/>
      <c r="U30" s="108"/>
      <c r="V30" s="108"/>
      <c r="W30" s="108"/>
      <c r="X30" s="108"/>
      <c r="Y30" s="109"/>
      <c r="AA30" s="79"/>
    </row>
    <row r="31" spans="1:52" ht="16.5" customHeight="1" x14ac:dyDescent="0.2">
      <c r="B31" s="39"/>
      <c r="C31" s="39"/>
      <c r="D31" s="39"/>
      <c r="E31" s="39"/>
      <c r="F31" s="39"/>
      <c r="G31" s="39"/>
      <c r="H31" s="108"/>
      <c r="I31" s="108"/>
      <c r="J31" s="108"/>
      <c r="K31" s="108"/>
      <c r="L31" s="108"/>
      <c r="M31" s="108"/>
      <c r="N31" s="108"/>
      <c r="O31" s="108"/>
      <c r="P31" s="109"/>
      <c r="Q31" s="108"/>
      <c r="R31" s="108"/>
      <c r="S31" s="108"/>
      <c r="T31" s="108"/>
      <c r="U31" s="108"/>
      <c r="V31" s="108"/>
      <c r="W31" s="108"/>
      <c r="X31" s="108"/>
      <c r="Y31" s="109"/>
      <c r="AA31" s="79"/>
    </row>
    <row r="32" spans="1:52" ht="16.5" customHeight="1" x14ac:dyDescent="0.2">
      <c r="B32" s="39"/>
      <c r="C32" s="39"/>
      <c r="D32" s="39"/>
      <c r="E32" s="39"/>
      <c r="F32" s="39"/>
      <c r="G32" s="39"/>
      <c r="H32" s="108"/>
      <c r="I32" s="108"/>
      <c r="J32" s="108"/>
      <c r="K32" s="108"/>
      <c r="L32" s="108"/>
      <c r="M32" s="108"/>
      <c r="N32" s="108"/>
      <c r="O32" s="108"/>
      <c r="P32" s="109"/>
      <c r="Q32" s="108"/>
      <c r="R32" s="108"/>
      <c r="S32" s="108"/>
      <c r="T32" s="108"/>
      <c r="U32" s="108"/>
      <c r="V32" s="108"/>
      <c r="W32" s="108"/>
      <c r="X32" s="108"/>
      <c r="Y32" s="109"/>
      <c r="AA32" s="79"/>
    </row>
    <row r="33" spans="2:27" ht="16.5" customHeight="1" x14ac:dyDescent="0.2">
      <c r="B33" s="39"/>
      <c r="C33" s="39"/>
      <c r="D33" s="39"/>
      <c r="E33" s="39"/>
      <c r="F33" s="39"/>
      <c r="G33" s="39"/>
      <c r="H33" s="108"/>
      <c r="I33" s="108"/>
      <c r="J33" s="108"/>
      <c r="K33" s="108"/>
      <c r="L33" s="108"/>
      <c r="M33" s="108"/>
      <c r="N33" s="108"/>
      <c r="O33" s="108"/>
      <c r="P33" s="109"/>
      <c r="Q33" s="108"/>
      <c r="R33" s="108"/>
      <c r="S33" s="108"/>
      <c r="T33" s="108"/>
      <c r="U33" s="108"/>
      <c r="V33" s="108"/>
      <c r="W33" s="108"/>
      <c r="X33" s="108"/>
      <c r="Y33" s="109"/>
      <c r="AA33" s="79"/>
    </row>
    <row r="34" spans="2:27" ht="16.5" customHeight="1" x14ac:dyDescent="0.2">
      <c r="B34" s="39"/>
      <c r="C34" s="39"/>
      <c r="D34" s="39"/>
      <c r="E34" s="39"/>
      <c r="F34" s="39"/>
      <c r="G34" s="39"/>
      <c r="H34" s="108"/>
      <c r="I34" s="108"/>
      <c r="J34" s="108"/>
      <c r="K34" s="108"/>
      <c r="L34" s="108"/>
      <c r="M34" s="108"/>
      <c r="N34" s="108"/>
      <c r="O34" s="108"/>
      <c r="P34" s="109"/>
      <c r="Q34" s="108"/>
      <c r="R34" s="108"/>
      <c r="S34" s="108"/>
      <c r="T34" s="108"/>
      <c r="U34" s="108"/>
      <c r="V34" s="108"/>
      <c r="W34" s="108"/>
      <c r="X34" s="108"/>
      <c r="Y34" s="109"/>
      <c r="AA34" s="79"/>
    </row>
    <row r="35" spans="2:27" ht="16.5" customHeight="1" x14ac:dyDescent="0.2">
      <c r="B35" s="39"/>
      <c r="C35" s="39"/>
      <c r="D35" s="39"/>
      <c r="E35" s="39"/>
      <c r="F35" s="39"/>
      <c r="G35" s="39"/>
      <c r="H35" s="108"/>
      <c r="I35" s="108"/>
      <c r="J35" s="108"/>
      <c r="K35" s="108"/>
      <c r="L35" s="108"/>
      <c r="M35" s="108"/>
      <c r="N35" s="108"/>
      <c r="O35" s="108"/>
      <c r="P35" s="109"/>
      <c r="Q35" s="108"/>
      <c r="R35" s="108"/>
      <c r="S35" s="108"/>
      <c r="T35" s="108"/>
      <c r="U35" s="108"/>
      <c r="V35" s="108"/>
      <c r="W35" s="108"/>
      <c r="X35" s="108"/>
      <c r="Y35" s="109"/>
      <c r="AA35" s="79"/>
    </row>
    <row r="36" spans="2:27" ht="16.5" customHeight="1" x14ac:dyDescent="0.2">
      <c r="B36" s="39"/>
      <c r="C36" s="39"/>
      <c r="D36" s="39"/>
      <c r="E36" s="39"/>
      <c r="F36" s="39"/>
      <c r="G36" s="39"/>
      <c r="H36" s="108"/>
      <c r="I36" s="108"/>
      <c r="J36" s="108"/>
      <c r="K36" s="108"/>
      <c r="L36" s="108"/>
      <c r="M36" s="108"/>
      <c r="N36" s="108"/>
      <c r="O36" s="108"/>
      <c r="P36" s="109"/>
      <c r="Q36" s="108"/>
      <c r="R36" s="108"/>
      <c r="S36" s="108"/>
      <c r="T36" s="108"/>
      <c r="U36" s="108"/>
      <c r="V36" s="108"/>
      <c r="W36" s="108"/>
      <c r="X36" s="108"/>
      <c r="Y36" s="109"/>
      <c r="AA36" s="79"/>
    </row>
    <row r="37" spans="2:27" ht="16.5" customHeight="1" x14ac:dyDescent="0.2">
      <c r="B37" s="39"/>
      <c r="C37" s="39"/>
      <c r="D37" s="39"/>
      <c r="E37" s="39"/>
      <c r="F37" s="39"/>
      <c r="G37" s="39"/>
      <c r="H37" s="108"/>
      <c r="I37" s="108"/>
      <c r="J37" s="108"/>
      <c r="K37" s="108"/>
      <c r="L37" s="108"/>
      <c r="M37" s="108"/>
      <c r="N37" s="108"/>
      <c r="O37" s="108"/>
      <c r="P37" s="109"/>
      <c r="Q37" s="108"/>
      <c r="R37" s="108"/>
      <c r="S37" s="108"/>
      <c r="T37" s="108"/>
      <c r="U37" s="108"/>
      <c r="V37" s="108"/>
      <c r="W37" s="108"/>
      <c r="X37" s="108"/>
      <c r="Y37" s="109"/>
      <c r="AA37" s="79"/>
    </row>
    <row r="38" spans="2:27" ht="16.5" customHeight="1" x14ac:dyDescent="0.2">
      <c r="B38" s="39"/>
      <c r="C38" s="39"/>
      <c r="D38" s="39"/>
      <c r="E38" s="39"/>
      <c r="F38" s="39"/>
      <c r="G38" s="39"/>
      <c r="H38" s="108"/>
      <c r="I38" s="108"/>
      <c r="J38" s="108"/>
      <c r="K38" s="108"/>
      <c r="L38" s="108"/>
      <c r="M38" s="108"/>
      <c r="N38" s="108"/>
      <c r="O38" s="108"/>
      <c r="P38" s="109"/>
      <c r="Q38" s="108"/>
      <c r="R38" s="108"/>
      <c r="S38" s="108"/>
      <c r="T38" s="108"/>
      <c r="U38" s="108"/>
      <c r="V38" s="108"/>
      <c r="W38" s="108"/>
      <c r="X38" s="108"/>
      <c r="Y38" s="109"/>
      <c r="AA38" s="79"/>
    </row>
    <row r="39" spans="2:27" ht="16.5" customHeight="1" x14ac:dyDescent="0.2">
      <c r="B39" s="39"/>
      <c r="C39" s="39"/>
      <c r="D39" s="39"/>
      <c r="E39" s="39"/>
      <c r="F39" s="39"/>
      <c r="G39" s="39"/>
      <c r="H39" s="108"/>
      <c r="I39" s="108"/>
      <c r="J39" s="108"/>
      <c r="K39" s="108"/>
      <c r="L39" s="108"/>
      <c r="M39" s="108"/>
      <c r="N39" s="108"/>
      <c r="O39" s="108"/>
      <c r="P39" s="109"/>
      <c r="Q39" s="108"/>
      <c r="R39" s="108"/>
      <c r="S39" s="108"/>
      <c r="T39" s="108"/>
      <c r="U39" s="108"/>
      <c r="V39" s="108"/>
      <c r="W39" s="108"/>
      <c r="X39" s="108"/>
      <c r="Y39" s="109"/>
      <c r="AA39" s="79"/>
    </row>
    <row r="40" spans="2:27" ht="16.5" customHeight="1" x14ac:dyDescent="0.2">
      <c r="B40" s="39"/>
      <c r="C40" s="39"/>
      <c r="D40" s="39"/>
      <c r="E40" s="39"/>
      <c r="F40" s="39"/>
      <c r="G40" s="39"/>
      <c r="H40" s="108"/>
      <c r="I40" s="108"/>
      <c r="J40" s="108"/>
      <c r="K40" s="108"/>
      <c r="L40" s="108"/>
      <c r="M40" s="108"/>
      <c r="N40" s="108"/>
      <c r="O40" s="108"/>
      <c r="P40" s="109"/>
      <c r="Q40" s="108"/>
      <c r="R40" s="108"/>
      <c r="S40" s="108"/>
      <c r="T40" s="108"/>
      <c r="U40" s="108"/>
      <c r="V40" s="108"/>
      <c r="W40" s="108"/>
      <c r="X40" s="108"/>
      <c r="Y40" s="109"/>
      <c r="AA40" s="79"/>
    </row>
    <row r="41" spans="2:27" ht="16.5" customHeight="1" x14ac:dyDescent="0.2">
      <c r="B41" s="39"/>
      <c r="C41" s="39"/>
      <c r="D41" s="39"/>
      <c r="E41" s="39"/>
      <c r="F41" s="39"/>
      <c r="G41" s="39"/>
      <c r="H41" s="108"/>
      <c r="I41" s="108"/>
      <c r="J41" s="108"/>
      <c r="K41" s="108"/>
      <c r="L41" s="108"/>
      <c r="M41" s="108"/>
      <c r="N41" s="108"/>
      <c r="O41" s="108"/>
      <c r="P41" s="109"/>
      <c r="Q41" s="108"/>
      <c r="R41" s="108"/>
      <c r="S41" s="108"/>
      <c r="T41" s="108"/>
      <c r="U41" s="108"/>
      <c r="V41" s="108"/>
      <c r="W41" s="108"/>
      <c r="X41" s="108"/>
      <c r="Y41" s="109"/>
      <c r="AA41" s="79"/>
    </row>
    <row r="42" spans="2:27" ht="16.5" customHeight="1" x14ac:dyDescent="0.2">
      <c r="B42" s="39"/>
      <c r="C42" s="39"/>
      <c r="D42" s="39"/>
      <c r="E42" s="39"/>
      <c r="F42" s="39"/>
      <c r="G42" s="39"/>
      <c r="H42" s="108"/>
      <c r="I42" s="108"/>
      <c r="J42" s="108"/>
      <c r="K42" s="108"/>
      <c r="L42" s="108"/>
      <c r="M42" s="108"/>
      <c r="N42" s="108"/>
      <c r="O42" s="108"/>
      <c r="P42" s="109"/>
      <c r="Q42" s="108"/>
      <c r="R42" s="108"/>
      <c r="S42" s="108"/>
      <c r="T42" s="108"/>
      <c r="U42" s="108"/>
      <c r="V42" s="108"/>
      <c r="W42" s="108"/>
      <c r="X42" s="108"/>
      <c r="Y42" s="109"/>
      <c r="AA42" s="79"/>
    </row>
    <row r="43" spans="2:27" ht="16.5" customHeight="1" x14ac:dyDescent="0.2">
      <c r="B43" s="39"/>
      <c r="C43" s="39"/>
      <c r="D43" s="39"/>
      <c r="E43" s="39"/>
      <c r="F43" s="39"/>
      <c r="G43" s="39"/>
      <c r="H43" s="108"/>
      <c r="I43" s="108"/>
      <c r="J43" s="108"/>
      <c r="K43" s="108"/>
      <c r="L43" s="108"/>
      <c r="M43" s="108"/>
      <c r="N43" s="108"/>
      <c r="O43" s="108"/>
      <c r="P43" s="109"/>
      <c r="Q43" s="108"/>
      <c r="R43" s="108"/>
      <c r="S43" s="108"/>
      <c r="T43" s="108"/>
      <c r="U43" s="108"/>
      <c r="V43" s="108"/>
      <c r="W43" s="108"/>
      <c r="X43" s="108"/>
      <c r="Y43" s="109"/>
      <c r="AA43" s="79"/>
    </row>
    <row r="44" spans="2:27" ht="16.5" customHeight="1" x14ac:dyDescent="0.2">
      <c r="B44" s="39"/>
      <c r="C44" s="39"/>
      <c r="D44" s="39"/>
      <c r="E44" s="39"/>
      <c r="F44" s="39"/>
      <c r="G44" s="39"/>
      <c r="H44" s="108"/>
      <c r="I44" s="108"/>
      <c r="J44" s="108"/>
      <c r="K44" s="108"/>
      <c r="L44" s="108"/>
      <c r="M44" s="108"/>
      <c r="N44" s="108"/>
      <c r="O44" s="108"/>
      <c r="P44" s="109"/>
      <c r="Q44" s="108"/>
      <c r="R44" s="108"/>
      <c r="S44" s="108"/>
      <c r="T44" s="108"/>
      <c r="U44" s="108"/>
      <c r="V44" s="108"/>
      <c r="W44" s="108"/>
      <c r="X44" s="108"/>
      <c r="Y44" s="109"/>
      <c r="AA44" s="79"/>
    </row>
    <row r="45" spans="2:27" ht="16.5" customHeight="1" x14ac:dyDescent="0.2">
      <c r="B45" s="39"/>
      <c r="C45" s="39"/>
      <c r="D45" s="39"/>
      <c r="E45" s="39"/>
      <c r="F45" s="39"/>
      <c r="G45" s="39"/>
      <c r="H45" s="108"/>
      <c r="I45" s="108"/>
      <c r="J45" s="108"/>
      <c r="K45" s="108"/>
      <c r="L45" s="108"/>
      <c r="M45" s="108"/>
      <c r="N45" s="108"/>
      <c r="O45" s="108"/>
      <c r="P45" s="109"/>
      <c r="Q45" s="108"/>
      <c r="R45" s="108"/>
      <c r="S45" s="108"/>
      <c r="T45" s="108"/>
      <c r="U45" s="108"/>
      <c r="V45" s="108"/>
      <c r="W45" s="108"/>
      <c r="X45" s="108"/>
      <c r="Y45" s="109"/>
      <c r="AA45" s="79"/>
    </row>
    <row r="46" spans="2:27" ht="16.5" customHeight="1" x14ac:dyDescent="0.2">
      <c r="B46" s="39"/>
      <c r="C46" s="39"/>
      <c r="D46" s="39"/>
      <c r="E46" s="39"/>
      <c r="F46" s="39"/>
      <c r="G46" s="39"/>
      <c r="H46" s="108"/>
      <c r="I46" s="108"/>
      <c r="J46" s="108"/>
      <c r="K46" s="108"/>
      <c r="L46" s="108"/>
      <c r="M46" s="108"/>
      <c r="N46" s="108"/>
      <c r="O46" s="108"/>
      <c r="P46" s="109"/>
      <c r="Q46" s="108"/>
      <c r="R46" s="108"/>
      <c r="S46" s="108"/>
      <c r="T46" s="108"/>
      <c r="U46" s="108"/>
      <c r="V46" s="108"/>
      <c r="W46" s="108"/>
      <c r="X46" s="108"/>
      <c r="Y46" s="109"/>
      <c r="AA46" s="79"/>
    </row>
    <row r="47" spans="2:27" ht="16.5" customHeight="1" x14ac:dyDescent="0.2">
      <c r="B47" s="39"/>
      <c r="C47" s="39"/>
      <c r="D47" s="39"/>
      <c r="E47" s="39"/>
      <c r="F47" s="39"/>
      <c r="G47" s="39"/>
      <c r="H47" s="108"/>
      <c r="I47" s="108"/>
      <c r="J47" s="108"/>
      <c r="K47" s="108"/>
      <c r="L47" s="108"/>
      <c r="M47" s="108"/>
      <c r="N47" s="108"/>
      <c r="O47" s="108"/>
      <c r="P47" s="109"/>
      <c r="Q47" s="108"/>
      <c r="R47" s="108"/>
      <c r="S47" s="108"/>
      <c r="T47" s="108"/>
      <c r="U47" s="108"/>
      <c r="V47" s="108"/>
      <c r="W47" s="108"/>
      <c r="X47" s="108"/>
      <c r="Y47" s="109"/>
      <c r="AA47" s="79"/>
    </row>
    <row r="48" spans="2:27" ht="16.5" customHeight="1" x14ac:dyDescent="0.2">
      <c r="B48" s="39"/>
      <c r="C48" s="39"/>
      <c r="D48" s="39"/>
      <c r="E48" s="39"/>
      <c r="F48" s="39"/>
      <c r="G48" s="39"/>
      <c r="H48" s="108"/>
      <c r="I48" s="108"/>
      <c r="J48" s="108"/>
      <c r="K48" s="108"/>
      <c r="L48" s="108"/>
      <c r="M48" s="108"/>
      <c r="N48" s="108"/>
      <c r="O48" s="108"/>
      <c r="P48" s="109"/>
      <c r="Q48" s="108"/>
      <c r="R48" s="108"/>
      <c r="S48" s="108"/>
      <c r="T48" s="108"/>
      <c r="U48" s="108"/>
      <c r="V48" s="108"/>
      <c r="W48" s="108"/>
      <c r="X48" s="108"/>
      <c r="Y48" s="110" t="s">
        <v>266</v>
      </c>
      <c r="AA48" s="79"/>
    </row>
    <row r="49" spans="2:27" ht="16.5" customHeight="1" x14ac:dyDescent="0.2">
      <c r="B49" s="39"/>
      <c r="C49" s="39"/>
      <c r="D49" s="39"/>
      <c r="E49" s="39"/>
      <c r="F49" s="39"/>
      <c r="G49" s="39"/>
      <c r="H49" s="108"/>
      <c r="I49" s="108"/>
      <c r="J49" s="108"/>
      <c r="K49" s="108"/>
      <c r="L49" s="108"/>
      <c r="M49" s="108"/>
      <c r="N49" s="108"/>
      <c r="O49" s="108"/>
      <c r="P49" s="109"/>
      <c r="Q49" s="108"/>
      <c r="R49" s="108"/>
      <c r="S49" s="108"/>
      <c r="T49" s="108"/>
      <c r="U49" s="108"/>
      <c r="V49" s="108"/>
      <c r="W49" s="108"/>
      <c r="X49" s="108"/>
      <c r="Y49" s="109"/>
      <c r="AA49" s="79"/>
    </row>
    <row r="50" spans="2:27" ht="16.5" customHeight="1" x14ac:dyDescent="0.2">
      <c r="B50" s="39"/>
      <c r="C50" s="39"/>
      <c r="D50" s="39"/>
      <c r="E50" s="39"/>
      <c r="F50" s="39"/>
      <c r="G50" s="39"/>
      <c r="H50" s="108"/>
      <c r="I50" s="108"/>
      <c r="J50" s="108"/>
      <c r="K50" s="108"/>
      <c r="L50" s="108"/>
      <c r="M50" s="108"/>
      <c r="N50" s="108"/>
      <c r="O50" s="108"/>
      <c r="P50" s="109"/>
      <c r="Q50" s="108"/>
      <c r="R50" s="108"/>
      <c r="S50" s="108"/>
      <c r="T50" s="108"/>
      <c r="U50" s="108"/>
      <c r="V50" s="108"/>
      <c r="W50" s="108"/>
      <c r="X50" s="108"/>
      <c r="Y50" s="109"/>
      <c r="AA50" s="79"/>
    </row>
    <row r="51" spans="2:27" ht="16.5" customHeight="1" x14ac:dyDescent="0.2">
      <c r="B51" s="498" t="s">
        <v>458</v>
      </c>
      <c r="C51" s="499"/>
      <c r="D51" s="499"/>
      <c r="E51" s="499"/>
      <c r="F51" s="499"/>
      <c r="G51" s="500"/>
      <c r="H51" s="294" t="s">
        <v>463</v>
      </c>
      <c r="I51" s="295"/>
      <c r="J51" s="295"/>
      <c r="K51" s="295"/>
      <c r="L51" s="295"/>
      <c r="M51" s="295"/>
      <c r="N51" s="295"/>
      <c r="O51" s="295"/>
      <c r="P51" s="295"/>
      <c r="Q51" s="295"/>
      <c r="R51" s="295"/>
      <c r="S51" s="295"/>
      <c r="T51" s="295"/>
      <c r="U51" s="295"/>
      <c r="V51" s="295"/>
      <c r="W51" s="295"/>
      <c r="X51" s="295"/>
      <c r="Y51" s="296"/>
      <c r="AA51" s="79" t="s">
        <v>66</v>
      </c>
    </row>
    <row r="52" spans="2:27" ht="16.5" customHeight="1" x14ac:dyDescent="0.2">
      <c r="B52" s="501"/>
      <c r="C52" s="502"/>
      <c r="D52" s="502"/>
      <c r="E52" s="502"/>
      <c r="F52" s="502"/>
      <c r="G52" s="503"/>
      <c r="H52" s="82" t="s">
        <v>464</v>
      </c>
      <c r="I52" s="13"/>
      <c r="J52" s="13"/>
      <c r="K52" s="13"/>
      <c r="L52" s="13"/>
      <c r="M52" s="13"/>
      <c r="N52" s="13"/>
      <c r="O52" s="13"/>
      <c r="P52" s="13"/>
      <c r="Q52" s="13"/>
      <c r="R52" s="13"/>
      <c r="S52" s="13"/>
      <c r="T52" s="13"/>
      <c r="U52" s="13"/>
      <c r="V52" s="13"/>
      <c r="W52" s="13"/>
      <c r="X52" s="13"/>
      <c r="Y52" s="83"/>
      <c r="AA52" s="79"/>
    </row>
    <row r="53" spans="2:27" ht="16.5" hidden="1" customHeight="1" x14ac:dyDescent="0.2">
      <c r="B53" s="501"/>
      <c r="C53" s="502"/>
      <c r="D53" s="502"/>
      <c r="E53" s="502"/>
      <c r="F53" s="502"/>
      <c r="G53" s="503"/>
      <c r="H53" s="82" t="e">
        <f>IF(【様式第６号】事業報告書兼チェックシート!C250="","","・"&amp;【様式第６号】事業報告書兼チェックシート!C250)</f>
        <v>#REF!</v>
      </c>
      <c r="I53" s="13"/>
      <c r="J53" s="13"/>
      <c r="K53" s="13"/>
      <c r="L53" s="13"/>
      <c r="M53" s="13"/>
      <c r="N53" s="13"/>
      <c r="O53" s="13"/>
      <c r="P53" s="13"/>
      <c r="Q53" s="13"/>
      <c r="R53" s="13"/>
      <c r="S53" s="13"/>
      <c r="T53" s="13"/>
      <c r="U53" s="13"/>
      <c r="V53" s="13"/>
      <c r="W53" s="13"/>
      <c r="X53" s="13"/>
      <c r="Y53" s="83"/>
    </row>
    <row r="54" spans="2:27" ht="16.5" customHeight="1" x14ac:dyDescent="0.2">
      <c r="B54" s="28"/>
      <c r="G54" s="81"/>
      <c r="H54" s="82" t="str">
        <f>IF(【様式第６号】事業報告書兼チェックシート!C251="","","・"&amp;【様式第６号】事業報告書兼チェックシート!C251)</f>
        <v/>
      </c>
      <c r="I54" s="13"/>
      <c r="J54" s="13"/>
      <c r="K54" s="13"/>
      <c r="L54" s="13"/>
      <c r="M54" s="13"/>
      <c r="N54" s="13"/>
      <c r="O54" s="13"/>
      <c r="P54" s="13"/>
      <c r="Q54" s="13"/>
      <c r="R54" s="13"/>
      <c r="S54" s="13"/>
      <c r="T54" s="13"/>
      <c r="U54" s="13"/>
      <c r="V54" s="13"/>
      <c r="W54" s="13"/>
      <c r="X54" s="13"/>
      <c r="Y54" s="83"/>
    </row>
    <row r="55" spans="2:27" ht="16.5" customHeight="1" x14ac:dyDescent="0.2">
      <c r="B55" s="28"/>
      <c r="G55" s="81"/>
      <c r="H55" s="82" t="str">
        <f>IF(【様式第６号】事業報告書兼チェックシート!C252="","","・"&amp;【様式第６号】事業報告書兼チェックシート!C252)</f>
        <v/>
      </c>
      <c r="I55" s="13"/>
      <c r="J55" s="13"/>
      <c r="K55" s="13"/>
      <c r="L55" s="13"/>
      <c r="M55" s="13"/>
      <c r="N55" s="13"/>
      <c r="O55" s="13"/>
      <c r="P55" s="13"/>
      <c r="Q55" s="13"/>
      <c r="R55" s="13"/>
      <c r="S55" s="13"/>
      <c r="T55" s="13"/>
      <c r="U55" s="13"/>
      <c r="V55" s="13"/>
      <c r="W55" s="13"/>
      <c r="X55" s="13"/>
      <c r="Y55" s="83"/>
    </row>
    <row r="56" spans="2:27" ht="16.5" customHeight="1" x14ac:dyDescent="0.2">
      <c r="B56" s="28"/>
      <c r="G56" s="81"/>
      <c r="H56" s="82" t="str">
        <f>IF(【様式第６号】事業報告書兼チェックシート!C253="","","・"&amp;【様式第６号】事業報告書兼チェックシート!C253)</f>
        <v>・完成写真及び口座振替依頼書</v>
      </c>
      <c r="I56" s="13"/>
      <c r="J56" s="13"/>
      <c r="K56" s="13"/>
      <c r="L56" s="13"/>
      <c r="M56" s="13"/>
      <c r="N56" s="13"/>
      <c r="O56" s="13"/>
      <c r="P56" s="13"/>
      <c r="Q56" s="13"/>
      <c r="R56" s="13"/>
      <c r="S56" s="13"/>
      <c r="T56" s="13"/>
      <c r="U56" s="13"/>
      <c r="V56" s="13"/>
      <c r="W56" s="13"/>
      <c r="X56" s="13"/>
      <c r="Y56" s="83"/>
    </row>
    <row r="57" spans="2:27" ht="16.5" customHeight="1" x14ac:dyDescent="0.2">
      <c r="B57" s="28"/>
      <c r="G57" s="81"/>
      <c r="H57" s="82" t="str">
        <f>IF(【様式第６号】事業報告書兼チェックシート!C254="","","・"&amp;【様式第６号】事業報告書兼チェックシート!C254)</f>
        <v>・鳥取県産材活用協議会が発行する県産材の産地証明書の写し</v>
      </c>
      <c r="I57" s="13"/>
      <c r="J57" s="13"/>
      <c r="K57" s="13"/>
      <c r="L57" s="13"/>
      <c r="M57" s="13"/>
      <c r="N57" s="13"/>
      <c r="O57" s="13"/>
      <c r="P57" s="13"/>
      <c r="Q57" s="13"/>
      <c r="R57" s="13"/>
      <c r="S57" s="13"/>
      <c r="T57" s="13"/>
      <c r="U57" s="13"/>
      <c r="V57" s="13"/>
      <c r="W57" s="13"/>
      <c r="X57" s="13"/>
      <c r="Y57" s="83"/>
    </row>
    <row r="58" spans="2:27" ht="28.5" customHeight="1" x14ac:dyDescent="0.2">
      <c r="B58" s="28"/>
      <c r="G58" s="81"/>
      <c r="H58" s="493" t="str">
        <f>IF(【様式第６号】事業報告書兼チェックシート!C255="","","・"&amp;【様式第６号】事業報告書兼チェックシート!C255)</f>
        <v/>
      </c>
      <c r="I58" s="456"/>
      <c r="J58" s="456"/>
      <c r="K58" s="456"/>
      <c r="L58" s="456"/>
      <c r="M58" s="456"/>
      <c r="N58" s="456"/>
      <c r="O58" s="456"/>
      <c r="P58" s="456"/>
      <c r="Q58" s="456"/>
      <c r="R58" s="456"/>
      <c r="S58" s="456"/>
      <c r="T58" s="456"/>
      <c r="U58" s="456"/>
      <c r="V58" s="456"/>
      <c r="W58" s="456"/>
      <c r="X58" s="456"/>
      <c r="Y58" s="494"/>
    </row>
    <row r="59" spans="2:27" ht="30" customHeight="1" x14ac:dyDescent="0.2">
      <c r="B59" s="28"/>
      <c r="G59" s="81"/>
      <c r="H59" s="493" t="str">
        <f>IF(【様式第６号】事業報告書兼チェックシート!C256="","","・"&amp;【様式第６号】事業報告書兼チェックシート!C256)</f>
        <v/>
      </c>
      <c r="I59" s="456"/>
      <c r="J59" s="456"/>
      <c r="K59" s="456"/>
      <c r="L59" s="456"/>
      <c r="M59" s="456"/>
      <c r="N59" s="456"/>
      <c r="O59" s="456"/>
      <c r="P59" s="456"/>
      <c r="Q59" s="456"/>
      <c r="R59" s="456"/>
      <c r="S59" s="456"/>
      <c r="T59" s="456"/>
      <c r="U59" s="456"/>
      <c r="V59" s="456"/>
      <c r="W59" s="456"/>
      <c r="X59" s="456"/>
      <c r="Y59" s="494"/>
    </row>
    <row r="60" spans="2:27" ht="33" customHeight="1" x14ac:dyDescent="0.2">
      <c r="B60" s="28"/>
      <c r="G60" s="81"/>
      <c r="H60" s="493" t="str">
        <f>IF(【様式第６号】事業報告書兼チェックシート!C257="","","・"&amp;【様式第６号】事業報告書兼チェックシート!C257)</f>
        <v/>
      </c>
      <c r="I60" s="456"/>
      <c r="J60" s="456"/>
      <c r="K60" s="456"/>
      <c r="L60" s="456"/>
      <c r="M60" s="456"/>
      <c r="N60" s="456"/>
      <c r="O60" s="456"/>
      <c r="P60" s="456"/>
      <c r="Q60" s="456"/>
      <c r="R60" s="456"/>
      <c r="S60" s="456"/>
      <c r="T60" s="456"/>
      <c r="U60" s="456"/>
      <c r="V60" s="456"/>
      <c r="W60" s="456"/>
      <c r="X60" s="456"/>
      <c r="Y60" s="494"/>
    </row>
    <row r="61" spans="2:27" ht="16.5" customHeight="1" x14ac:dyDescent="0.2">
      <c r="B61" s="28"/>
      <c r="G61" s="81"/>
      <c r="H61" s="495" t="str">
        <f>IF(【様式第６号】事業報告書兼チェックシート!C258="","","・"&amp;【様式第６号】事業報告書兼チェックシート!C258)</f>
        <v/>
      </c>
      <c r="I61" s="496"/>
      <c r="J61" s="496"/>
      <c r="K61" s="496"/>
      <c r="L61" s="496"/>
      <c r="M61" s="496"/>
      <c r="N61" s="496"/>
      <c r="O61" s="496"/>
      <c r="P61" s="496"/>
      <c r="Q61" s="496"/>
      <c r="R61" s="496"/>
      <c r="S61" s="496"/>
      <c r="T61" s="496"/>
      <c r="U61" s="496"/>
      <c r="V61" s="496"/>
      <c r="W61" s="496"/>
      <c r="X61" s="496"/>
      <c r="Y61" s="497"/>
    </row>
    <row r="62" spans="2:27" ht="56.25" customHeight="1" x14ac:dyDescent="0.2">
      <c r="B62" s="28"/>
      <c r="G62" s="81"/>
      <c r="H62" s="493" t="str">
        <f>IF(【様式第６号】事業報告書兼チェックシート!C259="","","・"&amp;【様式第６号】事業報告書兼チェックシート!C259)</f>
        <v/>
      </c>
      <c r="I62" s="456"/>
      <c r="J62" s="456"/>
      <c r="K62" s="456"/>
      <c r="L62" s="456"/>
      <c r="M62" s="456"/>
      <c r="N62" s="456"/>
      <c r="O62" s="456"/>
      <c r="P62" s="456"/>
      <c r="Q62" s="456"/>
      <c r="R62" s="456"/>
      <c r="S62" s="456"/>
      <c r="T62" s="456"/>
      <c r="U62" s="456"/>
      <c r="V62" s="456"/>
      <c r="W62" s="456"/>
      <c r="X62" s="456"/>
      <c r="Y62" s="494"/>
    </row>
    <row r="63" spans="2:27" ht="30" customHeight="1" x14ac:dyDescent="0.2">
      <c r="B63" s="28"/>
      <c r="G63" s="81"/>
      <c r="H63" s="534" t="str">
        <f>IF(【様式第６号】事業報告書兼チェックシート!C260="","","・"&amp;【様式第６号】事業報告書兼チェックシート!C260)</f>
        <v>・登録住宅を購入した場合は、その購入契約書の写し</v>
      </c>
      <c r="I63" s="395"/>
      <c r="J63" s="395"/>
      <c r="K63" s="395"/>
      <c r="L63" s="395"/>
      <c r="M63" s="395"/>
      <c r="N63" s="395"/>
      <c r="O63" s="395"/>
      <c r="P63" s="395"/>
      <c r="Q63" s="395"/>
      <c r="R63" s="395"/>
      <c r="S63" s="395"/>
      <c r="T63" s="395"/>
      <c r="U63" s="395"/>
      <c r="V63" s="395"/>
      <c r="W63" s="395"/>
      <c r="X63" s="395"/>
      <c r="Y63" s="535"/>
    </row>
    <row r="64" spans="2:27" ht="22.2" customHeight="1" x14ac:dyDescent="0.2">
      <c r="B64" s="28"/>
      <c r="G64" s="81"/>
      <c r="H64" s="493" t="str">
        <f>IF(【様式第６号】事業報告書兼チェックシート!C261="","","・"&amp;【様式第６号】事業報告書兼チェックシート!C261)</f>
        <v/>
      </c>
      <c r="I64" s="456"/>
      <c r="J64" s="456"/>
      <c r="K64" s="456"/>
      <c r="L64" s="456"/>
      <c r="M64" s="456"/>
      <c r="N64" s="456"/>
      <c r="O64" s="456"/>
      <c r="P64" s="456"/>
      <c r="Q64" s="456"/>
      <c r="R64" s="456"/>
      <c r="S64" s="456"/>
      <c r="T64" s="456"/>
      <c r="U64" s="456"/>
      <c r="V64" s="456"/>
      <c r="W64" s="456"/>
      <c r="X64" s="456"/>
      <c r="Y64" s="494"/>
    </row>
    <row r="65" spans="2:25" ht="18.75" customHeight="1" x14ac:dyDescent="0.2">
      <c r="B65" s="28"/>
      <c r="G65" s="81"/>
      <c r="H65" s="495" t="str">
        <f>IF(【様式第６号】事業報告書兼チェックシート!C262="","","・"&amp;【様式第６号】事業報告書兼チェックシート!C262)</f>
        <v/>
      </c>
      <c r="I65" s="496"/>
      <c r="J65" s="496"/>
      <c r="K65" s="496"/>
      <c r="L65" s="496"/>
      <c r="M65" s="496"/>
      <c r="N65" s="496"/>
      <c r="O65" s="496"/>
      <c r="P65" s="496"/>
      <c r="Q65" s="496"/>
      <c r="R65" s="496"/>
      <c r="S65" s="496"/>
      <c r="T65" s="496"/>
      <c r="U65" s="496"/>
      <c r="V65" s="496"/>
      <c r="W65" s="496"/>
      <c r="X65" s="496"/>
      <c r="Y65" s="497"/>
    </row>
    <row r="66" spans="2:25" ht="18.75" customHeight="1" x14ac:dyDescent="0.2">
      <c r="B66" s="28"/>
      <c r="G66" s="81"/>
      <c r="H66" s="495" t="str">
        <f>IF(【様式第６号】事業報告書兼チェックシート!C263="","","・"&amp;【様式第６号】事業報告書兼チェックシート!C263)</f>
        <v/>
      </c>
      <c r="I66" s="496"/>
      <c r="J66" s="496"/>
      <c r="K66" s="496"/>
      <c r="L66" s="496"/>
      <c r="M66" s="496"/>
      <c r="N66" s="496"/>
      <c r="O66" s="496"/>
      <c r="P66" s="496"/>
      <c r="Q66" s="496"/>
      <c r="R66" s="496"/>
      <c r="S66" s="496"/>
      <c r="T66" s="496"/>
      <c r="U66" s="496"/>
      <c r="V66" s="496"/>
      <c r="W66" s="496"/>
      <c r="X66" s="496"/>
      <c r="Y66" s="497"/>
    </row>
    <row r="67" spans="2:25" ht="32.25" customHeight="1" x14ac:dyDescent="0.2">
      <c r="B67" s="28"/>
      <c r="G67" s="81"/>
      <c r="H67" s="493" t="str">
        <f>IF(【様式第６号】事業報告書兼チェックシート!C264="","","・"&amp;【様式第６号】事業報告書兼チェックシート!C264)</f>
        <v/>
      </c>
      <c r="I67" s="456"/>
      <c r="J67" s="456"/>
      <c r="K67" s="456"/>
      <c r="L67" s="456"/>
      <c r="M67" s="456"/>
      <c r="N67" s="456"/>
      <c r="O67" s="456"/>
      <c r="P67" s="456"/>
      <c r="Q67" s="456"/>
      <c r="R67" s="456"/>
      <c r="S67" s="456"/>
      <c r="T67" s="456"/>
      <c r="U67" s="456"/>
      <c r="V67" s="456"/>
      <c r="W67" s="456"/>
      <c r="X67" s="456"/>
      <c r="Y67" s="494"/>
    </row>
    <row r="68" spans="2:25" ht="32.25" customHeight="1" x14ac:dyDescent="0.2">
      <c r="B68" s="28"/>
      <c r="G68" s="81"/>
      <c r="H68" s="493" t="str">
        <f>IF(【様式第６号】事業報告書兼チェックシート!C265="","","・"&amp;【様式第６号】事業報告書兼チェックシート!C265)</f>
        <v/>
      </c>
      <c r="I68" s="456"/>
      <c r="J68" s="456"/>
      <c r="K68" s="456"/>
      <c r="L68" s="456"/>
      <c r="M68" s="456"/>
      <c r="N68" s="456"/>
      <c r="O68" s="456"/>
      <c r="P68" s="456"/>
      <c r="Q68" s="456"/>
      <c r="R68" s="456"/>
      <c r="S68" s="456"/>
      <c r="T68" s="456"/>
      <c r="U68" s="456"/>
      <c r="V68" s="456"/>
      <c r="W68" s="456"/>
      <c r="X68" s="456"/>
      <c r="Y68" s="494"/>
    </row>
    <row r="69" spans="2:25" ht="30.75" customHeight="1" x14ac:dyDescent="0.2">
      <c r="B69" s="28"/>
      <c r="G69" s="81"/>
      <c r="H69" s="493" t="str">
        <f>IF(【様式第６号】事業報告書兼チェックシート!C266="","","・"&amp;【様式第６号】事業報告書兼チェックシート!C266)</f>
        <v/>
      </c>
      <c r="I69" s="456"/>
      <c r="J69" s="456"/>
      <c r="K69" s="456"/>
      <c r="L69" s="456"/>
      <c r="M69" s="456"/>
      <c r="N69" s="456"/>
      <c r="O69" s="456"/>
      <c r="P69" s="456"/>
      <c r="Q69" s="456"/>
      <c r="R69" s="456"/>
      <c r="S69" s="456"/>
      <c r="T69" s="456"/>
      <c r="U69" s="456"/>
      <c r="V69" s="456"/>
      <c r="W69" s="456"/>
      <c r="X69" s="456"/>
      <c r="Y69" s="494"/>
    </row>
    <row r="70" spans="2:25" ht="30.75" customHeight="1" x14ac:dyDescent="0.2">
      <c r="B70" s="28"/>
      <c r="G70" s="81"/>
      <c r="H70" s="493" t="str">
        <f>IF(【様式第６号】事業報告書兼チェックシート!C267="","","・"&amp;【様式第６号】事業報告書兼チェックシート!C267)</f>
        <v/>
      </c>
      <c r="I70" s="456"/>
      <c r="J70" s="456"/>
      <c r="K70" s="456"/>
      <c r="L70" s="456"/>
      <c r="M70" s="456"/>
      <c r="N70" s="456"/>
      <c r="O70" s="456"/>
      <c r="P70" s="456"/>
      <c r="Q70" s="456"/>
      <c r="R70" s="456"/>
      <c r="S70" s="456"/>
      <c r="T70" s="456"/>
      <c r="U70" s="456"/>
      <c r="V70" s="456"/>
      <c r="W70" s="456"/>
      <c r="X70" s="456"/>
      <c r="Y70" s="494"/>
    </row>
    <row r="71" spans="2:25" ht="30.75" customHeight="1" x14ac:dyDescent="0.2">
      <c r="B71" s="28"/>
      <c r="G71" s="81"/>
      <c r="H71" s="493" t="str">
        <f>IF(【様式第６号】事業報告書兼チェックシート!C268="","","・"&amp;【様式第６号】事業報告書兼チェックシート!C268)</f>
        <v/>
      </c>
      <c r="I71" s="456"/>
      <c r="J71" s="456"/>
      <c r="K71" s="456"/>
      <c r="L71" s="456"/>
      <c r="M71" s="456"/>
      <c r="N71" s="456"/>
      <c r="O71" s="456"/>
      <c r="P71" s="456"/>
      <c r="Q71" s="456"/>
      <c r="R71" s="456"/>
      <c r="S71" s="456"/>
      <c r="T71" s="456"/>
      <c r="U71" s="456"/>
      <c r="V71" s="456"/>
      <c r="W71" s="456"/>
      <c r="X71" s="456"/>
      <c r="Y71" s="494"/>
    </row>
    <row r="72" spans="2:25" ht="30.75" customHeight="1" x14ac:dyDescent="0.2">
      <c r="B72" s="28"/>
      <c r="G72" s="81"/>
      <c r="H72" s="493" t="str">
        <f>IF(【様式第６号】事業報告書兼チェックシート!C269="","","・"&amp;【様式第６号】事業報告書兼チェックシート!C269)</f>
        <v/>
      </c>
      <c r="I72" s="456"/>
      <c r="J72" s="456"/>
      <c r="K72" s="456"/>
      <c r="L72" s="456"/>
      <c r="M72" s="456"/>
      <c r="N72" s="456"/>
      <c r="O72" s="456"/>
      <c r="P72" s="456"/>
      <c r="Q72" s="456"/>
      <c r="R72" s="456"/>
      <c r="S72" s="456"/>
      <c r="T72" s="456"/>
      <c r="U72" s="456"/>
      <c r="V72" s="456"/>
      <c r="W72" s="456"/>
      <c r="X72" s="456"/>
      <c r="Y72" s="494"/>
    </row>
    <row r="73" spans="2:25" ht="30.75" customHeight="1" x14ac:dyDescent="0.2">
      <c r="B73" s="28"/>
      <c r="G73" s="81"/>
      <c r="H73" s="493" t="str">
        <f>IF(【様式第６号】事業報告書兼チェックシート!C270="","","・"&amp;【様式第６号】事業報告書兼チェックシート!C270)</f>
        <v/>
      </c>
      <c r="I73" s="456"/>
      <c r="J73" s="456"/>
      <c r="K73" s="456"/>
      <c r="L73" s="456"/>
      <c r="M73" s="456"/>
      <c r="N73" s="456"/>
      <c r="O73" s="456"/>
      <c r="P73" s="456"/>
      <c r="Q73" s="456"/>
      <c r="R73" s="456"/>
      <c r="S73" s="456"/>
      <c r="T73" s="456"/>
      <c r="U73" s="456"/>
      <c r="V73" s="456"/>
      <c r="W73" s="456"/>
      <c r="X73" s="456"/>
      <c r="Y73" s="494"/>
    </row>
    <row r="74" spans="2:25" ht="44.25" customHeight="1" x14ac:dyDescent="0.2">
      <c r="B74" s="28"/>
      <c r="G74" s="81"/>
      <c r="H74" s="493" t="str">
        <f>IF(【様式第６号】事業報告書兼チェックシート!C271="","","・"&amp;【様式第６号】事業報告書兼チェックシート!C271)</f>
        <v/>
      </c>
      <c r="I74" s="456"/>
      <c r="J74" s="456"/>
      <c r="K74" s="456"/>
      <c r="L74" s="456"/>
      <c r="M74" s="456"/>
      <c r="N74" s="456"/>
      <c r="O74" s="456"/>
      <c r="P74" s="456"/>
      <c r="Q74" s="456"/>
      <c r="R74" s="456"/>
      <c r="S74" s="456"/>
      <c r="T74" s="456"/>
      <c r="U74" s="456"/>
      <c r="V74" s="456"/>
      <c r="W74" s="456"/>
      <c r="X74" s="456"/>
      <c r="Y74" s="494"/>
    </row>
    <row r="75" spans="2:25" ht="30.75" customHeight="1" x14ac:dyDescent="0.2">
      <c r="B75" s="28"/>
      <c r="G75" s="81"/>
      <c r="H75" s="493" t="str">
        <f>IF(【様式第６号】事業報告書兼チェックシート!C272="","","・"&amp;【様式第６号】事業報告書兼チェックシート!C272)</f>
        <v/>
      </c>
      <c r="I75" s="456"/>
      <c r="J75" s="456"/>
      <c r="K75" s="456"/>
      <c r="L75" s="456"/>
      <c r="M75" s="456"/>
      <c r="N75" s="456"/>
      <c r="O75" s="456"/>
      <c r="P75" s="456"/>
      <c r="Q75" s="456"/>
      <c r="R75" s="456"/>
      <c r="S75" s="456"/>
      <c r="T75" s="456"/>
      <c r="U75" s="456"/>
      <c r="V75" s="456"/>
      <c r="W75" s="456"/>
      <c r="X75" s="456"/>
      <c r="Y75" s="494"/>
    </row>
    <row r="76" spans="2:25" ht="43.5" customHeight="1" x14ac:dyDescent="0.2">
      <c r="B76" s="28"/>
      <c r="G76" s="81"/>
      <c r="H76" s="493" t="str">
        <f>IF(【様式第６号】事業報告書兼チェックシート!C273="","","・"&amp;【様式第６号】事業報告書兼チェックシート!C273)</f>
        <v/>
      </c>
      <c r="I76" s="456"/>
      <c r="J76" s="456"/>
      <c r="K76" s="456"/>
      <c r="L76" s="456"/>
      <c r="M76" s="456"/>
      <c r="N76" s="456"/>
      <c r="O76" s="456"/>
      <c r="P76" s="456"/>
      <c r="Q76" s="456"/>
      <c r="R76" s="456"/>
      <c r="S76" s="456"/>
      <c r="T76" s="456"/>
      <c r="U76" s="456"/>
      <c r="V76" s="456"/>
      <c r="W76" s="456"/>
      <c r="X76" s="456"/>
      <c r="Y76" s="494"/>
    </row>
    <row r="77" spans="2:25" ht="21" customHeight="1" x14ac:dyDescent="0.2">
      <c r="B77" s="28"/>
      <c r="G77" s="81"/>
      <c r="H77" s="493" t="str">
        <f>IF(【様式第６号】事業報告書兼チェックシート!C277="","","・"&amp;【様式第６号】事業報告書兼チェックシート!C277)</f>
        <v/>
      </c>
      <c r="I77" s="456"/>
      <c r="J77" s="456"/>
      <c r="K77" s="456"/>
      <c r="L77" s="456"/>
      <c r="M77" s="456"/>
      <c r="N77" s="456"/>
      <c r="O77" s="456"/>
      <c r="P77" s="456"/>
      <c r="Q77" s="456"/>
      <c r="R77" s="456"/>
      <c r="S77" s="456"/>
      <c r="T77" s="456"/>
      <c r="U77" s="456"/>
      <c r="V77" s="456"/>
      <c r="W77" s="456"/>
      <c r="X77" s="456"/>
      <c r="Y77" s="494"/>
    </row>
    <row r="78" spans="2:25" ht="19.5" customHeight="1" x14ac:dyDescent="0.2">
      <c r="B78" s="8"/>
      <c r="C78" s="17"/>
      <c r="D78" s="17"/>
      <c r="E78" s="17"/>
      <c r="F78" s="17"/>
      <c r="G78" s="9"/>
      <c r="H78" s="515" t="str">
        <f>IF(【様式第６号】事業報告書兼チェックシート!C274="","","・"&amp;【様式第６号】事業報告書兼チェックシート!C274)</f>
        <v/>
      </c>
      <c r="I78" s="516"/>
      <c r="J78" s="516"/>
      <c r="K78" s="516"/>
      <c r="L78" s="516"/>
      <c r="M78" s="516"/>
      <c r="N78" s="516"/>
      <c r="O78" s="516"/>
      <c r="P78" s="516"/>
      <c r="Q78" s="516"/>
      <c r="R78" s="516"/>
      <c r="S78" s="516"/>
      <c r="T78" s="516"/>
      <c r="U78" s="516"/>
      <c r="V78" s="516"/>
      <c r="W78" s="516"/>
      <c r="X78" s="516"/>
      <c r="Y78" s="517"/>
    </row>
    <row r="79" spans="2:25" ht="19.5" hidden="1" customHeight="1" x14ac:dyDescent="0.2">
      <c r="B79" s="8"/>
      <c r="C79" s="17"/>
      <c r="D79" s="17"/>
      <c r="E79" s="17"/>
      <c r="F79" s="17"/>
      <c r="G79" s="9"/>
      <c r="H79" s="515" t="str">
        <f>IF(【様式第６号】事業報告書兼チェックシート!C274="","","・"&amp;【様式第６号】事業報告書兼チェックシート!C274)</f>
        <v/>
      </c>
      <c r="I79" s="516"/>
      <c r="J79" s="516"/>
      <c r="K79" s="516"/>
      <c r="L79" s="516"/>
      <c r="M79" s="516"/>
      <c r="N79" s="516"/>
      <c r="O79" s="516"/>
      <c r="P79" s="516"/>
      <c r="Q79" s="516"/>
      <c r="R79" s="516"/>
      <c r="S79" s="516"/>
      <c r="T79" s="516"/>
      <c r="U79" s="516"/>
      <c r="V79" s="516"/>
      <c r="W79" s="516"/>
      <c r="X79" s="516"/>
      <c r="Y79" s="517"/>
    </row>
    <row r="80" spans="2:25" ht="19.5" hidden="1" customHeight="1" x14ac:dyDescent="0.2">
      <c r="B80" s="410" t="s">
        <v>268</v>
      </c>
      <c r="C80" s="411"/>
      <c r="D80" s="411"/>
      <c r="E80" s="411"/>
      <c r="F80" s="411"/>
      <c r="G80" s="412"/>
      <c r="H80" s="493" t="str">
        <f>IF(【様式第６号】事業報告書兼チェックシート!C275="","","・"&amp;【様式第６号】事業報告書兼チェックシート!C275)</f>
        <v/>
      </c>
      <c r="I80" s="456"/>
      <c r="J80" s="456"/>
      <c r="K80" s="456"/>
      <c r="L80" s="456"/>
      <c r="M80" s="456"/>
      <c r="N80" s="456"/>
      <c r="O80" s="456"/>
      <c r="P80" s="456"/>
      <c r="Q80" s="456"/>
      <c r="R80" s="456"/>
      <c r="S80" s="456"/>
      <c r="T80" s="456"/>
      <c r="U80" s="456"/>
      <c r="V80" s="456"/>
      <c r="W80" s="456"/>
      <c r="X80" s="456"/>
      <c r="Y80" s="494"/>
    </row>
    <row r="81" spans="1:27" ht="19.5" hidden="1" customHeight="1" x14ac:dyDescent="0.2">
      <c r="B81" s="529"/>
      <c r="C81" s="360"/>
      <c r="D81" s="360"/>
      <c r="E81" s="360"/>
      <c r="F81" s="360"/>
      <c r="G81" s="530"/>
      <c r="H81" s="493" t="str">
        <f>IF(【様式第６号】事業報告書兼チェックシート!C276="","","・"&amp;【様式第６号】事業報告書兼チェックシート!C276)</f>
        <v/>
      </c>
      <c r="I81" s="456"/>
      <c r="J81" s="456"/>
      <c r="K81" s="456"/>
      <c r="L81" s="456"/>
      <c r="M81" s="456"/>
      <c r="N81" s="456"/>
      <c r="O81" s="456"/>
      <c r="P81" s="456"/>
      <c r="Q81" s="456"/>
      <c r="R81" s="456"/>
      <c r="S81" s="456"/>
      <c r="T81" s="456"/>
      <c r="U81" s="456"/>
      <c r="V81" s="456"/>
      <c r="W81" s="456"/>
      <c r="X81" s="456"/>
      <c r="Y81" s="494"/>
    </row>
    <row r="82" spans="1:27" ht="19.5" hidden="1" customHeight="1" x14ac:dyDescent="0.2">
      <c r="B82" s="28"/>
      <c r="G82" s="81"/>
      <c r="H82" s="493" t="str">
        <f>IF(【様式第６号】事業報告書兼チェックシート!C277="","","・"&amp;【様式第６号】事業報告書兼チェックシート!C277)</f>
        <v/>
      </c>
      <c r="I82" s="456"/>
      <c r="J82" s="456"/>
      <c r="K82" s="456"/>
      <c r="L82" s="456"/>
      <c r="M82" s="456"/>
      <c r="N82" s="456"/>
      <c r="O82" s="456"/>
      <c r="P82" s="456"/>
      <c r="Q82" s="456"/>
      <c r="R82" s="456"/>
      <c r="S82" s="456"/>
      <c r="T82" s="456"/>
      <c r="U82" s="456"/>
      <c r="V82" s="456"/>
      <c r="W82" s="456"/>
      <c r="X82" s="456"/>
      <c r="Y82" s="494"/>
    </row>
    <row r="83" spans="1:27" ht="19.5" hidden="1" customHeight="1" x14ac:dyDescent="0.2">
      <c r="B83" s="28"/>
      <c r="G83" s="81"/>
      <c r="H83" s="101"/>
      <c r="I83" s="102"/>
      <c r="J83" s="102"/>
      <c r="K83" s="102"/>
      <c r="L83" s="102"/>
      <c r="M83" s="102"/>
      <c r="N83" s="102"/>
      <c r="O83" s="102"/>
      <c r="P83" s="102"/>
      <c r="Q83" s="102"/>
      <c r="R83" s="102"/>
      <c r="S83" s="102"/>
      <c r="T83" s="102"/>
      <c r="U83" s="102"/>
      <c r="V83" s="102"/>
      <c r="W83" s="102"/>
      <c r="X83" s="102"/>
      <c r="Y83" s="103"/>
    </row>
    <row r="84" spans="1:27" ht="18" hidden="1" customHeight="1" x14ac:dyDescent="0.2">
      <c r="B84" s="8"/>
      <c r="C84" s="17"/>
      <c r="D84" s="17"/>
      <c r="E84" s="17"/>
      <c r="F84" s="17"/>
      <c r="G84" s="9"/>
      <c r="H84" s="84"/>
      <c r="I84" s="85"/>
      <c r="J84" s="17"/>
      <c r="K84" s="17"/>
      <c r="L84" s="17"/>
      <c r="M84" s="17"/>
      <c r="N84" s="17"/>
      <c r="O84" s="17"/>
      <c r="P84" s="17"/>
      <c r="Q84" s="17"/>
      <c r="R84" s="17"/>
      <c r="S84" s="17"/>
      <c r="T84" s="17"/>
      <c r="U84" s="17"/>
      <c r="V84" s="17"/>
      <c r="W84" s="17"/>
      <c r="X84" s="17"/>
      <c r="Y84" s="9"/>
    </row>
    <row r="93" spans="1:27" ht="18" hidden="1" customHeight="1" x14ac:dyDescent="0.2"/>
    <row r="94" spans="1:27" ht="18" hidden="1" customHeight="1" x14ac:dyDescent="0.2"/>
    <row r="95" spans="1:27" s="13" customFormat="1" ht="18" hidden="1" customHeight="1" x14ac:dyDescent="0.15">
      <c r="A95" s="86" t="s">
        <v>223</v>
      </c>
      <c r="B95" s="87"/>
      <c r="C95" s="87"/>
      <c r="D95" s="87"/>
      <c r="E95" s="87"/>
      <c r="F95" s="87"/>
      <c r="G95" s="87"/>
      <c r="H95" s="87"/>
      <c r="I95" s="87"/>
      <c r="J95" s="87"/>
      <c r="K95" s="87"/>
      <c r="L95" s="87"/>
      <c r="M95" s="87"/>
      <c r="N95" s="87"/>
      <c r="O95" s="87"/>
      <c r="P95" s="87"/>
      <c r="Q95" s="88"/>
      <c r="R95" s="87"/>
      <c r="S95" s="87"/>
      <c r="T95" s="87"/>
      <c r="U95" s="87"/>
      <c r="V95" s="87"/>
      <c r="W95" s="87"/>
      <c r="X95" s="87"/>
      <c r="Y95" s="87"/>
      <c r="Z95" s="87"/>
      <c r="AA95" s="23"/>
    </row>
    <row r="96" spans="1:27" s="13" customFormat="1" ht="18" hidden="1" customHeight="1" x14ac:dyDescent="0.15">
      <c r="A96" s="86"/>
      <c r="B96" s="13" t="s">
        <v>11</v>
      </c>
      <c r="AA96" s="23"/>
    </row>
    <row r="97" spans="2:35" s="13" customFormat="1" ht="18" hidden="1" customHeight="1" x14ac:dyDescent="0.2">
      <c r="B97" s="504" t="s">
        <v>224</v>
      </c>
      <c r="C97" s="505"/>
      <c r="D97" s="505"/>
      <c r="E97" s="505"/>
      <c r="F97" s="505"/>
      <c r="G97" s="505"/>
      <c r="H97" s="506"/>
      <c r="I97" s="89" t="s">
        <v>225</v>
      </c>
      <c r="J97" s="405"/>
      <c r="K97" s="405"/>
      <c r="L97" s="405"/>
      <c r="M97" s="510"/>
      <c r="N97" s="510"/>
      <c r="O97" s="510"/>
      <c r="P97" s="510"/>
      <c r="Q97" s="510"/>
      <c r="R97" s="510"/>
      <c r="S97" s="510"/>
      <c r="T97" s="510"/>
      <c r="U97" s="510"/>
      <c r="V97" s="510"/>
      <c r="W97" s="510"/>
      <c r="X97" s="510"/>
      <c r="Y97" s="511"/>
      <c r="AA97" s="22"/>
    </row>
    <row r="98" spans="2:35" s="13" customFormat="1" ht="18" hidden="1" customHeight="1" x14ac:dyDescent="0.2">
      <c r="B98" s="507"/>
      <c r="C98" s="508"/>
      <c r="D98" s="508"/>
      <c r="E98" s="508"/>
      <c r="F98" s="508"/>
      <c r="G98" s="508"/>
      <c r="H98" s="509"/>
      <c r="I98" s="512"/>
      <c r="J98" s="513"/>
      <c r="K98" s="513"/>
      <c r="L98" s="513"/>
      <c r="M98" s="513"/>
      <c r="N98" s="513"/>
      <c r="O98" s="513"/>
      <c r="P98" s="513"/>
      <c r="Q98" s="513"/>
      <c r="R98" s="513"/>
      <c r="S98" s="513"/>
      <c r="T98" s="513"/>
      <c r="U98" s="513"/>
      <c r="V98" s="513"/>
      <c r="W98" s="513"/>
      <c r="X98" s="513"/>
      <c r="Y98" s="514"/>
      <c r="AA98" s="23"/>
      <c r="AB98" s="23"/>
      <c r="AC98" s="23"/>
      <c r="AD98" s="23"/>
      <c r="AE98" s="23"/>
      <c r="AF98" s="23"/>
      <c r="AG98" s="23"/>
      <c r="AH98" s="23"/>
      <c r="AI98" s="23"/>
    </row>
    <row r="99" spans="2:35" s="13" customFormat="1" ht="24" hidden="1" customHeight="1" x14ac:dyDescent="0.2">
      <c r="B99" s="518" t="s">
        <v>226</v>
      </c>
      <c r="C99" s="519"/>
      <c r="D99" s="519"/>
      <c r="E99" s="519"/>
      <c r="F99" s="519"/>
      <c r="G99" s="519"/>
      <c r="H99" s="520"/>
      <c r="I99" s="531"/>
      <c r="J99" s="532"/>
      <c r="K99" s="532"/>
      <c r="L99" s="532"/>
      <c r="M99" s="532"/>
      <c r="N99" s="532"/>
      <c r="O99" s="532"/>
      <c r="P99" s="532"/>
      <c r="Q99" s="532"/>
      <c r="R99" s="532"/>
      <c r="S99" s="532"/>
      <c r="T99" s="532"/>
      <c r="U99" s="532"/>
      <c r="V99" s="532"/>
      <c r="W99" s="532"/>
      <c r="X99" s="532"/>
      <c r="Y99" s="533"/>
      <c r="AA99" s="23"/>
      <c r="AB99" s="23"/>
      <c r="AC99" s="23"/>
      <c r="AD99" s="23"/>
      <c r="AE99" s="23"/>
      <c r="AF99" s="23"/>
      <c r="AG99" s="23"/>
      <c r="AH99" s="23"/>
      <c r="AI99" s="23"/>
    </row>
    <row r="100" spans="2:35" s="13" customFormat="1" ht="18" hidden="1" customHeight="1" x14ac:dyDescent="0.2">
      <c r="B100" s="518" t="s">
        <v>18</v>
      </c>
      <c r="C100" s="519"/>
      <c r="D100" s="519"/>
      <c r="E100" s="519"/>
      <c r="F100" s="519"/>
      <c r="G100" s="519"/>
      <c r="H100" s="520"/>
      <c r="I100" s="521"/>
      <c r="J100" s="522"/>
      <c r="K100" s="522"/>
      <c r="L100" s="522"/>
      <c r="M100" s="523"/>
      <c r="N100" s="524" t="s">
        <v>9</v>
      </c>
      <c r="O100" s="525"/>
      <c r="P100" s="526"/>
      <c r="Q100" s="527" t="s">
        <v>227</v>
      </c>
      <c r="R100" s="527"/>
      <c r="S100" s="527"/>
      <c r="T100" s="527"/>
      <c r="U100" s="527"/>
      <c r="V100" s="527"/>
      <c r="W100" s="527"/>
      <c r="X100" s="527"/>
      <c r="Y100" s="528"/>
      <c r="AA100" s="23"/>
      <c r="AB100" s="23"/>
      <c r="AC100" s="23"/>
      <c r="AD100" s="23"/>
      <c r="AE100" s="23"/>
      <c r="AF100" s="23"/>
      <c r="AG100" s="23"/>
      <c r="AH100" s="90"/>
      <c r="AI100" s="23"/>
    </row>
    <row r="101" spans="2:35" s="13" customFormat="1" ht="18" hidden="1" customHeight="1" x14ac:dyDescent="0.2">
      <c r="AA101" s="23"/>
      <c r="AB101" s="23"/>
      <c r="AC101" s="23"/>
      <c r="AD101" s="23"/>
      <c r="AE101" s="23"/>
      <c r="AF101" s="23"/>
      <c r="AG101" s="23"/>
      <c r="AH101" s="23"/>
      <c r="AI101" s="23"/>
    </row>
    <row r="102" spans="2:35" ht="18" hidden="1" customHeight="1" x14ac:dyDescent="0.2"/>
  </sheetData>
  <sheetProtection algorithmName="SHA-512" hashValue="F84W56n9w+qqgbFHnR4f+UK/l1eYb0leW8FTJBOLTbRU6CV+KAJDz5nMAXkISxvD8QrC85yrRIxUSDM+140EwA==" saltValue="+Ta1di7jUtZkZhI3U7tK3w==" spinCount="100000" sheet="1" objects="1" scenarios="1" selectLockedCells="1"/>
  <mergeCells count="62">
    <mergeCell ref="H62:Y62"/>
    <mergeCell ref="H63:Y63"/>
    <mergeCell ref="H65:Y65"/>
    <mergeCell ref="H66:Y66"/>
    <mergeCell ref="H67:Y67"/>
    <mergeCell ref="H64:Y64"/>
    <mergeCell ref="B100:H100"/>
    <mergeCell ref="I100:M100"/>
    <mergeCell ref="N100:P100"/>
    <mergeCell ref="Q100:Y100"/>
    <mergeCell ref="H68:Y68"/>
    <mergeCell ref="H69:Y69"/>
    <mergeCell ref="B80:G81"/>
    <mergeCell ref="H80:Y80"/>
    <mergeCell ref="H81:Y81"/>
    <mergeCell ref="B99:H99"/>
    <mergeCell ref="I99:Y99"/>
    <mergeCell ref="H82:Y82"/>
    <mergeCell ref="H77:Y77"/>
    <mergeCell ref="H60:Y60"/>
    <mergeCell ref="H61:Y61"/>
    <mergeCell ref="B51:G53"/>
    <mergeCell ref="B97:H98"/>
    <mergeCell ref="J97:L97"/>
    <mergeCell ref="M97:Y97"/>
    <mergeCell ref="I98:Y98"/>
    <mergeCell ref="H70:Y70"/>
    <mergeCell ref="H71:Y71"/>
    <mergeCell ref="H72:Y72"/>
    <mergeCell ref="H73:Y73"/>
    <mergeCell ref="H74:Y74"/>
    <mergeCell ref="H75:Y75"/>
    <mergeCell ref="H76:Y76"/>
    <mergeCell ref="H78:Y78"/>
    <mergeCell ref="H79:Y79"/>
    <mergeCell ref="B25:G25"/>
    <mergeCell ref="H25:O25"/>
    <mergeCell ref="Q25:X25"/>
    <mergeCell ref="H58:Y58"/>
    <mergeCell ref="H59:Y59"/>
    <mergeCell ref="AA19:AZ19"/>
    <mergeCell ref="B21:G21"/>
    <mergeCell ref="A19:Z19"/>
    <mergeCell ref="H21:Y21"/>
    <mergeCell ref="B24:G24"/>
    <mergeCell ref="H24:O24"/>
    <mergeCell ref="Q24:X24"/>
    <mergeCell ref="B22:G23"/>
    <mergeCell ref="H22:P22"/>
    <mergeCell ref="Q22:Y22"/>
    <mergeCell ref="H23:O23"/>
    <mergeCell ref="Q23:X23"/>
    <mergeCell ref="O11:X11"/>
    <mergeCell ref="O12:X12"/>
    <mergeCell ref="A17:Z17"/>
    <mergeCell ref="A15:Z15"/>
    <mergeCell ref="AC16:AG16"/>
    <mergeCell ref="P9:X9"/>
    <mergeCell ref="Q2:R2"/>
    <mergeCell ref="T2:U2"/>
    <mergeCell ref="W2:X2"/>
    <mergeCell ref="O10:X10"/>
  </mergeCells>
  <phoneticPr fontId="1"/>
  <conditionalFormatting sqref="A2:O2 S2 V2 Y2:Z2">
    <cfRule type="cellIs" dxfId="8" priority="13" operator="equal">
      <formula>"令和　年　月　日"</formula>
    </cfRule>
  </conditionalFormatting>
  <conditionalFormatting sqref="A17:Z17">
    <cfRule type="cellIs" dxfId="7" priority="1" operator="equal">
      <formula>$BK$3</formula>
    </cfRule>
    <cfRule type="cellIs" dxfId="6" priority="2" operator="equal">
      <formula>$BK$2</formula>
    </cfRule>
  </conditionalFormatting>
  <dataValidations disablePrompts="1" count="1">
    <dataValidation type="list" allowBlank="1" showInputMessage="1" showErrorMessage="1" sqref="AC16:AG16" xr:uid="{00000000-0002-0000-0300-000000000000}">
      <formula1>"はい,いいえ"</formula1>
    </dataValidation>
  </dataValidations>
  <pageMargins left="0.78740157480314965" right="0.78740157480314965" top="0.59055118110236227" bottom="0.39370078740157483" header="0.31496062992125984" footer="0.31496062992125984"/>
  <pageSetup paperSize="9" orientation="portrait" verticalDpi="1200" r:id="rId1"/>
  <rowBreaks count="1" manualBreakCount="1">
    <brk id="49" max="2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K105"/>
  <sheetViews>
    <sheetView view="pageBreakPreview" zoomScaleNormal="100" zoomScaleSheetLayoutView="100" workbookViewId="0">
      <selection activeCell="A2" sqref="A2"/>
    </sheetView>
  </sheetViews>
  <sheetFormatPr defaultColWidth="3.109375" defaultRowHeight="18" customHeight="1" x14ac:dyDescent="0.2"/>
  <cols>
    <col min="1" max="1" width="3.109375" style="1"/>
    <col min="2" max="2" width="6.44140625" style="1" bestFit="1" customWidth="1"/>
    <col min="3" max="26" width="3.109375" style="1"/>
    <col min="27" max="27" width="9.109375" style="22" customWidth="1"/>
    <col min="28" max="16384" width="3.109375" style="1"/>
  </cols>
  <sheetData>
    <row r="1" spans="1:63" ht="15.75" customHeight="1" x14ac:dyDescent="0.2">
      <c r="A1" s="1" t="s">
        <v>512</v>
      </c>
    </row>
    <row r="2" spans="1:63" ht="15.75" customHeight="1" x14ac:dyDescent="0.2">
      <c r="A2" s="291"/>
      <c r="B2" s="291"/>
      <c r="C2" s="291"/>
      <c r="D2" s="291"/>
      <c r="E2" s="291"/>
      <c r="F2" s="291"/>
      <c r="G2" s="291"/>
      <c r="H2" s="291"/>
      <c r="I2" s="291"/>
      <c r="J2" s="291"/>
      <c r="K2" s="291"/>
      <c r="L2" s="291"/>
      <c r="M2" s="291"/>
      <c r="N2" s="291"/>
      <c r="O2" s="303" t="s">
        <v>262</v>
      </c>
      <c r="P2" s="292"/>
      <c r="Q2" s="483" t="str">
        <f>IF(【様式第６号】事業報告書兼チェックシート!E9="","",【様式第６号】事業報告書兼チェックシート!E9)</f>
        <v/>
      </c>
      <c r="R2" s="483"/>
      <c r="S2" s="304" t="s">
        <v>8</v>
      </c>
      <c r="T2" s="483" t="str">
        <f>IF(【様式第６号】事業報告書兼チェックシート!H9="","",【様式第６号】事業報告書兼チェックシート!H9)</f>
        <v/>
      </c>
      <c r="U2" s="483"/>
      <c r="V2" s="304" t="s">
        <v>416</v>
      </c>
      <c r="W2" s="483" t="str">
        <f>IF(【様式第６号】事業報告書兼チェックシート!K9="","",【様式第６号】事業報告書兼チェックシート!K9)</f>
        <v/>
      </c>
      <c r="X2" s="483"/>
      <c r="Y2" s="304" t="s">
        <v>7</v>
      </c>
      <c r="Z2" s="293"/>
      <c r="AA2" s="76" t="str">
        <f>IF(A2="令和　年　月　日","←申請日を入力してください。","")</f>
        <v/>
      </c>
      <c r="BK2" s="77" t="s">
        <v>218</v>
      </c>
    </row>
    <row r="3" spans="1:63" ht="11.25" customHeight="1" x14ac:dyDescent="0.2">
      <c r="A3" s="78"/>
      <c r="B3" s="78"/>
      <c r="C3" s="78"/>
      <c r="D3" s="78"/>
      <c r="E3" s="78"/>
      <c r="F3" s="78"/>
      <c r="G3" s="78"/>
      <c r="H3" s="78"/>
      <c r="I3" s="78"/>
      <c r="J3" s="78"/>
      <c r="K3" s="78"/>
      <c r="L3" s="78"/>
      <c r="M3" s="78"/>
      <c r="N3" s="78"/>
      <c r="O3" s="78"/>
      <c r="P3" s="78"/>
      <c r="Q3" s="78"/>
      <c r="R3" s="78"/>
      <c r="S3" s="78"/>
      <c r="T3" s="78"/>
      <c r="U3" s="78"/>
      <c r="V3" s="78"/>
      <c r="W3" s="78"/>
      <c r="X3" s="78"/>
      <c r="Y3" s="78"/>
      <c r="Z3" s="78"/>
      <c r="BK3" s="77" t="s">
        <v>219</v>
      </c>
    </row>
    <row r="4" spans="1:63" ht="11.25" customHeight="1" x14ac:dyDescent="0.2"/>
    <row r="5" spans="1:63" ht="15.75" customHeight="1" x14ac:dyDescent="0.2">
      <c r="B5" s="1" t="str">
        <f>IF(【様式第６号】事業報告書兼チェックシート!M28="","鳥取県　　　　　所長　様",【様式第６号】事業報告書兼チェックシート!BG28&amp;"　様")</f>
        <v>鳥取県　　　　　所長　様</v>
      </c>
    </row>
    <row r="6" spans="1:63" ht="11.25" customHeight="1" x14ac:dyDescent="0.2"/>
    <row r="7" spans="1:63" ht="11.25" customHeight="1" x14ac:dyDescent="0.2"/>
    <row r="8" spans="1:63" ht="15.75" customHeight="1" x14ac:dyDescent="0.2">
      <c r="M8" s="1" t="s">
        <v>13</v>
      </c>
    </row>
    <row r="9" spans="1:63" ht="15.75" customHeight="1" x14ac:dyDescent="0.2">
      <c r="M9" s="1" t="s">
        <v>12</v>
      </c>
      <c r="O9" s="1" t="s">
        <v>10</v>
      </c>
      <c r="P9" s="453" t="str">
        <f>IF(【様式第６号】事業報告書兼チェックシート!O11="","",【様式第６号】事業報告書兼チェックシート!O11)</f>
        <v/>
      </c>
      <c r="Q9" s="453"/>
      <c r="R9" s="453"/>
      <c r="S9" s="453"/>
      <c r="T9" s="453"/>
      <c r="U9" s="453"/>
      <c r="V9" s="453"/>
      <c r="W9" s="453"/>
      <c r="X9" s="453"/>
    </row>
    <row r="10" spans="1:63" ht="35.25" customHeight="1" x14ac:dyDescent="0.2">
      <c r="O10" s="360" t="str">
        <f>IF(【様式第６号】事業報告書兼チェックシート!N12="","",【様式第６号】事業報告書兼チェックシート!N12)</f>
        <v/>
      </c>
      <c r="P10" s="360"/>
      <c r="Q10" s="360"/>
      <c r="R10" s="360"/>
      <c r="S10" s="360"/>
      <c r="T10" s="360"/>
      <c r="U10" s="360"/>
      <c r="V10" s="360"/>
      <c r="W10" s="360"/>
      <c r="X10" s="360"/>
    </row>
    <row r="11" spans="1:63" ht="16.5" customHeight="1" x14ac:dyDescent="0.2">
      <c r="M11" s="1" t="s">
        <v>6</v>
      </c>
      <c r="O11" s="360" t="str">
        <f>IF(【様式第６号】事業報告書兼チェックシート!N13="","",【様式第６号】事業報告書兼チェックシート!N13)</f>
        <v/>
      </c>
      <c r="P11" s="360"/>
      <c r="Q11" s="360"/>
      <c r="R11" s="360"/>
      <c r="S11" s="360"/>
      <c r="T11" s="360"/>
      <c r="U11" s="360"/>
      <c r="V11" s="360"/>
      <c r="W11" s="360"/>
      <c r="X11" s="360"/>
      <c r="AA11" s="22" t="s">
        <v>65</v>
      </c>
    </row>
    <row r="12" spans="1:63" ht="16.5" customHeight="1" x14ac:dyDescent="0.2">
      <c r="M12" s="1" t="s">
        <v>9</v>
      </c>
      <c r="O12" s="360" t="str">
        <f>IF(【様式第６号】事業報告書兼チェックシート!N14="","",【様式第６号】事業報告書兼チェックシート!N14)</f>
        <v/>
      </c>
      <c r="P12" s="360"/>
      <c r="Q12" s="360"/>
      <c r="R12" s="360"/>
      <c r="S12" s="360"/>
      <c r="T12" s="360"/>
      <c r="U12" s="360"/>
      <c r="V12" s="360"/>
      <c r="W12" s="360"/>
      <c r="X12" s="360"/>
    </row>
    <row r="13" spans="1:63" ht="12" customHeight="1" x14ac:dyDescent="0.2"/>
    <row r="14" spans="1:63" ht="12" customHeight="1" x14ac:dyDescent="0.2"/>
    <row r="15" spans="1:63" ht="16.5" customHeight="1" x14ac:dyDescent="0.2">
      <c r="A15" s="461" t="s">
        <v>470</v>
      </c>
      <c r="B15" s="461"/>
      <c r="C15" s="461"/>
      <c r="D15" s="461"/>
      <c r="E15" s="461"/>
      <c r="F15" s="461"/>
      <c r="G15" s="461"/>
      <c r="H15" s="461"/>
      <c r="I15" s="461"/>
      <c r="J15" s="461"/>
      <c r="K15" s="461"/>
      <c r="L15" s="461"/>
      <c r="M15" s="461"/>
      <c r="N15" s="461"/>
      <c r="O15" s="461"/>
      <c r="P15" s="461"/>
      <c r="Q15" s="461"/>
      <c r="R15" s="461"/>
      <c r="S15" s="461"/>
      <c r="T15" s="461"/>
      <c r="U15" s="461"/>
      <c r="V15" s="461"/>
      <c r="W15" s="461"/>
      <c r="X15" s="461"/>
      <c r="Y15" s="461"/>
      <c r="Z15" s="461"/>
      <c r="AA15" s="79"/>
      <c r="AB15" s="79"/>
      <c r="AC15" s="79"/>
      <c r="AD15" s="79"/>
      <c r="AE15" s="79"/>
      <c r="AF15" s="79"/>
      <c r="AG15" s="79"/>
    </row>
    <row r="16" spans="1:63" ht="12.75" customHeight="1" x14ac:dyDescent="0.2">
      <c r="AA16" s="79"/>
      <c r="AB16" s="79"/>
      <c r="AC16" s="484"/>
      <c r="AD16" s="485"/>
      <c r="AE16" s="485"/>
      <c r="AF16" s="485"/>
      <c r="AG16" s="486"/>
      <c r="AH16" s="68"/>
    </row>
    <row r="17" spans="1:52" ht="45" customHeight="1" x14ac:dyDescent="0.2">
      <c r="A17" s="360" t="s">
        <v>476</v>
      </c>
      <c r="B17" s="360"/>
      <c r="C17" s="360"/>
      <c r="D17" s="360"/>
      <c r="E17" s="360"/>
      <c r="F17" s="360"/>
      <c r="G17" s="360"/>
      <c r="H17" s="360"/>
      <c r="I17" s="360"/>
      <c r="J17" s="360"/>
      <c r="K17" s="360"/>
      <c r="L17" s="360"/>
      <c r="M17" s="360"/>
      <c r="N17" s="360"/>
      <c r="O17" s="360"/>
      <c r="P17" s="360"/>
      <c r="Q17" s="360"/>
      <c r="R17" s="360"/>
      <c r="S17" s="360"/>
      <c r="T17" s="360"/>
      <c r="U17" s="360"/>
      <c r="V17" s="360"/>
      <c r="W17" s="360"/>
      <c r="X17" s="360"/>
      <c r="Y17" s="360"/>
      <c r="Z17" s="360"/>
      <c r="AA17" s="76" t="str">
        <f>IF(OR(A17=BK2,A17=BK3),"←交付決定年月日及びその番号を入力してください（変更承認を受けている場合はその承認年月日及びその番号の追記も必要になります。）","")</f>
        <v/>
      </c>
    </row>
    <row r="18" spans="1:52" ht="16.5" customHeight="1" x14ac:dyDescent="0.2">
      <c r="AA18" s="79"/>
    </row>
    <row r="19" spans="1:52" ht="16.5" customHeight="1" x14ac:dyDescent="0.2">
      <c r="A19" s="461" t="s">
        <v>14</v>
      </c>
      <c r="B19" s="461"/>
      <c r="C19" s="461"/>
      <c r="D19" s="461"/>
      <c r="E19" s="461"/>
      <c r="F19" s="461"/>
      <c r="G19" s="461"/>
      <c r="H19" s="461"/>
      <c r="I19" s="461"/>
      <c r="J19" s="461"/>
      <c r="K19" s="461"/>
      <c r="L19" s="461"/>
      <c r="M19" s="461"/>
      <c r="N19" s="461"/>
      <c r="O19" s="461"/>
      <c r="P19" s="461"/>
      <c r="Q19" s="461"/>
      <c r="R19" s="461"/>
      <c r="S19" s="461"/>
      <c r="T19" s="461"/>
      <c r="U19" s="461"/>
      <c r="V19" s="461"/>
      <c r="W19" s="461"/>
      <c r="X19" s="461"/>
      <c r="Y19" s="461"/>
      <c r="Z19" s="461"/>
      <c r="AA19" s="487"/>
      <c r="AB19" s="487"/>
      <c r="AC19" s="487"/>
      <c r="AD19" s="487"/>
      <c r="AE19" s="487"/>
      <c r="AF19" s="487"/>
      <c r="AG19" s="487"/>
      <c r="AH19" s="487"/>
      <c r="AI19" s="487"/>
      <c r="AJ19" s="487"/>
      <c r="AK19" s="487"/>
      <c r="AL19" s="487"/>
      <c r="AM19" s="487"/>
      <c r="AN19" s="487"/>
      <c r="AO19" s="487"/>
      <c r="AP19" s="487"/>
      <c r="AQ19" s="487"/>
      <c r="AR19" s="487"/>
      <c r="AS19" s="487"/>
      <c r="AT19" s="487"/>
      <c r="AU19" s="487"/>
      <c r="AV19" s="487"/>
      <c r="AW19" s="487"/>
      <c r="AX19" s="487"/>
      <c r="AY19" s="487"/>
      <c r="AZ19" s="487"/>
    </row>
    <row r="20" spans="1:52" ht="16.5" customHeight="1" x14ac:dyDescent="0.2"/>
    <row r="21" spans="1:52" ht="16.5" customHeight="1" x14ac:dyDescent="0.2">
      <c r="B21" s="347" t="s">
        <v>221</v>
      </c>
      <c r="C21" s="348"/>
      <c r="D21" s="348"/>
      <c r="E21" s="348"/>
      <c r="F21" s="348"/>
      <c r="G21" s="349"/>
      <c r="H21" s="347" t="s">
        <v>457</v>
      </c>
      <c r="I21" s="348"/>
      <c r="J21" s="348"/>
      <c r="K21" s="348"/>
      <c r="L21" s="348"/>
      <c r="M21" s="348"/>
      <c r="N21" s="348"/>
      <c r="O21" s="348"/>
      <c r="P21" s="348"/>
      <c r="Q21" s="348"/>
      <c r="R21" s="348"/>
      <c r="S21" s="348"/>
      <c r="T21" s="348"/>
      <c r="U21" s="348"/>
      <c r="V21" s="348"/>
      <c r="W21" s="348"/>
      <c r="X21" s="348"/>
      <c r="Y21" s="349"/>
    </row>
    <row r="22" spans="1:52" ht="16.5" customHeight="1" x14ac:dyDescent="0.2">
      <c r="B22" s="369" t="s">
        <v>471</v>
      </c>
      <c r="C22" s="370"/>
      <c r="D22" s="370"/>
      <c r="E22" s="370"/>
      <c r="F22" s="370"/>
      <c r="G22" s="371"/>
      <c r="H22" s="490" t="s">
        <v>16</v>
      </c>
      <c r="I22" s="491"/>
      <c r="J22" s="491"/>
      <c r="K22" s="491"/>
      <c r="L22" s="491"/>
      <c r="M22" s="491"/>
      <c r="N22" s="491"/>
      <c r="O22" s="491"/>
      <c r="P22" s="492"/>
      <c r="Q22" s="347" t="s">
        <v>473</v>
      </c>
      <c r="R22" s="348"/>
      <c r="S22" s="348"/>
      <c r="T22" s="348"/>
      <c r="U22" s="348"/>
      <c r="V22" s="348"/>
      <c r="W22" s="348"/>
      <c r="X22" s="348"/>
      <c r="Y22" s="349"/>
    </row>
    <row r="23" spans="1:52" ht="16.5" customHeight="1" x14ac:dyDescent="0.2">
      <c r="B23" s="372"/>
      <c r="C23" s="373"/>
      <c r="D23" s="373"/>
      <c r="E23" s="373"/>
      <c r="F23" s="373"/>
      <c r="G23" s="374"/>
      <c r="H23" s="488" t="str">
        <f>IF('要入力　登録決定状況入力シート'!C18="","",'要入力　登録決定状況入力シート'!C18)</f>
        <v/>
      </c>
      <c r="I23" s="489"/>
      <c r="J23" s="489"/>
      <c r="K23" s="489"/>
      <c r="L23" s="489"/>
      <c r="M23" s="489"/>
      <c r="N23" s="489"/>
      <c r="O23" s="489"/>
      <c r="P23" s="80" t="s">
        <v>17</v>
      </c>
      <c r="Q23" s="488" t="str">
        <f>IF('要入力　登録決定状況入力シート'!D18="","",'要入力　登録決定状況入力シート'!D18)</f>
        <v/>
      </c>
      <c r="R23" s="489"/>
      <c r="S23" s="489"/>
      <c r="T23" s="489"/>
      <c r="U23" s="489"/>
      <c r="V23" s="489"/>
      <c r="W23" s="489"/>
      <c r="X23" s="489"/>
      <c r="Y23" s="80" t="s">
        <v>17</v>
      </c>
      <c r="AA23" s="22" t="s">
        <v>267</v>
      </c>
    </row>
    <row r="24" spans="1:52" ht="16.5" customHeight="1" x14ac:dyDescent="0.2">
      <c r="B24" s="347" t="s">
        <v>472</v>
      </c>
      <c r="C24" s="348"/>
      <c r="D24" s="348"/>
      <c r="E24" s="348"/>
      <c r="F24" s="348"/>
      <c r="G24" s="349"/>
      <c r="H24" s="488" t="str">
        <f>IF('要入力　登録決定状況入力シート'!G18="","",'要入力　登録決定状況入力シート'!G18)</f>
        <v/>
      </c>
      <c r="I24" s="489"/>
      <c r="J24" s="489"/>
      <c r="K24" s="489"/>
      <c r="L24" s="489"/>
      <c r="M24" s="489"/>
      <c r="N24" s="489"/>
      <c r="O24" s="489"/>
      <c r="P24" s="80" t="s">
        <v>17</v>
      </c>
      <c r="Q24" s="488" t="str">
        <f>IF('要入力　登録決定状況入力シート'!H18="","",'要入力　登録決定状況入力シート'!H18)</f>
        <v/>
      </c>
      <c r="R24" s="489"/>
      <c r="S24" s="489"/>
      <c r="T24" s="489"/>
      <c r="U24" s="489"/>
      <c r="V24" s="489"/>
      <c r="W24" s="489"/>
      <c r="X24" s="489"/>
      <c r="Y24" s="80" t="s">
        <v>17</v>
      </c>
      <c r="AA24" s="22" t="s">
        <v>229</v>
      </c>
    </row>
    <row r="25" spans="1:52" ht="16.5" customHeight="1" x14ac:dyDescent="0.2">
      <c r="B25" s="347" t="s">
        <v>222</v>
      </c>
      <c r="C25" s="348"/>
      <c r="D25" s="348"/>
      <c r="E25" s="348"/>
      <c r="F25" s="348"/>
      <c r="G25" s="349"/>
      <c r="H25" s="488" t="str">
        <f>IF(H23="","",H24-H23)</f>
        <v/>
      </c>
      <c r="I25" s="489"/>
      <c r="J25" s="489"/>
      <c r="K25" s="489"/>
      <c r="L25" s="489"/>
      <c r="M25" s="489"/>
      <c r="N25" s="489"/>
      <c r="O25" s="489"/>
      <c r="P25" s="80" t="s">
        <v>17</v>
      </c>
      <c r="Q25" s="488" t="str">
        <f>IF(Q23="","",Q24-Q23)</f>
        <v/>
      </c>
      <c r="R25" s="489"/>
      <c r="S25" s="489"/>
      <c r="T25" s="489"/>
      <c r="U25" s="489"/>
      <c r="V25" s="489"/>
      <c r="W25" s="489"/>
      <c r="X25" s="489"/>
      <c r="Y25" s="80" t="s">
        <v>17</v>
      </c>
      <c r="AA25" s="79"/>
    </row>
    <row r="26" spans="1:52" ht="16.5" hidden="1" customHeight="1" x14ac:dyDescent="0.2">
      <c r="B26" s="39"/>
      <c r="C26" s="39"/>
      <c r="D26" s="39"/>
      <c r="E26" s="39"/>
      <c r="F26" s="39"/>
      <c r="G26" s="39"/>
      <c r="H26" s="108"/>
      <c r="I26" s="108"/>
      <c r="J26" s="108"/>
      <c r="K26" s="108"/>
      <c r="L26" s="108"/>
      <c r="M26" s="108"/>
      <c r="N26" s="108"/>
      <c r="O26" s="108"/>
      <c r="P26" s="109"/>
      <c r="Q26" s="108"/>
      <c r="R26" s="108"/>
      <c r="S26" s="108"/>
      <c r="T26" s="108"/>
      <c r="U26" s="108"/>
      <c r="V26" s="108"/>
      <c r="W26" s="108"/>
      <c r="X26" s="108"/>
      <c r="Y26" s="109"/>
      <c r="AA26" s="79"/>
    </row>
    <row r="27" spans="1:52" ht="16.5" hidden="1" customHeight="1" x14ac:dyDescent="0.2">
      <c r="B27" s="39"/>
      <c r="C27" s="39"/>
      <c r="D27" s="39"/>
      <c r="E27" s="39"/>
      <c r="F27" s="39"/>
      <c r="G27" s="39"/>
      <c r="H27" s="108"/>
      <c r="I27" s="108"/>
      <c r="J27" s="108"/>
      <c r="K27" s="108"/>
      <c r="L27" s="108"/>
      <c r="M27" s="108"/>
      <c r="N27" s="108"/>
      <c r="O27" s="108"/>
      <c r="P27" s="109"/>
      <c r="Q27" s="108"/>
      <c r="R27" s="108"/>
      <c r="S27" s="108"/>
      <c r="T27" s="108"/>
      <c r="U27" s="108"/>
      <c r="V27" s="108"/>
      <c r="W27" s="108"/>
      <c r="X27" s="108"/>
      <c r="Y27" s="109"/>
      <c r="AA27" s="79"/>
    </row>
    <row r="28" spans="1:52" ht="16.5" hidden="1" customHeight="1" x14ac:dyDescent="0.2">
      <c r="B28" s="39"/>
      <c r="C28" s="39"/>
      <c r="D28" s="39"/>
      <c r="E28" s="39"/>
      <c r="F28" s="39"/>
      <c r="G28" s="39"/>
      <c r="H28" s="108"/>
      <c r="I28" s="108"/>
      <c r="J28" s="108"/>
      <c r="K28" s="108"/>
      <c r="L28" s="108"/>
      <c r="M28" s="108"/>
      <c r="N28" s="108"/>
      <c r="O28" s="108"/>
      <c r="P28" s="109"/>
      <c r="Q28" s="108"/>
      <c r="R28" s="108"/>
      <c r="S28" s="108"/>
      <c r="T28" s="108"/>
      <c r="U28" s="108"/>
      <c r="V28" s="108"/>
      <c r="W28" s="108"/>
      <c r="X28" s="108"/>
      <c r="Y28" s="109"/>
      <c r="AA28" s="79"/>
    </row>
    <row r="29" spans="1:52" ht="16.5" hidden="1" customHeight="1" x14ac:dyDescent="0.2">
      <c r="B29" s="39"/>
      <c r="C29" s="39"/>
      <c r="D29" s="39"/>
      <c r="E29" s="39"/>
      <c r="F29" s="39"/>
      <c r="G29" s="39"/>
      <c r="H29" s="108"/>
      <c r="I29" s="108"/>
      <c r="J29" s="108"/>
      <c r="K29" s="108"/>
      <c r="L29" s="108"/>
      <c r="M29" s="108"/>
      <c r="N29" s="108"/>
      <c r="O29" s="108"/>
      <c r="P29" s="109"/>
      <c r="Q29" s="108"/>
      <c r="R29" s="108"/>
      <c r="S29" s="108"/>
      <c r="T29" s="108"/>
      <c r="U29" s="108"/>
      <c r="V29" s="108"/>
      <c r="W29" s="108"/>
      <c r="X29" s="108"/>
      <c r="Y29" s="109"/>
      <c r="AA29" s="79"/>
    </row>
    <row r="30" spans="1:52" ht="16.5" hidden="1" customHeight="1" x14ac:dyDescent="0.2">
      <c r="B30" s="39"/>
      <c r="C30" s="39"/>
      <c r="D30" s="39"/>
      <c r="E30" s="39"/>
      <c r="F30" s="39"/>
      <c r="G30" s="39"/>
      <c r="H30" s="108"/>
      <c r="I30" s="108"/>
      <c r="J30" s="108"/>
      <c r="K30" s="108"/>
      <c r="L30" s="108"/>
      <c r="M30" s="108"/>
      <c r="N30" s="108"/>
      <c r="O30" s="108"/>
      <c r="P30" s="109"/>
      <c r="Q30" s="108"/>
      <c r="R30" s="108"/>
      <c r="S30" s="108"/>
      <c r="T30" s="108"/>
      <c r="U30" s="108"/>
      <c r="V30" s="108"/>
      <c r="W30" s="108"/>
      <c r="X30" s="108"/>
      <c r="Y30" s="109"/>
      <c r="AA30" s="79"/>
    </row>
    <row r="31" spans="1:52" ht="16.5" hidden="1" customHeight="1" x14ac:dyDescent="0.2">
      <c r="B31" s="39"/>
      <c r="C31" s="39"/>
      <c r="D31" s="39"/>
      <c r="E31" s="39"/>
      <c r="F31" s="39"/>
      <c r="G31" s="39"/>
      <c r="H31" s="108"/>
      <c r="I31" s="108"/>
      <c r="J31" s="108"/>
      <c r="K31" s="108"/>
      <c r="L31" s="108"/>
      <c r="M31" s="108"/>
      <c r="N31" s="108"/>
      <c r="O31" s="108"/>
      <c r="P31" s="109"/>
      <c r="Q31" s="108"/>
      <c r="R31" s="108"/>
      <c r="S31" s="108"/>
      <c r="T31" s="108"/>
      <c r="U31" s="108"/>
      <c r="V31" s="108"/>
      <c r="W31" s="108"/>
      <c r="X31" s="108"/>
      <c r="Y31" s="109"/>
      <c r="AA31" s="79"/>
    </row>
    <row r="32" spans="1:52" ht="16.5" hidden="1" customHeight="1" x14ac:dyDescent="0.2">
      <c r="B32" s="39"/>
      <c r="C32" s="39"/>
      <c r="D32" s="39"/>
      <c r="E32" s="39"/>
      <c r="F32" s="39"/>
      <c r="G32" s="39"/>
      <c r="H32" s="108"/>
      <c r="I32" s="108"/>
      <c r="J32" s="108"/>
      <c r="K32" s="108"/>
      <c r="L32" s="108"/>
      <c r="M32" s="108"/>
      <c r="N32" s="108"/>
      <c r="O32" s="108"/>
      <c r="P32" s="109"/>
      <c r="Q32" s="108"/>
      <c r="R32" s="108"/>
      <c r="S32" s="108"/>
      <c r="T32" s="108"/>
      <c r="U32" s="108"/>
      <c r="V32" s="108"/>
      <c r="W32" s="108"/>
      <c r="X32" s="108"/>
      <c r="Y32" s="109"/>
      <c r="AA32" s="79"/>
    </row>
    <row r="33" spans="2:27" ht="16.5" hidden="1" customHeight="1" x14ac:dyDescent="0.2">
      <c r="B33" s="39"/>
      <c r="C33" s="39"/>
      <c r="D33" s="39"/>
      <c r="E33" s="39"/>
      <c r="F33" s="39"/>
      <c r="G33" s="39"/>
      <c r="H33" s="108"/>
      <c r="I33" s="108"/>
      <c r="J33" s="108"/>
      <c r="K33" s="108"/>
      <c r="L33" s="108"/>
      <c r="M33" s="108"/>
      <c r="N33" s="108"/>
      <c r="O33" s="108"/>
      <c r="P33" s="109"/>
      <c r="Q33" s="108"/>
      <c r="R33" s="108"/>
      <c r="S33" s="108"/>
      <c r="T33" s="108"/>
      <c r="U33" s="108"/>
      <c r="V33" s="108"/>
      <c r="W33" s="108"/>
      <c r="X33" s="108"/>
      <c r="Y33" s="109"/>
      <c r="AA33" s="79"/>
    </row>
    <row r="34" spans="2:27" ht="16.5" hidden="1" customHeight="1" x14ac:dyDescent="0.2">
      <c r="B34" s="39"/>
      <c r="C34" s="39"/>
      <c r="D34" s="39"/>
      <c r="E34" s="39"/>
      <c r="F34" s="39"/>
      <c r="G34" s="39"/>
      <c r="H34" s="108"/>
      <c r="I34" s="108"/>
      <c r="J34" s="108"/>
      <c r="K34" s="108"/>
      <c r="L34" s="108"/>
      <c r="M34" s="108"/>
      <c r="N34" s="108"/>
      <c r="O34" s="108"/>
      <c r="P34" s="109"/>
      <c r="Q34" s="108"/>
      <c r="R34" s="108"/>
      <c r="S34" s="108"/>
      <c r="T34" s="108"/>
      <c r="U34" s="108"/>
      <c r="V34" s="108"/>
      <c r="W34" s="108"/>
      <c r="X34" s="108"/>
      <c r="Y34" s="109"/>
      <c r="AA34" s="79"/>
    </row>
    <row r="35" spans="2:27" ht="16.5" hidden="1" customHeight="1" x14ac:dyDescent="0.2">
      <c r="B35" s="39"/>
      <c r="C35" s="39"/>
      <c r="D35" s="39"/>
      <c r="E35" s="39"/>
      <c r="F35" s="39"/>
      <c r="G35" s="39"/>
      <c r="H35" s="108"/>
      <c r="I35" s="108"/>
      <c r="J35" s="108"/>
      <c r="K35" s="108"/>
      <c r="L35" s="108"/>
      <c r="M35" s="108"/>
      <c r="N35" s="108"/>
      <c r="O35" s="108"/>
      <c r="P35" s="109"/>
      <c r="Q35" s="108"/>
      <c r="R35" s="108"/>
      <c r="S35" s="108"/>
      <c r="T35" s="108"/>
      <c r="U35" s="108"/>
      <c r="V35" s="108"/>
      <c r="W35" s="108"/>
      <c r="X35" s="108"/>
      <c r="Y35" s="109"/>
      <c r="AA35" s="79"/>
    </row>
    <row r="36" spans="2:27" ht="16.5" hidden="1" customHeight="1" x14ac:dyDescent="0.2">
      <c r="B36" s="39"/>
      <c r="C36" s="39"/>
      <c r="D36" s="39"/>
      <c r="E36" s="39"/>
      <c r="F36" s="39"/>
      <c r="G36" s="39"/>
      <c r="H36" s="108"/>
      <c r="I36" s="108"/>
      <c r="J36" s="108"/>
      <c r="K36" s="108"/>
      <c r="L36" s="108"/>
      <c r="M36" s="108"/>
      <c r="N36" s="108"/>
      <c r="O36" s="108"/>
      <c r="P36" s="109"/>
      <c r="Q36" s="108"/>
      <c r="R36" s="108"/>
      <c r="S36" s="108"/>
      <c r="T36" s="108"/>
      <c r="U36" s="108"/>
      <c r="V36" s="108"/>
      <c r="W36" s="108"/>
      <c r="X36" s="108"/>
      <c r="Y36" s="109"/>
      <c r="AA36" s="79"/>
    </row>
    <row r="37" spans="2:27" ht="16.5" hidden="1" customHeight="1" x14ac:dyDescent="0.2">
      <c r="B37" s="39"/>
      <c r="C37" s="39"/>
      <c r="D37" s="39"/>
      <c r="E37" s="39"/>
      <c r="F37" s="39"/>
      <c r="G37" s="39"/>
      <c r="H37" s="108"/>
      <c r="I37" s="108"/>
      <c r="J37" s="108"/>
      <c r="K37" s="108"/>
      <c r="L37" s="108"/>
      <c r="M37" s="108"/>
      <c r="N37" s="108"/>
      <c r="O37" s="108"/>
      <c r="P37" s="109"/>
      <c r="Q37" s="108"/>
      <c r="R37" s="108"/>
      <c r="S37" s="108"/>
      <c r="T37" s="108"/>
      <c r="U37" s="108"/>
      <c r="V37" s="108"/>
      <c r="W37" s="108"/>
      <c r="X37" s="108"/>
      <c r="Y37" s="109"/>
      <c r="AA37" s="79"/>
    </row>
    <row r="38" spans="2:27" ht="16.5" hidden="1" customHeight="1" x14ac:dyDescent="0.2">
      <c r="B38" s="39"/>
      <c r="C38" s="39"/>
      <c r="D38" s="39"/>
      <c r="E38" s="39"/>
      <c r="F38" s="39"/>
      <c r="G38" s="39"/>
      <c r="H38" s="108"/>
      <c r="I38" s="108"/>
      <c r="J38" s="108"/>
      <c r="K38" s="108"/>
      <c r="L38" s="108"/>
      <c r="M38" s="108"/>
      <c r="N38" s="108"/>
      <c r="O38" s="108"/>
      <c r="P38" s="109"/>
      <c r="Q38" s="108"/>
      <c r="R38" s="108"/>
      <c r="S38" s="108"/>
      <c r="T38" s="108"/>
      <c r="U38" s="108"/>
      <c r="V38" s="108"/>
      <c r="W38" s="108"/>
      <c r="X38" s="108"/>
      <c r="Y38" s="109"/>
      <c r="AA38" s="79"/>
    </row>
    <row r="39" spans="2:27" ht="16.5" hidden="1" customHeight="1" x14ac:dyDescent="0.2">
      <c r="B39" s="39"/>
      <c r="C39" s="39"/>
      <c r="D39" s="39"/>
      <c r="E39" s="39"/>
      <c r="F39" s="39"/>
      <c r="G39" s="39"/>
      <c r="H39" s="108"/>
      <c r="I39" s="108"/>
      <c r="J39" s="108"/>
      <c r="K39" s="108"/>
      <c r="L39" s="108"/>
      <c r="M39" s="108"/>
      <c r="N39" s="108"/>
      <c r="O39" s="108"/>
      <c r="P39" s="109"/>
      <c r="Q39" s="108"/>
      <c r="R39" s="108"/>
      <c r="S39" s="108"/>
      <c r="T39" s="108"/>
      <c r="U39" s="108"/>
      <c r="V39" s="108"/>
      <c r="W39" s="108"/>
      <c r="X39" s="108"/>
      <c r="Y39" s="109"/>
      <c r="AA39" s="79"/>
    </row>
    <row r="40" spans="2:27" ht="16.5" hidden="1" customHeight="1" x14ac:dyDescent="0.2">
      <c r="B40" s="39"/>
      <c r="C40" s="39"/>
      <c r="D40" s="39"/>
      <c r="E40" s="39"/>
      <c r="F40" s="39"/>
      <c r="G40" s="39"/>
      <c r="H40" s="108"/>
      <c r="I40" s="108"/>
      <c r="J40" s="108"/>
      <c r="K40" s="108"/>
      <c r="L40" s="108"/>
      <c r="M40" s="108"/>
      <c r="N40" s="108"/>
      <c r="O40" s="108"/>
      <c r="P40" s="109"/>
      <c r="Q40" s="108"/>
      <c r="R40" s="108"/>
      <c r="S40" s="108"/>
      <c r="T40" s="108"/>
      <c r="U40" s="108"/>
      <c r="V40" s="108"/>
      <c r="W40" s="108"/>
      <c r="X40" s="108"/>
      <c r="Y40" s="109"/>
      <c r="AA40" s="79"/>
    </row>
    <row r="41" spans="2:27" ht="16.5" hidden="1" customHeight="1" x14ac:dyDescent="0.2">
      <c r="B41" s="39"/>
      <c r="C41" s="39"/>
      <c r="D41" s="39"/>
      <c r="E41" s="39"/>
      <c r="F41" s="39"/>
      <c r="G41" s="39"/>
      <c r="H41" s="108"/>
      <c r="I41" s="108"/>
      <c r="J41" s="108"/>
      <c r="K41" s="108"/>
      <c r="L41" s="108"/>
      <c r="M41" s="108"/>
      <c r="N41" s="108"/>
      <c r="O41" s="108"/>
      <c r="P41" s="109"/>
      <c r="Q41" s="108"/>
      <c r="R41" s="108"/>
      <c r="S41" s="108"/>
      <c r="T41" s="108"/>
      <c r="U41" s="108"/>
      <c r="V41" s="108"/>
      <c r="W41" s="108"/>
      <c r="X41" s="108"/>
      <c r="Y41" s="109"/>
      <c r="AA41" s="79"/>
    </row>
    <row r="42" spans="2:27" ht="16.5" hidden="1" customHeight="1" x14ac:dyDescent="0.2">
      <c r="B42" s="39"/>
      <c r="C42" s="39"/>
      <c r="D42" s="39"/>
      <c r="E42" s="39"/>
      <c r="F42" s="39"/>
      <c r="G42" s="39"/>
      <c r="H42" s="108"/>
      <c r="I42" s="108"/>
      <c r="J42" s="108"/>
      <c r="K42" s="108"/>
      <c r="L42" s="108"/>
      <c r="M42" s="108"/>
      <c r="N42" s="108"/>
      <c r="O42" s="108"/>
      <c r="P42" s="109"/>
      <c r="Q42" s="108"/>
      <c r="R42" s="108"/>
      <c r="S42" s="108"/>
      <c r="T42" s="108"/>
      <c r="U42" s="108"/>
      <c r="V42" s="108"/>
      <c r="W42" s="108"/>
      <c r="X42" s="108"/>
      <c r="Y42" s="109"/>
      <c r="AA42" s="79"/>
    </row>
    <row r="43" spans="2:27" ht="16.5" hidden="1" customHeight="1" x14ac:dyDescent="0.2">
      <c r="B43" s="39"/>
      <c r="C43" s="39"/>
      <c r="D43" s="39"/>
      <c r="E43" s="39"/>
      <c r="F43" s="39"/>
      <c r="G43" s="39"/>
      <c r="H43" s="108"/>
      <c r="I43" s="108"/>
      <c r="J43" s="108"/>
      <c r="K43" s="108"/>
      <c r="L43" s="108"/>
      <c r="M43" s="108"/>
      <c r="N43" s="108"/>
      <c r="O43" s="108"/>
      <c r="P43" s="109"/>
      <c r="Q43" s="108"/>
      <c r="R43" s="108"/>
      <c r="S43" s="108"/>
      <c r="T43" s="108"/>
      <c r="U43" s="108"/>
      <c r="V43" s="108"/>
      <c r="W43" s="108"/>
      <c r="X43" s="108"/>
      <c r="Y43" s="109"/>
      <c r="AA43" s="79"/>
    </row>
    <row r="44" spans="2:27" ht="16.5" hidden="1" customHeight="1" x14ac:dyDescent="0.2">
      <c r="B44" s="39"/>
      <c r="C44" s="39"/>
      <c r="D44" s="39"/>
      <c r="E44" s="39"/>
      <c r="F44" s="39"/>
      <c r="G44" s="39"/>
      <c r="H44" s="108"/>
      <c r="I44" s="108"/>
      <c r="J44" s="108"/>
      <c r="K44" s="108"/>
      <c r="L44" s="108"/>
      <c r="M44" s="108"/>
      <c r="N44" s="108"/>
      <c r="O44" s="108"/>
      <c r="P44" s="109"/>
      <c r="Q44" s="108"/>
      <c r="R44" s="108"/>
      <c r="S44" s="108"/>
      <c r="T44" s="108"/>
      <c r="U44" s="108"/>
      <c r="V44" s="108"/>
      <c r="W44" s="108"/>
      <c r="X44" s="108"/>
      <c r="Y44" s="109"/>
      <c r="AA44" s="79"/>
    </row>
    <row r="45" spans="2:27" ht="16.5" hidden="1" customHeight="1" x14ac:dyDescent="0.2">
      <c r="B45" s="39"/>
      <c r="C45" s="39"/>
      <c r="D45" s="39"/>
      <c r="E45" s="39"/>
      <c r="F45" s="39"/>
      <c r="G45" s="39"/>
      <c r="H45" s="108"/>
      <c r="I45" s="108"/>
      <c r="J45" s="108"/>
      <c r="K45" s="108"/>
      <c r="L45" s="108"/>
      <c r="M45" s="108"/>
      <c r="N45" s="108"/>
      <c r="O45" s="108"/>
      <c r="P45" s="109"/>
      <c r="Q45" s="108"/>
      <c r="R45" s="108"/>
      <c r="S45" s="108"/>
      <c r="T45" s="108"/>
      <c r="U45" s="108"/>
      <c r="V45" s="108"/>
      <c r="W45" s="108"/>
      <c r="X45" s="108"/>
      <c r="Y45" s="109"/>
      <c r="AA45" s="79"/>
    </row>
    <row r="46" spans="2:27" ht="16.5" hidden="1" customHeight="1" x14ac:dyDescent="0.2">
      <c r="B46" s="39"/>
      <c r="C46" s="39"/>
      <c r="D46" s="39"/>
      <c r="E46" s="39"/>
      <c r="F46" s="39"/>
      <c r="G46" s="39"/>
      <c r="H46" s="108"/>
      <c r="I46" s="108"/>
      <c r="J46" s="108"/>
      <c r="K46" s="108"/>
      <c r="L46" s="108"/>
      <c r="M46" s="108"/>
      <c r="N46" s="108"/>
      <c r="O46" s="108"/>
      <c r="P46" s="109"/>
      <c r="Q46" s="108"/>
      <c r="R46" s="108"/>
      <c r="S46" s="108"/>
      <c r="T46" s="108"/>
      <c r="U46" s="108"/>
      <c r="V46" s="108"/>
      <c r="W46" s="108"/>
      <c r="X46" s="108"/>
      <c r="Y46" s="109"/>
      <c r="AA46" s="79"/>
    </row>
    <row r="47" spans="2:27" ht="16.5" hidden="1" customHeight="1" x14ac:dyDescent="0.2">
      <c r="B47" s="39"/>
      <c r="C47" s="39"/>
      <c r="D47" s="39"/>
      <c r="E47" s="39"/>
      <c r="F47" s="39"/>
      <c r="G47" s="39"/>
      <c r="H47" s="108"/>
      <c r="I47" s="108"/>
      <c r="J47" s="108"/>
      <c r="K47" s="108"/>
      <c r="L47" s="108"/>
      <c r="M47" s="108"/>
      <c r="N47" s="108"/>
      <c r="O47" s="108"/>
      <c r="P47" s="109"/>
      <c r="Q47" s="108"/>
      <c r="R47" s="108"/>
      <c r="S47" s="108"/>
      <c r="T47" s="108"/>
      <c r="U47" s="108"/>
      <c r="V47" s="108"/>
      <c r="W47" s="108"/>
      <c r="X47" s="108"/>
      <c r="Y47" s="109"/>
      <c r="AA47" s="79"/>
    </row>
    <row r="48" spans="2:27" ht="16.5" hidden="1" customHeight="1" x14ac:dyDescent="0.2">
      <c r="B48" s="39"/>
      <c r="C48" s="39"/>
      <c r="D48" s="39"/>
      <c r="E48" s="39"/>
      <c r="F48" s="39"/>
      <c r="G48" s="39"/>
      <c r="H48" s="108"/>
      <c r="I48" s="108"/>
      <c r="J48" s="108"/>
      <c r="K48" s="108"/>
      <c r="L48" s="108"/>
      <c r="M48" s="108"/>
      <c r="N48" s="108"/>
      <c r="O48" s="108"/>
      <c r="P48" s="109"/>
      <c r="Q48" s="108"/>
      <c r="R48" s="108"/>
      <c r="S48" s="108"/>
      <c r="T48" s="108"/>
      <c r="U48" s="108"/>
      <c r="V48" s="108"/>
      <c r="W48" s="108"/>
      <c r="X48" s="108"/>
      <c r="Y48" s="110" t="s">
        <v>266</v>
      </c>
      <c r="AA48" s="79"/>
    </row>
    <row r="49" spans="2:27" ht="16.5" hidden="1" customHeight="1" x14ac:dyDescent="0.2">
      <c r="B49" s="39"/>
      <c r="C49" s="39"/>
      <c r="D49" s="39"/>
      <c r="E49" s="39"/>
      <c r="F49" s="39"/>
      <c r="G49" s="39"/>
      <c r="H49" s="108"/>
      <c r="I49" s="108"/>
      <c r="J49" s="108"/>
      <c r="K49" s="108"/>
      <c r="L49" s="108"/>
      <c r="M49" s="108"/>
      <c r="N49" s="108"/>
      <c r="O49" s="108"/>
      <c r="P49" s="109"/>
      <c r="Q49" s="108"/>
      <c r="R49" s="108"/>
      <c r="S49" s="108"/>
      <c r="T49" s="108"/>
      <c r="U49" s="108"/>
      <c r="V49" s="108"/>
      <c r="W49" s="108"/>
      <c r="X49" s="108"/>
      <c r="Y49" s="109"/>
      <c r="AA49" s="79"/>
    </row>
    <row r="50" spans="2:27" ht="16.5" hidden="1" customHeight="1" x14ac:dyDescent="0.2">
      <c r="B50" s="39"/>
      <c r="C50" s="39"/>
      <c r="D50" s="39"/>
      <c r="E50" s="39"/>
      <c r="F50" s="39"/>
      <c r="G50" s="39"/>
      <c r="H50" s="108"/>
      <c r="I50" s="108"/>
      <c r="J50" s="108"/>
      <c r="K50" s="108"/>
      <c r="L50" s="108"/>
      <c r="M50" s="108"/>
      <c r="N50" s="108"/>
      <c r="O50" s="108"/>
      <c r="P50" s="109"/>
      <c r="Q50" s="108"/>
      <c r="R50" s="108"/>
      <c r="S50" s="108"/>
      <c r="T50" s="108"/>
      <c r="U50" s="108"/>
      <c r="V50" s="108"/>
      <c r="W50" s="108"/>
      <c r="X50" s="108"/>
      <c r="Y50" s="109"/>
      <c r="AA50" s="79"/>
    </row>
    <row r="51" spans="2:27" ht="16.5" hidden="1" customHeight="1" x14ac:dyDescent="0.2">
      <c r="B51" s="410" t="s">
        <v>458</v>
      </c>
      <c r="C51" s="411"/>
      <c r="D51" s="411"/>
      <c r="E51" s="411"/>
      <c r="F51" s="411"/>
      <c r="G51" s="412"/>
      <c r="H51" s="294" t="s">
        <v>228</v>
      </c>
      <c r="I51" s="295"/>
      <c r="J51" s="295"/>
      <c r="K51" s="295"/>
      <c r="L51" s="295"/>
      <c r="M51" s="295"/>
      <c r="N51" s="295"/>
      <c r="O51" s="295"/>
      <c r="P51" s="295"/>
      <c r="Q51" s="295"/>
      <c r="R51" s="295"/>
      <c r="S51" s="295"/>
      <c r="T51" s="295"/>
      <c r="U51" s="295"/>
      <c r="V51" s="295"/>
      <c r="W51" s="295"/>
      <c r="X51" s="295"/>
      <c r="Y51" s="296"/>
      <c r="AA51" s="79" t="s">
        <v>66</v>
      </c>
    </row>
    <row r="52" spans="2:27" ht="16.5" hidden="1" customHeight="1" x14ac:dyDescent="0.2">
      <c r="B52" s="529"/>
      <c r="C52" s="360"/>
      <c r="D52" s="360"/>
      <c r="E52" s="360"/>
      <c r="F52" s="360"/>
      <c r="G52" s="530"/>
      <c r="H52" s="82" t="e">
        <f>IF(【様式第６号】事業報告書兼チェックシート!C250="","","・"&amp;【様式第６号】事業報告書兼チェックシート!C250)</f>
        <v>#REF!</v>
      </c>
      <c r="I52" s="13"/>
      <c r="J52" s="13"/>
      <c r="K52" s="13"/>
      <c r="L52" s="13"/>
      <c r="M52" s="13"/>
      <c r="N52" s="13"/>
      <c r="O52" s="13"/>
      <c r="P52" s="13"/>
      <c r="Q52" s="13"/>
      <c r="R52" s="13"/>
      <c r="S52" s="13"/>
      <c r="T52" s="13"/>
      <c r="U52" s="13"/>
      <c r="V52" s="13"/>
      <c r="W52" s="13"/>
      <c r="X52" s="13"/>
      <c r="Y52" s="83"/>
    </row>
    <row r="53" spans="2:27" ht="16.5" hidden="1" customHeight="1" x14ac:dyDescent="0.2">
      <c r="B53" s="28"/>
      <c r="G53" s="81"/>
      <c r="H53" s="82" t="str">
        <f>IF(【様式第６号】事業報告書兼チェックシート!C251="","","・"&amp;【様式第６号】事業報告書兼チェックシート!C251)</f>
        <v/>
      </c>
      <c r="I53" s="13"/>
      <c r="J53" s="13"/>
      <c r="K53" s="13"/>
      <c r="L53" s="13"/>
      <c r="M53" s="13"/>
      <c r="N53" s="13"/>
      <c r="O53" s="13"/>
      <c r="P53" s="13"/>
      <c r="Q53" s="13"/>
      <c r="R53" s="13"/>
      <c r="S53" s="13"/>
      <c r="T53" s="13"/>
      <c r="U53" s="13"/>
      <c r="V53" s="13"/>
      <c r="W53" s="13"/>
      <c r="X53" s="13"/>
      <c r="Y53" s="83"/>
    </row>
    <row r="54" spans="2:27" ht="16.5" hidden="1" customHeight="1" x14ac:dyDescent="0.2">
      <c r="B54" s="28"/>
      <c r="G54" s="81"/>
      <c r="H54" s="82" t="str">
        <f>IF(【様式第６号】事業報告書兼チェックシート!C252="","","・"&amp;【様式第６号】事業報告書兼チェックシート!C252)</f>
        <v/>
      </c>
      <c r="I54" s="13"/>
      <c r="J54" s="13"/>
      <c r="K54" s="13"/>
      <c r="L54" s="13"/>
      <c r="M54" s="13"/>
      <c r="N54" s="13"/>
      <c r="O54" s="13"/>
      <c r="P54" s="13"/>
      <c r="Q54" s="13"/>
      <c r="R54" s="13"/>
      <c r="S54" s="13"/>
      <c r="T54" s="13"/>
      <c r="U54" s="13"/>
      <c r="V54" s="13"/>
      <c r="W54" s="13"/>
      <c r="X54" s="13"/>
      <c r="Y54" s="83"/>
    </row>
    <row r="55" spans="2:27" ht="16.5" hidden="1" customHeight="1" x14ac:dyDescent="0.2">
      <c r="B55" s="28"/>
      <c r="G55" s="81"/>
      <c r="H55" s="82" t="str">
        <f>IF(【様式第６号】事業報告書兼チェックシート!C253="","","・"&amp;【様式第６号】事業報告書兼チェックシート!C253)</f>
        <v>・完成写真及び口座振替依頼書</v>
      </c>
      <c r="I55" s="13"/>
      <c r="J55" s="13"/>
      <c r="K55" s="13"/>
      <c r="L55" s="13"/>
      <c r="M55" s="13"/>
      <c r="N55" s="13"/>
      <c r="O55" s="13"/>
      <c r="P55" s="13"/>
      <c r="Q55" s="13"/>
      <c r="R55" s="13"/>
      <c r="S55" s="13"/>
      <c r="T55" s="13"/>
      <c r="U55" s="13"/>
      <c r="V55" s="13"/>
      <c r="W55" s="13"/>
      <c r="X55" s="13"/>
      <c r="Y55" s="83"/>
    </row>
    <row r="56" spans="2:27" ht="16.5" hidden="1" customHeight="1" x14ac:dyDescent="0.2">
      <c r="B56" s="28"/>
      <c r="G56" s="81"/>
      <c r="H56" s="82" t="str">
        <f>IF(【様式第６号】事業報告書兼チェックシート!C254="","","・"&amp;【様式第６号】事業報告書兼チェックシート!C254)</f>
        <v>・鳥取県産材活用協議会が発行する県産材の産地証明書の写し</v>
      </c>
      <c r="I56" s="13"/>
      <c r="J56" s="13"/>
      <c r="K56" s="13"/>
      <c r="L56" s="13"/>
      <c r="M56" s="13"/>
      <c r="N56" s="13"/>
      <c r="O56" s="13"/>
      <c r="P56" s="13"/>
      <c r="Q56" s="13"/>
      <c r="R56" s="13"/>
      <c r="S56" s="13"/>
      <c r="T56" s="13"/>
      <c r="U56" s="13"/>
      <c r="V56" s="13"/>
      <c r="W56" s="13"/>
      <c r="X56" s="13"/>
      <c r="Y56" s="83"/>
    </row>
    <row r="57" spans="2:27" ht="28.5" hidden="1" customHeight="1" x14ac:dyDescent="0.2">
      <c r="B57" s="28"/>
      <c r="G57" s="81"/>
      <c r="H57" s="493" t="str">
        <f>IF(【様式第６号】事業報告書兼チェックシート!C255="","","・"&amp;【様式第６号】事業報告書兼チェックシート!C255)</f>
        <v/>
      </c>
      <c r="I57" s="456"/>
      <c r="J57" s="456"/>
      <c r="K57" s="456"/>
      <c r="L57" s="456"/>
      <c r="M57" s="456"/>
      <c r="N57" s="456"/>
      <c r="O57" s="456"/>
      <c r="P57" s="456"/>
      <c r="Q57" s="456"/>
      <c r="R57" s="456"/>
      <c r="S57" s="456"/>
      <c r="T57" s="456"/>
      <c r="U57" s="456"/>
      <c r="V57" s="456"/>
      <c r="W57" s="456"/>
      <c r="X57" s="456"/>
      <c r="Y57" s="494"/>
    </row>
    <row r="58" spans="2:27" ht="30" hidden="1" customHeight="1" x14ac:dyDescent="0.2">
      <c r="B58" s="28"/>
      <c r="G58" s="81"/>
      <c r="H58" s="493" t="str">
        <f>IF(【様式第６号】事業報告書兼チェックシート!C256="","","・"&amp;【様式第６号】事業報告書兼チェックシート!C256)</f>
        <v/>
      </c>
      <c r="I58" s="456"/>
      <c r="J58" s="456"/>
      <c r="K58" s="456"/>
      <c r="L58" s="456"/>
      <c r="M58" s="456"/>
      <c r="N58" s="456"/>
      <c r="O58" s="456"/>
      <c r="P58" s="456"/>
      <c r="Q58" s="456"/>
      <c r="R58" s="456"/>
      <c r="S58" s="456"/>
      <c r="T58" s="456"/>
      <c r="U58" s="456"/>
      <c r="V58" s="456"/>
      <c r="W58" s="456"/>
      <c r="X58" s="456"/>
      <c r="Y58" s="494"/>
    </row>
    <row r="59" spans="2:27" ht="33" hidden="1" customHeight="1" x14ac:dyDescent="0.2">
      <c r="B59" s="28"/>
      <c r="G59" s="81"/>
      <c r="H59" s="493" t="str">
        <f>IF(【様式第６号】事業報告書兼チェックシート!C257="","","・"&amp;【様式第６号】事業報告書兼チェックシート!C257)</f>
        <v/>
      </c>
      <c r="I59" s="456"/>
      <c r="J59" s="456"/>
      <c r="K59" s="456"/>
      <c r="L59" s="456"/>
      <c r="M59" s="456"/>
      <c r="N59" s="456"/>
      <c r="O59" s="456"/>
      <c r="P59" s="456"/>
      <c r="Q59" s="456"/>
      <c r="R59" s="456"/>
      <c r="S59" s="456"/>
      <c r="T59" s="456"/>
      <c r="U59" s="456"/>
      <c r="V59" s="456"/>
      <c r="W59" s="456"/>
      <c r="X59" s="456"/>
      <c r="Y59" s="494"/>
    </row>
    <row r="60" spans="2:27" ht="16.5" hidden="1" customHeight="1" x14ac:dyDescent="0.2">
      <c r="B60" s="28"/>
      <c r="G60" s="81"/>
      <c r="H60" s="495" t="str">
        <f>IF(【様式第６号】事業報告書兼チェックシート!C258="","","・"&amp;【様式第６号】事業報告書兼チェックシート!C258)</f>
        <v/>
      </c>
      <c r="I60" s="496"/>
      <c r="J60" s="496"/>
      <c r="K60" s="496"/>
      <c r="L60" s="496"/>
      <c r="M60" s="496"/>
      <c r="N60" s="496"/>
      <c r="O60" s="496"/>
      <c r="P60" s="496"/>
      <c r="Q60" s="496"/>
      <c r="R60" s="496"/>
      <c r="S60" s="496"/>
      <c r="T60" s="496"/>
      <c r="U60" s="496"/>
      <c r="V60" s="496"/>
      <c r="W60" s="496"/>
      <c r="X60" s="496"/>
      <c r="Y60" s="497"/>
    </row>
    <row r="61" spans="2:27" ht="56.25" hidden="1" customHeight="1" x14ac:dyDescent="0.2">
      <c r="B61" s="28"/>
      <c r="G61" s="81"/>
      <c r="H61" s="493" t="str">
        <f>IF(【様式第６号】事業報告書兼チェックシート!C259="","","・"&amp;【様式第６号】事業報告書兼チェックシート!C259)</f>
        <v/>
      </c>
      <c r="I61" s="456"/>
      <c r="J61" s="456"/>
      <c r="K61" s="456"/>
      <c r="L61" s="456"/>
      <c r="M61" s="456"/>
      <c r="N61" s="456"/>
      <c r="O61" s="456"/>
      <c r="P61" s="456"/>
      <c r="Q61" s="456"/>
      <c r="R61" s="456"/>
      <c r="S61" s="456"/>
      <c r="T61" s="456"/>
      <c r="U61" s="456"/>
      <c r="V61" s="456"/>
      <c r="W61" s="456"/>
      <c r="X61" s="456"/>
      <c r="Y61" s="494"/>
    </row>
    <row r="62" spans="2:27" ht="30" hidden="1" customHeight="1" x14ac:dyDescent="0.2">
      <c r="B62" s="28"/>
      <c r="G62" s="81"/>
      <c r="H62" s="493" t="str">
        <f>IF(【様式第６号】事業報告書兼チェックシート!C260="","","・"&amp;【様式第６号】事業報告書兼チェックシート!C260)</f>
        <v>・登録住宅を購入した場合は、その購入契約書の写し</v>
      </c>
      <c r="I62" s="456"/>
      <c r="J62" s="456"/>
      <c r="K62" s="456"/>
      <c r="L62" s="456"/>
      <c r="M62" s="456"/>
      <c r="N62" s="456"/>
      <c r="O62" s="456"/>
      <c r="P62" s="456"/>
      <c r="Q62" s="456"/>
      <c r="R62" s="456"/>
      <c r="S62" s="456"/>
      <c r="T62" s="456"/>
      <c r="U62" s="456"/>
      <c r="V62" s="456"/>
      <c r="W62" s="456"/>
      <c r="X62" s="456"/>
      <c r="Y62" s="494"/>
    </row>
    <row r="63" spans="2:27" ht="18.75" hidden="1" customHeight="1" x14ac:dyDescent="0.2">
      <c r="B63" s="28"/>
      <c r="G63" s="81"/>
      <c r="H63" s="495" t="str">
        <f>IF(【様式第６号】事業報告書兼チェックシート!C262="","","・"&amp;【様式第６号】事業報告書兼チェックシート!C262)</f>
        <v/>
      </c>
      <c r="I63" s="496"/>
      <c r="J63" s="496"/>
      <c r="K63" s="496"/>
      <c r="L63" s="496"/>
      <c r="M63" s="496"/>
      <c r="N63" s="496"/>
      <c r="O63" s="496"/>
      <c r="P63" s="496"/>
      <c r="Q63" s="496"/>
      <c r="R63" s="496"/>
      <c r="S63" s="496"/>
      <c r="T63" s="496"/>
      <c r="U63" s="496"/>
      <c r="V63" s="496"/>
      <c r="W63" s="496"/>
      <c r="X63" s="496"/>
      <c r="Y63" s="497"/>
    </row>
    <row r="64" spans="2:27" ht="18.75" hidden="1" customHeight="1" x14ac:dyDescent="0.2">
      <c r="B64" s="28"/>
      <c r="G64" s="81"/>
      <c r="H64" s="495" t="str">
        <f>IF(【様式第６号】事業報告書兼チェックシート!C263="","","・"&amp;【様式第６号】事業報告書兼チェックシート!C263)</f>
        <v/>
      </c>
      <c r="I64" s="496"/>
      <c r="J64" s="496"/>
      <c r="K64" s="496"/>
      <c r="L64" s="496"/>
      <c r="M64" s="496"/>
      <c r="N64" s="496"/>
      <c r="O64" s="496"/>
      <c r="P64" s="496"/>
      <c r="Q64" s="496"/>
      <c r="R64" s="496"/>
      <c r="S64" s="496"/>
      <c r="T64" s="496"/>
      <c r="U64" s="496"/>
      <c r="V64" s="496"/>
      <c r="W64" s="496"/>
      <c r="X64" s="496"/>
      <c r="Y64" s="497"/>
    </row>
    <row r="65" spans="2:25" ht="32.25" hidden="1" customHeight="1" x14ac:dyDescent="0.2">
      <c r="B65" s="28"/>
      <c r="G65" s="81"/>
      <c r="H65" s="493" t="str">
        <f>IF(【様式第６号】事業報告書兼チェックシート!C264="","","・"&amp;【様式第６号】事業報告書兼チェックシート!C264)</f>
        <v/>
      </c>
      <c r="I65" s="456"/>
      <c r="J65" s="456"/>
      <c r="K65" s="456"/>
      <c r="L65" s="456"/>
      <c r="M65" s="456"/>
      <c r="N65" s="456"/>
      <c r="O65" s="456"/>
      <c r="P65" s="456"/>
      <c r="Q65" s="456"/>
      <c r="R65" s="456"/>
      <c r="S65" s="456"/>
      <c r="T65" s="456"/>
      <c r="U65" s="456"/>
      <c r="V65" s="456"/>
      <c r="W65" s="456"/>
      <c r="X65" s="456"/>
      <c r="Y65" s="494"/>
    </row>
    <row r="66" spans="2:25" ht="32.25" hidden="1" customHeight="1" x14ac:dyDescent="0.2">
      <c r="B66" s="28"/>
      <c r="G66" s="81"/>
      <c r="H66" s="493" t="str">
        <f>IF(【様式第６号】事業報告書兼チェックシート!C265="","","・"&amp;【様式第６号】事業報告書兼チェックシート!C265)</f>
        <v/>
      </c>
      <c r="I66" s="456"/>
      <c r="J66" s="456"/>
      <c r="K66" s="456"/>
      <c r="L66" s="456"/>
      <c r="M66" s="456"/>
      <c r="N66" s="456"/>
      <c r="O66" s="456"/>
      <c r="P66" s="456"/>
      <c r="Q66" s="456"/>
      <c r="R66" s="456"/>
      <c r="S66" s="456"/>
      <c r="T66" s="456"/>
      <c r="U66" s="456"/>
      <c r="V66" s="456"/>
      <c r="W66" s="456"/>
      <c r="X66" s="456"/>
      <c r="Y66" s="494"/>
    </row>
    <row r="67" spans="2:25" ht="30.75" hidden="1" customHeight="1" x14ac:dyDescent="0.2">
      <c r="B67" s="28"/>
      <c r="G67" s="81"/>
      <c r="H67" s="493" t="str">
        <f>IF(【様式第６号】事業報告書兼チェックシート!C266="","","・"&amp;【様式第６号】事業報告書兼チェックシート!C266)</f>
        <v/>
      </c>
      <c r="I67" s="456"/>
      <c r="J67" s="456"/>
      <c r="K67" s="456"/>
      <c r="L67" s="456"/>
      <c r="M67" s="456"/>
      <c r="N67" s="456"/>
      <c r="O67" s="456"/>
      <c r="P67" s="456"/>
      <c r="Q67" s="456"/>
      <c r="R67" s="456"/>
      <c r="S67" s="456"/>
      <c r="T67" s="456"/>
      <c r="U67" s="456"/>
      <c r="V67" s="456"/>
      <c r="W67" s="456"/>
      <c r="X67" s="456"/>
      <c r="Y67" s="494"/>
    </row>
    <row r="68" spans="2:25" ht="30.75" hidden="1" customHeight="1" x14ac:dyDescent="0.2">
      <c r="B68" s="28"/>
      <c r="G68" s="81"/>
      <c r="H68" s="493" t="str">
        <f>IF(【様式第６号】事業報告書兼チェックシート!C267="","","・"&amp;【様式第６号】事業報告書兼チェックシート!C267)</f>
        <v/>
      </c>
      <c r="I68" s="456"/>
      <c r="J68" s="456"/>
      <c r="K68" s="456"/>
      <c r="L68" s="456"/>
      <c r="M68" s="456"/>
      <c r="N68" s="456"/>
      <c r="O68" s="456"/>
      <c r="P68" s="456"/>
      <c r="Q68" s="456"/>
      <c r="R68" s="456"/>
      <c r="S68" s="456"/>
      <c r="T68" s="456"/>
      <c r="U68" s="456"/>
      <c r="V68" s="456"/>
      <c r="W68" s="456"/>
      <c r="X68" s="456"/>
      <c r="Y68" s="494"/>
    </row>
    <row r="69" spans="2:25" ht="30.75" hidden="1" customHeight="1" x14ac:dyDescent="0.2">
      <c r="B69" s="28"/>
      <c r="G69" s="81"/>
      <c r="H69" s="493" t="str">
        <f>IF(【様式第６号】事業報告書兼チェックシート!C268="","","・"&amp;【様式第６号】事業報告書兼チェックシート!C268)</f>
        <v/>
      </c>
      <c r="I69" s="456"/>
      <c r="J69" s="456"/>
      <c r="K69" s="456"/>
      <c r="L69" s="456"/>
      <c r="M69" s="456"/>
      <c r="N69" s="456"/>
      <c r="O69" s="456"/>
      <c r="P69" s="456"/>
      <c r="Q69" s="456"/>
      <c r="R69" s="456"/>
      <c r="S69" s="456"/>
      <c r="T69" s="456"/>
      <c r="U69" s="456"/>
      <c r="V69" s="456"/>
      <c r="W69" s="456"/>
      <c r="X69" s="456"/>
      <c r="Y69" s="494"/>
    </row>
    <row r="70" spans="2:25" ht="30.75" hidden="1" customHeight="1" x14ac:dyDescent="0.2">
      <c r="B70" s="28"/>
      <c r="G70" s="81"/>
      <c r="H70" s="493" t="str">
        <f>IF(【様式第６号】事業報告書兼チェックシート!C269="","","・"&amp;【様式第６号】事業報告書兼チェックシート!C269)</f>
        <v/>
      </c>
      <c r="I70" s="456"/>
      <c r="J70" s="456"/>
      <c r="K70" s="456"/>
      <c r="L70" s="456"/>
      <c r="M70" s="456"/>
      <c r="N70" s="456"/>
      <c r="O70" s="456"/>
      <c r="P70" s="456"/>
      <c r="Q70" s="456"/>
      <c r="R70" s="456"/>
      <c r="S70" s="456"/>
      <c r="T70" s="456"/>
      <c r="U70" s="456"/>
      <c r="V70" s="456"/>
      <c r="W70" s="456"/>
      <c r="X70" s="456"/>
      <c r="Y70" s="494"/>
    </row>
    <row r="71" spans="2:25" ht="30.75" hidden="1" customHeight="1" x14ac:dyDescent="0.2">
      <c r="B71" s="28"/>
      <c r="G71" s="81"/>
      <c r="H71" s="493" t="str">
        <f>IF(【様式第６号】事業報告書兼チェックシート!C270="","","・"&amp;【様式第６号】事業報告書兼チェックシート!C270)</f>
        <v/>
      </c>
      <c r="I71" s="456"/>
      <c r="J71" s="456"/>
      <c r="K71" s="456"/>
      <c r="L71" s="456"/>
      <c r="M71" s="456"/>
      <c r="N71" s="456"/>
      <c r="O71" s="456"/>
      <c r="P71" s="456"/>
      <c r="Q71" s="456"/>
      <c r="R71" s="456"/>
      <c r="S71" s="456"/>
      <c r="T71" s="456"/>
      <c r="U71" s="456"/>
      <c r="V71" s="456"/>
      <c r="W71" s="456"/>
      <c r="X71" s="456"/>
      <c r="Y71" s="494"/>
    </row>
    <row r="72" spans="2:25" ht="44.25" hidden="1" customHeight="1" x14ac:dyDescent="0.2">
      <c r="B72" s="28"/>
      <c r="G72" s="81"/>
      <c r="H72" s="493" t="str">
        <f>IF(【様式第６号】事業報告書兼チェックシート!C271="","","・"&amp;【様式第６号】事業報告書兼チェックシート!C271)</f>
        <v/>
      </c>
      <c r="I72" s="456"/>
      <c r="J72" s="456"/>
      <c r="K72" s="456"/>
      <c r="L72" s="456"/>
      <c r="M72" s="456"/>
      <c r="N72" s="456"/>
      <c r="O72" s="456"/>
      <c r="P72" s="456"/>
      <c r="Q72" s="456"/>
      <c r="R72" s="456"/>
      <c r="S72" s="456"/>
      <c r="T72" s="456"/>
      <c r="U72" s="456"/>
      <c r="V72" s="456"/>
      <c r="W72" s="456"/>
      <c r="X72" s="456"/>
      <c r="Y72" s="494"/>
    </row>
    <row r="73" spans="2:25" ht="30.75" hidden="1" customHeight="1" x14ac:dyDescent="0.2">
      <c r="B73" s="28"/>
      <c r="G73" s="81"/>
      <c r="H73" s="493" t="str">
        <f>IF(【様式第６号】事業報告書兼チェックシート!C272="","","・"&amp;【様式第６号】事業報告書兼チェックシート!C272)</f>
        <v/>
      </c>
      <c r="I73" s="456"/>
      <c r="J73" s="456"/>
      <c r="K73" s="456"/>
      <c r="L73" s="456"/>
      <c r="M73" s="456"/>
      <c r="N73" s="456"/>
      <c r="O73" s="456"/>
      <c r="P73" s="456"/>
      <c r="Q73" s="456"/>
      <c r="R73" s="456"/>
      <c r="S73" s="456"/>
      <c r="T73" s="456"/>
      <c r="U73" s="456"/>
      <c r="V73" s="456"/>
      <c r="W73" s="456"/>
      <c r="X73" s="456"/>
      <c r="Y73" s="494"/>
    </row>
    <row r="74" spans="2:25" ht="43.5" hidden="1" customHeight="1" x14ac:dyDescent="0.2">
      <c r="B74" s="28"/>
      <c r="G74" s="81"/>
      <c r="H74" s="493" t="str">
        <f>IF(【様式第６号】事業報告書兼チェックシート!C273="","","・"&amp;【様式第６号】事業報告書兼チェックシート!C273)</f>
        <v/>
      </c>
      <c r="I74" s="456"/>
      <c r="J74" s="456"/>
      <c r="K74" s="456"/>
      <c r="L74" s="456"/>
      <c r="M74" s="456"/>
      <c r="N74" s="456"/>
      <c r="O74" s="456"/>
      <c r="P74" s="456"/>
      <c r="Q74" s="456"/>
      <c r="R74" s="456"/>
      <c r="S74" s="456"/>
      <c r="T74" s="456"/>
      <c r="U74" s="456"/>
      <c r="V74" s="456"/>
      <c r="W74" s="456"/>
      <c r="X74" s="456"/>
      <c r="Y74" s="494"/>
    </row>
    <row r="75" spans="2:25" ht="19.5" hidden="1" customHeight="1" x14ac:dyDescent="0.2">
      <c r="B75" s="28"/>
      <c r="G75" s="81"/>
      <c r="H75" s="493" t="e">
        <f>IF(【様式第６号】事業報告書兼チェックシート!#REF!="","","・"&amp;【様式第６号】事業報告書兼チェックシート!#REF!)</f>
        <v>#REF!</v>
      </c>
      <c r="I75" s="456"/>
      <c r="J75" s="456"/>
      <c r="K75" s="456"/>
      <c r="L75" s="456"/>
      <c r="M75" s="456"/>
      <c r="N75" s="456"/>
      <c r="O75" s="456"/>
      <c r="P75" s="456"/>
      <c r="Q75" s="456"/>
      <c r="R75" s="456"/>
      <c r="S75" s="456"/>
      <c r="T75" s="456"/>
      <c r="U75" s="456"/>
      <c r="V75" s="456"/>
      <c r="W75" s="456"/>
      <c r="X75" s="456"/>
      <c r="Y75" s="494"/>
    </row>
    <row r="76" spans="2:25" ht="19.5" hidden="1" customHeight="1" x14ac:dyDescent="0.2">
      <c r="B76" s="8"/>
      <c r="C76" s="17"/>
      <c r="D76" s="17"/>
      <c r="E76" s="17"/>
      <c r="F76" s="17"/>
      <c r="G76" s="9"/>
      <c r="H76" s="515" t="str">
        <f>IF(【様式第６号】事業報告書兼チェックシート!C274="","","・"&amp;【様式第６号】事業報告書兼チェックシート!C274)</f>
        <v/>
      </c>
      <c r="I76" s="516"/>
      <c r="J76" s="516"/>
      <c r="K76" s="516"/>
      <c r="L76" s="516"/>
      <c r="M76" s="516"/>
      <c r="N76" s="516"/>
      <c r="O76" s="516"/>
      <c r="P76" s="516"/>
      <c r="Q76" s="516"/>
      <c r="R76" s="516"/>
      <c r="S76" s="516"/>
      <c r="T76" s="516"/>
      <c r="U76" s="516"/>
      <c r="V76" s="516"/>
      <c r="W76" s="516"/>
      <c r="X76" s="516"/>
      <c r="Y76" s="517"/>
    </row>
    <row r="77" spans="2:25" ht="19.5" customHeight="1" x14ac:dyDescent="0.2">
      <c r="B77" s="498" t="s">
        <v>458</v>
      </c>
      <c r="C77" s="499"/>
      <c r="D77" s="499"/>
      <c r="E77" s="499"/>
      <c r="F77" s="499"/>
      <c r="G77" s="500"/>
      <c r="H77" s="294" t="s">
        <v>463</v>
      </c>
      <c r="I77" s="102"/>
      <c r="J77" s="102"/>
      <c r="K77" s="102"/>
      <c r="L77" s="102"/>
      <c r="M77" s="102"/>
      <c r="N77" s="102"/>
      <c r="O77" s="102"/>
      <c r="P77" s="102"/>
      <c r="Q77" s="102"/>
      <c r="R77" s="102"/>
      <c r="S77" s="102"/>
      <c r="T77" s="102"/>
      <c r="U77" s="102"/>
      <c r="V77" s="102"/>
      <c r="W77" s="102"/>
      <c r="X77" s="102"/>
      <c r="Y77" s="103"/>
    </row>
    <row r="78" spans="2:25" ht="19.5" customHeight="1" x14ac:dyDescent="0.2">
      <c r="B78" s="501"/>
      <c r="C78" s="502"/>
      <c r="D78" s="502"/>
      <c r="E78" s="502"/>
      <c r="F78" s="502"/>
      <c r="G78" s="503"/>
      <c r="H78" s="82" t="s">
        <v>464</v>
      </c>
      <c r="I78" s="102"/>
      <c r="J78" s="102"/>
      <c r="K78" s="102"/>
      <c r="L78" s="102"/>
      <c r="M78" s="102"/>
      <c r="N78" s="102"/>
      <c r="O78" s="102"/>
      <c r="P78" s="102"/>
      <c r="Q78" s="102"/>
      <c r="R78" s="102"/>
      <c r="S78" s="102"/>
      <c r="T78" s="102"/>
      <c r="U78" s="102"/>
      <c r="V78" s="102"/>
      <c r="W78" s="102"/>
      <c r="X78" s="102"/>
      <c r="Y78" s="103"/>
    </row>
    <row r="79" spans="2:25" ht="16.5" customHeight="1" x14ac:dyDescent="0.2">
      <c r="B79" s="28"/>
      <c r="G79" s="81"/>
      <c r="H79" s="82" t="str">
        <f>IF(【様式第６号】事業報告書兼チェックシート!T239=0,IF(【様式第６号】事業報告書兼チェックシート!C251="","","・"&amp;【様式第６号】事業報告書兼チェックシート!C251),"")</f>
        <v/>
      </c>
      <c r="I79" s="13"/>
      <c r="J79" s="13"/>
      <c r="K79" s="13"/>
      <c r="L79" s="13"/>
      <c r="M79" s="13"/>
      <c r="N79" s="13"/>
      <c r="O79" s="13"/>
      <c r="P79" s="13"/>
      <c r="Q79" s="13"/>
      <c r="R79" s="13"/>
      <c r="S79" s="13"/>
      <c r="T79" s="13"/>
      <c r="U79" s="13"/>
      <c r="V79" s="13"/>
      <c r="W79" s="13"/>
      <c r="X79" s="13"/>
      <c r="Y79" s="83"/>
    </row>
    <row r="80" spans="2:25" ht="16.5" customHeight="1" x14ac:dyDescent="0.2">
      <c r="B80" s="28"/>
      <c r="G80" s="81"/>
      <c r="H80" s="82" t="str">
        <f>IF(【様式第６号】事業報告書兼チェックシート!T239=0,IF(【様式第６号】事業報告書兼チェックシート!C252="","","・"&amp;【様式第６号】事業報告書兼チェックシート!C252),"")</f>
        <v/>
      </c>
      <c r="I80" s="13"/>
      <c r="J80" s="13"/>
      <c r="K80" s="13"/>
      <c r="L80" s="13"/>
      <c r="M80" s="13"/>
      <c r="N80" s="13"/>
      <c r="O80" s="13"/>
      <c r="P80" s="13"/>
      <c r="Q80" s="13"/>
      <c r="R80" s="13"/>
      <c r="S80" s="13"/>
      <c r="T80" s="13"/>
      <c r="U80" s="13"/>
      <c r="V80" s="13"/>
      <c r="W80" s="13"/>
      <c r="X80" s="13"/>
      <c r="Y80" s="83"/>
    </row>
    <row r="81" spans="2:25" ht="16.5" customHeight="1" x14ac:dyDescent="0.2">
      <c r="B81" s="28"/>
      <c r="G81" s="81"/>
      <c r="H81" s="82" t="str">
        <f>IF(【様式第６号】事業報告書兼チェックシート!T239=0,IF(【様式第６号】事業報告書兼チェックシート!C253="","","・"&amp;【様式第６号】事業報告書兼チェックシート!C253),"")</f>
        <v>・完成写真及び口座振替依頼書</v>
      </c>
      <c r="I81" s="13"/>
      <c r="J81" s="13"/>
      <c r="K81" s="13"/>
      <c r="L81" s="13"/>
      <c r="M81" s="13"/>
      <c r="N81" s="13"/>
      <c r="O81" s="13"/>
      <c r="P81" s="13"/>
      <c r="Q81" s="13"/>
      <c r="R81" s="13"/>
      <c r="S81" s="13"/>
      <c r="T81" s="13"/>
      <c r="U81" s="13"/>
      <c r="V81" s="13"/>
      <c r="W81" s="13"/>
      <c r="X81" s="13"/>
      <c r="Y81" s="83"/>
    </row>
    <row r="82" spans="2:25" ht="16.5" customHeight="1" x14ac:dyDescent="0.2">
      <c r="B82" s="28"/>
      <c r="G82" s="81"/>
      <c r="H82" s="82" t="str">
        <f>IF(【様式第６号】事業報告書兼チェックシート!T239=0,IF(【様式第６号】事業報告書兼チェックシート!C254="","","・"&amp;【様式第６号】事業報告書兼チェックシート!C254),"")</f>
        <v>・鳥取県産材活用協議会が発行する県産材の産地証明書の写し</v>
      </c>
      <c r="I82" s="13"/>
      <c r="J82" s="13"/>
      <c r="K82" s="13"/>
      <c r="L82" s="13"/>
      <c r="M82" s="13"/>
      <c r="N82" s="13"/>
      <c r="O82" s="13"/>
      <c r="P82" s="13"/>
      <c r="Q82" s="13"/>
      <c r="R82" s="13"/>
      <c r="S82" s="13"/>
      <c r="T82" s="13"/>
      <c r="U82" s="13"/>
      <c r="V82" s="13"/>
      <c r="W82" s="13"/>
      <c r="X82" s="13"/>
      <c r="Y82" s="83"/>
    </row>
    <row r="83" spans="2:25" ht="19.5" customHeight="1" x14ac:dyDescent="0.2">
      <c r="B83" s="501"/>
      <c r="C83" s="502"/>
      <c r="D83" s="502"/>
      <c r="E83" s="502"/>
      <c r="F83" s="502"/>
      <c r="G83" s="503"/>
      <c r="H83" s="493" t="str">
        <f>IF(【様式第６号】事業報告書兼チェックシート!C275="","","・"&amp;【様式第６号】事業報告書兼チェックシート!C275)</f>
        <v/>
      </c>
      <c r="I83" s="456"/>
      <c r="J83" s="456"/>
      <c r="K83" s="456"/>
      <c r="L83" s="456"/>
      <c r="M83" s="456"/>
      <c r="N83" s="456"/>
      <c r="O83" s="456"/>
      <c r="P83" s="456"/>
      <c r="Q83" s="456"/>
      <c r="R83" s="456"/>
      <c r="S83" s="456"/>
      <c r="T83" s="456"/>
      <c r="U83" s="456"/>
      <c r="V83" s="456"/>
      <c r="W83" s="456"/>
      <c r="X83" s="456"/>
      <c r="Y83" s="494"/>
    </row>
    <row r="84" spans="2:25" ht="19.5" customHeight="1" x14ac:dyDescent="0.2">
      <c r="B84" s="501"/>
      <c r="C84" s="502"/>
      <c r="D84" s="502"/>
      <c r="E84" s="502"/>
      <c r="F84" s="502"/>
      <c r="G84" s="503"/>
      <c r="H84" s="493" t="str">
        <f>IF(【様式第６号】事業報告書兼チェックシート!C276="","","・"&amp;【様式第６号】事業報告書兼チェックシート!C276)</f>
        <v/>
      </c>
      <c r="I84" s="456"/>
      <c r="J84" s="456"/>
      <c r="K84" s="456"/>
      <c r="L84" s="456"/>
      <c r="M84" s="456"/>
      <c r="N84" s="456"/>
      <c r="O84" s="456"/>
      <c r="P84" s="456"/>
      <c r="Q84" s="456"/>
      <c r="R84" s="456"/>
      <c r="S84" s="456"/>
      <c r="T84" s="456"/>
      <c r="U84" s="456"/>
      <c r="V84" s="456"/>
      <c r="W84" s="456"/>
      <c r="X84" s="456"/>
      <c r="Y84" s="494"/>
    </row>
    <row r="85" spans="2:25" ht="19.5" customHeight="1" x14ac:dyDescent="0.2">
      <c r="B85" s="28"/>
      <c r="G85" s="81"/>
      <c r="H85" s="493" t="str">
        <f>IF(【様式第６号】事業報告書兼チェックシート!C277="","","・"&amp;【様式第６号】事業報告書兼チェックシート!C277)</f>
        <v/>
      </c>
      <c r="I85" s="456"/>
      <c r="J85" s="456"/>
      <c r="K85" s="456"/>
      <c r="L85" s="456"/>
      <c r="M85" s="456"/>
      <c r="N85" s="456"/>
      <c r="O85" s="456"/>
      <c r="P85" s="456"/>
      <c r="Q85" s="456"/>
      <c r="R85" s="456"/>
      <c r="S85" s="456"/>
      <c r="T85" s="456"/>
      <c r="U85" s="456"/>
      <c r="V85" s="456"/>
      <c r="W85" s="456"/>
      <c r="X85" s="456"/>
      <c r="Y85" s="494"/>
    </row>
    <row r="86" spans="2:25" ht="19.5" customHeight="1" x14ac:dyDescent="0.2">
      <c r="B86" s="28"/>
      <c r="G86" s="81"/>
      <c r="H86" s="300" t="str">
        <f>IF(【様式第６号】事業報告書兼チェックシート!C260="","","・"&amp;【様式第６号】事業報告書兼チェックシート!C260)</f>
        <v>・登録住宅を購入した場合は、その購入契約書の写し</v>
      </c>
      <c r="I86" s="301"/>
      <c r="J86" s="301"/>
      <c r="K86" s="301"/>
      <c r="L86" s="301"/>
      <c r="M86" s="301"/>
      <c r="N86" s="301"/>
      <c r="O86" s="301"/>
      <c r="P86" s="301"/>
      <c r="Q86" s="301"/>
      <c r="R86" s="301"/>
      <c r="S86" s="301"/>
      <c r="T86" s="301"/>
      <c r="U86" s="301"/>
      <c r="V86" s="301"/>
      <c r="W86" s="301"/>
      <c r="X86" s="301"/>
      <c r="Y86" s="302"/>
    </row>
    <row r="87" spans="2:25" ht="18" customHeight="1" x14ac:dyDescent="0.2">
      <c r="B87" s="8"/>
      <c r="C87" s="17"/>
      <c r="D87" s="17"/>
      <c r="E87" s="17"/>
      <c r="F87" s="17"/>
      <c r="G87" s="9"/>
      <c r="H87" s="84" t="str">
        <f>IF(【様式第６号】事業報告書兼チェックシート!C261="","","・"&amp;【様式第６号】事業報告書兼チェックシート!C261)</f>
        <v/>
      </c>
      <c r="I87" s="85"/>
      <c r="J87" s="17"/>
      <c r="K87" s="17"/>
      <c r="L87" s="17"/>
      <c r="M87" s="17"/>
      <c r="N87" s="17"/>
      <c r="O87" s="17"/>
      <c r="P87" s="17"/>
      <c r="Q87" s="17"/>
      <c r="R87" s="17"/>
      <c r="S87" s="17"/>
      <c r="T87" s="17"/>
      <c r="U87" s="17"/>
      <c r="V87" s="17"/>
      <c r="W87" s="17"/>
      <c r="X87" s="17"/>
      <c r="Y87" s="9"/>
    </row>
    <row r="96" spans="2:25" ht="18" hidden="1" customHeight="1" x14ac:dyDescent="0.2"/>
    <row r="97" spans="1:35" ht="18" hidden="1" customHeight="1" x14ac:dyDescent="0.2"/>
    <row r="98" spans="1:35" s="13" customFormat="1" ht="18" hidden="1" customHeight="1" x14ac:dyDescent="0.15">
      <c r="A98" s="86" t="s">
        <v>223</v>
      </c>
      <c r="B98" s="87"/>
      <c r="C98" s="87"/>
      <c r="D98" s="87"/>
      <c r="E98" s="87"/>
      <c r="F98" s="87"/>
      <c r="G98" s="87"/>
      <c r="H98" s="87"/>
      <c r="I98" s="87"/>
      <c r="J98" s="87"/>
      <c r="K98" s="87"/>
      <c r="L98" s="87"/>
      <c r="M98" s="87"/>
      <c r="N98" s="87"/>
      <c r="O98" s="87"/>
      <c r="P98" s="87"/>
      <c r="Q98" s="88"/>
      <c r="R98" s="87"/>
      <c r="S98" s="87"/>
      <c r="T98" s="87"/>
      <c r="U98" s="87"/>
      <c r="V98" s="87"/>
      <c r="W98" s="87"/>
      <c r="X98" s="87"/>
      <c r="Y98" s="87"/>
      <c r="Z98" s="87"/>
      <c r="AA98" s="23"/>
    </row>
    <row r="99" spans="1:35" s="13" customFormat="1" ht="18" hidden="1" customHeight="1" x14ac:dyDescent="0.15">
      <c r="A99" s="86"/>
      <c r="B99" s="13" t="s">
        <v>11</v>
      </c>
      <c r="AA99" s="23"/>
    </row>
    <row r="100" spans="1:35" s="13" customFormat="1" ht="18" hidden="1" customHeight="1" x14ac:dyDescent="0.2">
      <c r="B100" s="504" t="s">
        <v>224</v>
      </c>
      <c r="C100" s="505"/>
      <c r="D100" s="505"/>
      <c r="E100" s="505"/>
      <c r="F100" s="505"/>
      <c r="G100" s="505"/>
      <c r="H100" s="506"/>
      <c r="I100" s="89" t="s">
        <v>225</v>
      </c>
      <c r="J100" s="405"/>
      <c r="K100" s="405"/>
      <c r="L100" s="405"/>
      <c r="M100" s="510"/>
      <c r="N100" s="510"/>
      <c r="O100" s="510"/>
      <c r="P100" s="510"/>
      <c r="Q100" s="510"/>
      <c r="R100" s="510"/>
      <c r="S100" s="510"/>
      <c r="T100" s="510"/>
      <c r="U100" s="510"/>
      <c r="V100" s="510"/>
      <c r="W100" s="510"/>
      <c r="X100" s="510"/>
      <c r="Y100" s="511"/>
      <c r="AA100" s="22"/>
    </row>
    <row r="101" spans="1:35" s="13" customFormat="1" ht="18" hidden="1" customHeight="1" x14ac:dyDescent="0.2">
      <c r="B101" s="507"/>
      <c r="C101" s="508"/>
      <c r="D101" s="508"/>
      <c r="E101" s="508"/>
      <c r="F101" s="508"/>
      <c r="G101" s="508"/>
      <c r="H101" s="509"/>
      <c r="I101" s="512"/>
      <c r="J101" s="513"/>
      <c r="K101" s="513"/>
      <c r="L101" s="513"/>
      <c r="M101" s="513"/>
      <c r="N101" s="513"/>
      <c r="O101" s="513"/>
      <c r="P101" s="513"/>
      <c r="Q101" s="513"/>
      <c r="R101" s="513"/>
      <c r="S101" s="513"/>
      <c r="T101" s="513"/>
      <c r="U101" s="513"/>
      <c r="V101" s="513"/>
      <c r="W101" s="513"/>
      <c r="X101" s="513"/>
      <c r="Y101" s="514"/>
      <c r="AA101" s="23"/>
      <c r="AB101" s="23"/>
      <c r="AC101" s="23"/>
      <c r="AD101" s="23"/>
      <c r="AE101" s="23"/>
      <c r="AF101" s="23"/>
      <c r="AG101" s="23"/>
      <c r="AH101" s="23"/>
      <c r="AI101" s="23"/>
    </row>
    <row r="102" spans="1:35" s="13" customFormat="1" ht="24" hidden="1" customHeight="1" x14ac:dyDescent="0.2">
      <c r="B102" s="518" t="s">
        <v>226</v>
      </c>
      <c r="C102" s="519"/>
      <c r="D102" s="519"/>
      <c r="E102" s="519"/>
      <c r="F102" s="519"/>
      <c r="G102" s="519"/>
      <c r="H102" s="520"/>
      <c r="I102" s="531"/>
      <c r="J102" s="532"/>
      <c r="K102" s="532"/>
      <c r="L102" s="532"/>
      <c r="M102" s="532"/>
      <c r="N102" s="532"/>
      <c r="O102" s="532"/>
      <c r="P102" s="532"/>
      <c r="Q102" s="532"/>
      <c r="R102" s="532"/>
      <c r="S102" s="532"/>
      <c r="T102" s="532"/>
      <c r="U102" s="532"/>
      <c r="V102" s="532"/>
      <c r="W102" s="532"/>
      <c r="X102" s="532"/>
      <c r="Y102" s="533"/>
      <c r="AA102" s="23"/>
      <c r="AB102" s="23"/>
      <c r="AC102" s="23"/>
      <c r="AD102" s="23"/>
      <c r="AE102" s="23"/>
      <c r="AF102" s="23"/>
      <c r="AG102" s="23"/>
      <c r="AH102" s="23"/>
      <c r="AI102" s="23"/>
    </row>
    <row r="103" spans="1:35" s="13" customFormat="1" ht="18" hidden="1" customHeight="1" x14ac:dyDescent="0.2">
      <c r="B103" s="518" t="s">
        <v>18</v>
      </c>
      <c r="C103" s="519"/>
      <c r="D103" s="519"/>
      <c r="E103" s="519"/>
      <c r="F103" s="519"/>
      <c r="G103" s="519"/>
      <c r="H103" s="520"/>
      <c r="I103" s="521"/>
      <c r="J103" s="522"/>
      <c r="K103" s="522"/>
      <c r="L103" s="522"/>
      <c r="M103" s="523"/>
      <c r="N103" s="524" t="s">
        <v>9</v>
      </c>
      <c r="O103" s="525"/>
      <c r="P103" s="526"/>
      <c r="Q103" s="527" t="s">
        <v>227</v>
      </c>
      <c r="R103" s="527"/>
      <c r="S103" s="527"/>
      <c r="T103" s="527"/>
      <c r="U103" s="527"/>
      <c r="V103" s="527"/>
      <c r="W103" s="527"/>
      <c r="X103" s="527"/>
      <c r="Y103" s="528"/>
      <c r="AA103" s="23"/>
      <c r="AB103" s="23"/>
      <c r="AC103" s="23"/>
      <c r="AD103" s="23"/>
      <c r="AE103" s="23"/>
      <c r="AF103" s="23"/>
      <c r="AG103" s="23"/>
      <c r="AH103" s="90"/>
      <c r="AI103" s="23"/>
    </row>
    <row r="104" spans="1:35" s="13" customFormat="1" ht="18" hidden="1" customHeight="1" x14ac:dyDescent="0.2">
      <c r="AA104" s="23"/>
      <c r="AB104" s="23"/>
      <c r="AC104" s="23"/>
      <c r="AD104" s="23"/>
      <c r="AE104" s="23"/>
      <c r="AF104" s="23"/>
      <c r="AG104" s="23"/>
      <c r="AH104" s="23"/>
      <c r="AI104" s="23"/>
    </row>
    <row r="105" spans="1:35" ht="18" hidden="1" customHeight="1" x14ac:dyDescent="0.2"/>
  </sheetData>
  <sheetProtection algorithmName="SHA-512" hashValue="GmsykNPYGNH58t0kCcMfExCm6ZW8WB4SzRxF2YKIEXcX2KLbBq6Dc+UWMbjks4VwvxjUnuXRyHzLQRpIzLvenA==" saltValue="avWpnK6DOsNQej1th0OcBQ==" spinCount="100000" sheet="1" selectLockedCells="1"/>
  <mergeCells count="61">
    <mergeCell ref="O11:X11"/>
    <mergeCell ref="Q2:R2"/>
    <mergeCell ref="T2:U2"/>
    <mergeCell ref="W2:X2"/>
    <mergeCell ref="P9:X9"/>
    <mergeCell ref="O10:X10"/>
    <mergeCell ref="B21:G21"/>
    <mergeCell ref="H21:Y21"/>
    <mergeCell ref="O12:X12"/>
    <mergeCell ref="A15:Z15"/>
    <mergeCell ref="AC16:AG16"/>
    <mergeCell ref="A17:Z17"/>
    <mergeCell ref="A19:Z19"/>
    <mergeCell ref="AA19:AZ19"/>
    <mergeCell ref="B25:G25"/>
    <mergeCell ref="H25:O25"/>
    <mergeCell ref="Q25:X25"/>
    <mergeCell ref="B22:G23"/>
    <mergeCell ref="H22:P22"/>
    <mergeCell ref="Q22:Y22"/>
    <mergeCell ref="H23:O23"/>
    <mergeCell ref="Q23:X23"/>
    <mergeCell ref="B24:G24"/>
    <mergeCell ref="H24:O24"/>
    <mergeCell ref="Q24:X24"/>
    <mergeCell ref="B51:G52"/>
    <mergeCell ref="H57:Y57"/>
    <mergeCell ref="H58:Y58"/>
    <mergeCell ref="H59:Y59"/>
    <mergeCell ref="H60:Y60"/>
    <mergeCell ref="H72:Y72"/>
    <mergeCell ref="H61:Y61"/>
    <mergeCell ref="H62:Y62"/>
    <mergeCell ref="H63:Y63"/>
    <mergeCell ref="H64:Y64"/>
    <mergeCell ref="H65:Y65"/>
    <mergeCell ref="H66:Y66"/>
    <mergeCell ref="H67:Y67"/>
    <mergeCell ref="H68:Y68"/>
    <mergeCell ref="H69:Y69"/>
    <mergeCell ref="H70:Y70"/>
    <mergeCell ref="H71:Y71"/>
    <mergeCell ref="H73:Y73"/>
    <mergeCell ref="H74:Y74"/>
    <mergeCell ref="H75:Y75"/>
    <mergeCell ref="H76:Y76"/>
    <mergeCell ref="B83:G84"/>
    <mergeCell ref="H83:Y83"/>
    <mergeCell ref="H84:Y84"/>
    <mergeCell ref="B103:H103"/>
    <mergeCell ref="I103:M103"/>
    <mergeCell ref="N103:P103"/>
    <mergeCell ref="Q103:Y103"/>
    <mergeCell ref="B77:G78"/>
    <mergeCell ref="H85:Y85"/>
    <mergeCell ref="B100:H101"/>
    <mergeCell ref="J100:L100"/>
    <mergeCell ref="M100:Y100"/>
    <mergeCell ref="I101:Y101"/>
    <mergeCell ref="B102:H102"/>
    <mergeCell ref="I102:Y102"/>
  </mergeCells>
  <phoneticPr fontId="1"/>
  <conditionalFormatting sqref="A2:O2 S2 V2 Y2:Z2">
    <cfRule type="cellIs" dxfId="5" priority="7" operator="equal">
      <formula>"令和　年　月　日"</formula>
    </cfRule>
  </conditionalFormatting>
  <conditionalFormatting sqref="A17:Z17">
    <cfRule type="cellIs" dxfId="4" priority="1" operator="equal">
      <formula>$BK$3</formula>
    </cfRule>
    <cfRule type="cellIs" dxfId="3" priority="2" operator="equal">
      <formula>$BK$2</formula>
    </cfRule>
  </conditionalFormatting>
  <dataValidations count="1">
    <dataValidation type="list" allowBlank="1" showInputMessage="1" showErrorMessage="1" sqref="AC16:AG16" xr:uid="{00000000-0002-0000-0400-000000000000}">
      <formula1>"はい,いいえ"</formula1>
    </dataValidation>
  </dataValidations>
  <pageMargins left="0.78740157480314965" right="0.78740157480314965" top="0.59055118110236227" bottom="0.39370078740157483" header="0.31496062992125984" footer="0.31496062992125984"/>
  <pageSetup paperSize="9" orientation="portrait"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GP27"/>
  <sheetViews>
    <sheetView zoomScale="70" zoomScaleNormal="70" workbookViewId="0">
      <selection activeCell="FX5" sqref="FX5"/>
    </sheetView>
  </sheetViews>
  <sheetFormatPr defaultColWidth="9" defaultRowHeight="13.2" outlineLevelRow="1" outlineLevelCol="1" x14ac:dyDescent="0.2"/>
  <cols>
    <col min="1" max="1" width="9" style="114"/>
    <col min="2" max="2" width="6.6640625" style="112" hidden="1" customWidth="1"/>
    <col min="3" max="3" width="6.6640625" hidden="1" customWidth="1"/>
    <col min="4" max="5" width="7.6640625" style="113" hidden="1" customWidth="1"/>
    <col min="6" max="6" width="9.6640625" style="114" hidden="1" customWidth="1"/>
    <col min="7" max="7" width="8.88671875" style="114" hidden="1" customWidth="1"/>
    <col min="8" max="8" width="11.6640625" style="115" hidden="1" customWidth="1"/>
    <col min="9" max="9" width="26.44140625" style="114" hidden="1" customWidth="1"/>
    <col min="10" max="10" width="10.6640625" style="113" hidden="1" customWidth="1"/>
    <col min="11" max="11" width="50" style="114" hidden="1" customWidth="1"/>
    <col min="12" max="12" width="16.6640625" style="113" hidden="1" customWidth="1"/>
    <col min="13" max="13" width="10.6640625" style="113" hidden="1" customWidth="1"/>
    <col min="14" max="14" width="57" style="114" hidden="1" customWidth="1"/>
    <col min="15" max="31" width="6.6640625" style="117" hidden="1" customWidth="1"/>
    <col min="32" max="33" width="6.6640625" style="117" hidden="1" customWidth="1" outlineLevel="1"/>
    <col min="34" max="35" width="6.6640625" style="117" hidden="1" customWidth="1"/>
    <col min="36" max="37" width="6.6640625" style="117" hidden="1" customWidth="1" outlineLevel="1"/>
    <col min="38" max="51" width="6.6640625" style="117" hidden="1" customWidth="1"/>
    <col min="52" max="52" width="9" style="117" hidden="1" customWidth="1"/>
    <col min="53" max="56" width="6.6640625" style="117" hidden="1" customWidth="1"/>
    <col min="57" max="58" width="6.6640625" style="117" hidden="1" customWidth="1" outlineLevel="1"/>
    <col min="59" max="60" width="6.6640625" style="117" hidden="1" customWidth="1"/>
    <col min="61" max="63" width="6.6640625" style="117" hidden="1" customWidth="1" outlineLevel="1"/>
    <col min="64" max="65" width="6.6640625" style="117" hidden="1" customWidth="1"/>
    <col min="66" max="68" width="6.6640625" style="117" hidden="1" customWidth="1" outlineLevel="1"/>
    <col min="69" max="71" width="6.6640625" style="117" hidden="1" customWidth="1"/>
    <col min="72" max="72" width="10.6640625" style="115" hidden="1" customWidth="1"/>
    <col min="73" max="73" width="3.33203125" style="115" hidden="1" customWidth="1"/>
    <col min="74" max="74" width="4.33203125" style="115" hidden="1" customWidth="1"/>
    <col min="75" max="75" width="3.33203125" style="115" hidden="1" customWidth="1"/>
    <col min="76" max="76" width="4.88671875" style="115" hidden="1" customWidth="1"/>
    <col min="77" max="77" width="3.33203125" style="115" hidden="1" customWidth="1"/>
    <col min="78" max="78" width="10.6640625" style="115" hidden="1" customWidth="1"/>
    <col min="79" max="79" width="3.33203125" style="115" hidden="1" customWidth="1"/>
    <col min="80" max="80" width="4.33203125" style="115" hidden="1" customWidth="1"/>
    <col min="81" max="81" width="3.33203125" style="115" hidden="1" customWidth="1"/>
    <col min="82" max="82" width="4.88671875" style="115" hidden="1" customWidth="1"/>
    <col min="83" max="83" width="3.33203125" style="115" hidden="1" customWidth="1"/>
    <col min="84" max="84" width="10.6640625" style="115" hidden="1" customWidth="1"/>
    <col min="85" max="85" width="9" style="118" hidden="1" customWidth="1"/>
    <col min="86" max="86" width="29.33203125" style="114" hidden="1" customWidth="1"/>
    <col min="87" max="87" width="40.6640625" style="114" hidden="1" customWidth="1"/>
    <col min="88" max="88" width="10.88671875" style="113" hidden="1" customWidth="1"/>
    <col min="89" max="90" width="9" style="114" hidden="1" customWidth="1"/>
    <col min="91" max="91" width="9" style="113" hidden="1" customWidth="1"/>
    <col min="92" max="92" width="9" style="115" hidden="1" customWidth="1"/>
    <col min="93" max="94" width="9" style="114" hidden="1" customWidth="1"/>
    <col min="95" max="96" width="9" style="115" hidden="1" customWidth="1"/>
    <col min="97" max="97" width="11" style="114" hidden="1" customWidth="1"/>
    <col min="98" max="98" width="3.33203125" style="114" hidden="1" customWidth="1"/>
    <col min="99" max="99" width="3.88671875" style="114" hidden="1" customWidth="1"/>
    <col min="100" max="100" width="4.44140625" style="114" hidden="1" customWidth="1"/>
    <col min="101" max="101" width="3.88671875" style="114" hidden="1" customWidth="1"/>
    <col min="102" max="102" width="3.44140625" style="114" hidden="1" customWidth="1"/>
    <col min="103" max="103" width="4.44140625" style="114" hidden="1" customWidth="1"/>
    <col min="104" max="104" width="9" style="114" customWidth="1"/>
    <col min="105" max="105" width="8.88671875" style="114" bestFit="1" customWidth="1"/>
    <col min="106" max="107" width="6.6640625" style="117" customWidth="1"/>
    <col min="108" max="108" width="10.109375" style="117" customWidth="1"/>
    <col min="109" max="112" width="6.6640625" style="117" customWidth="1"/>
    <col min="113" max="113" width="10.109375" style="117" customWidth="1"/>
    <col min="114" max="121" width="6.6640625" style="117" customWidth="1"/>
    <col min="122" max="122" width="10" style="117" customWidth="1"/>
    <col min="123" max="129" width="6.6640625" style="117" customWidth="1"/>
    <col min="130" max="130" width="9.6640625" style="117" customWidth="1"/>
    <col min="131" max="134" width="6.6640625" style="117" customWidth="1"/>
    <col min="135" max="136" width="6.6640625" style="117" customWidth="1" outlineLevel="1"/>
    <col min="137" max="139" width="6.6640625" style="117" customWidth="1"/>
    <col min="140" max="141" width="6.6640625" style="117" customWidth="1" outlineLevel="1"/>
    <col min="142" max="157" width="6.6640625" style="117" customWidth="1"/>
    <col min="158" max="159" width="8.6640625" style="117" customWidth="1"/>
    <col min="160" max="160" width="6.6640625" style="117" customWidth="1"/>
    <col min="161" max="161" width="8.88671875" style="117" bestFit="1" customWidth="1"/>
    <col min="162" max="162" width="9" style="117" customWidth="1"/>
    <col min="163" max="163" width="6.6640625" style="117" customWidth="1"/>
    <col min="164" max="164" width="10.109375" style="117" customWidth="1"/>
    <col min="165" max="165" width="6.6640625" style="117" customWidth="1"/>
    <col min="166" max="166" width="10" style="117" customWidth="1"/>
    <col min="167" max="169" width="6.6640625" style="117" customWidth="1"/>
    <col min="170" max="171" width="6.6640625" style="117" hidden="1" customWidth="1" outlineLevel="1"/>
    <col min="172" max="172" width="6.6640625" style="117" customWidth="1" collapsed="1"/>
    <col min="173" max="174" width="6.6640625" style="117" customWidth="1"/>
    <col min="175" max="177" width="6.6640625" style="117" hidden="1" customWidth="1" outlineLevel="1"/>
    <col min="178" max="178" width="6.6640625" style="117" customWidth="1" collapsed="1"/>
    <col min="179" max="180" width="6.6640625" style="117" customWidth="1"/>
    <col min="181" max="183" width="6.6640625" style="117" hidden="1" customWidth="1" outlineLevel="1"/>
    <col min="184" max="184" width="6.6640625" style="117" customWidth="1" collapsed="1"/>
    <col min="185" max="186" width="6.6640625" style="117" customWidth="1"/>
    <col min="187" max="187" width="10.88671875" style="117" customWidth="1"/>
    <col min="188" max="189" width="6.6640625" style="117" customWidth="1"/>
    <col min="190" max="190" width="6.6640625" style="114" customWidth="1"/>
    <col min="191" max="191" width="9.88671875" style="115" customWidth="1"/>
    <col min="192" max="192" width="9.44140625" style="115" customWidth="1"/>
    <col min="193" max="193" width="9.44140625" style="115" bestFit="1" customWidth="1"/>
    <col min="194" max="196" width="9" style="118"/>
    <col min="197" max="16384" width="9" style="114"/>
  </cols>
  <sheetData>
    <row r="1" spans="2:874" x14ac:dyDescent="0.2">
      <c r="C1" t="s">
        <v>270</v>
      </c>
      <c r="I1" s="116" t="s">
        <v>271</v>
      </c>
    </row>
    <row r="2" spans="2:874" x14ac:dyDescent="0.2">
      <c r="H2" s="119" t="s">
        <v>272</v>
      </c>
      <c r="I2" s="120"/>
      <c r="J2" s="121"/>
      <c r="K2" s="120"/>
      <c r="L2" s="121"/>
      <c r="M2" s="121"/>
      <c r="N2" s="120"/>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c r="AU2" s="122"/>
      <c r="AV2" s="122"/>
      <c r="AW2" s="122"/>
      <c r="AX2" s="122"/>
      <c r="AY2" s="122"/>
      <c r="AZ2" s="122"/>
      <c r="BA2" s="122"/>
      <c r="BB2" s="122"/>
      <c r="BC2" s="122"/>
      <c r="BD2" s="122"/>
      <c r="BE2" s="122"/>
      <c r="BF2" s="122"/>
      <c r="BG2" s="122"/>
      <c r="BH2" s="122"/>
      <c r="BI2" s="122"/>
      <c r="BJ2" s="122"/>
      <c r="BK2" s="122"/>
      <c r="BL2" s="122"/>
      <c r="BM2" s="122"/>
      <c r="BN2" s="122"/>
      <c r="BO2" s="122"/>
      <c r="BP2" s="122"/>
      <c r="BQ2" s="122"/>
      <c r="BR2" s="122"/>
      <c r="BS2" s="122"/>
      <c r="BT2" s="119"/>
      <c r="BU2" s="119"/>
      <c r="BV2" s="119"/>
      <c r="BW2" s="119"/>
      <c r="BX2" s="119"/>
      <c r="BY2" s="119"/>
      <c r="BZ2" s="119"/>
      <c r="CA2" s="119"/>
      <c r="CB2" s="119"/>
      <c r="CC2" s="119"/>
      <c r="CD2" s="119"/>
      <c r="CE2" s="119"/>
      <c r="CF2" s="119"/>
      <c r="CG2" s="123"/>
      <c r="CH2" s="120"/>
      <c r="CI2" s="120"/>
      <c r="CJ2" s="121"/>
      <c r="CK2" s="120"/>
      <c r="CL2" s="120"/>
      <c r="CM2" s="121"/>
      <c r="CN2" s="120"/>
      <c r="CO2" s="120"/>
      <c r="CP2" s="120"/>
      <c r="CQ2" s="120"/>
      <c r="CR2" s="120"/>
      <c r="CS2" s="120"/>
      <c r="CT2" s="120"/>
      <c r="CU2" s="120"/>
      <c r="CV2" s="120"/>
      <c r="CW2" s="120"/>
      <c r="CX2" s="120"/>
      <c r="CY2" s="120"/>
      <c r="DA2" s="124" t="s">
        <v>273</v>
      </c>
      <c r="DB2" s="124"/>
      <c r="DC2" s="124"/>
      <c r="DD2" s="124"/>
      <c r="DE2" s="124"/>
      <c r="DF2" s="124"/>
      <c r="DG2" s="124"/>
      <c r="DH2" s="124"/>
      <c r="DI2" s="124"/>
      <c r="DJ2" s="124"/>
      <c r="DK2" s="124"/>
      <c r="DL2" s="124"/>
      <c r="DM2" s="124"/>
      <c r="DN2" s="124"/>
      <c r="DO2" s="124"/>
      <c r="DP2" s="124"/>
      <c r="DQ2" s="124"/>
      <c r="DR2" s="124"/>
      <c r="DS2" s="124"/>
      <c r="DT2" s="124"/>
      <c r="DU2" s="124"/>
      <c r="DV2" s="124"/>
      <c r="DW2" s="124"/>
      <c r="DX2" s="124"/>
      <c r="DY2" s="124"/>
      <c r="DZ2" s="124"/>
      <c r="EA2" s="124"/>
      <c r="EB2" s="124"/>
      <c r="EC2" s="124"/>
      <c r="ED2" s="124"/>
      <c r="EE2" s="124"/>
      <c r="EF2" s="124"/>
      <c r="EG2" s="124"/>
      <c r="EH2" s="124"/>
      <c r="EI2" s="124"/>
      <c r="EJ2" s="124"/>
      <c r="EK2" s="124"/>
      <c r="EL2" s="124"/>
      <c r="EM2" s="124"/>
      <c r="EN2" s="124"/>
      <c r="EO2" s="124"/>
      <c r="EP2" s="124"/>
      <c r="EQ2" s="124"/>
      <c r="ER2" s="124"/>
      <c r="ES2" s="124"/>
      <c r="ET2" s="124"/>
      <c r="EU2" s="124"/>
      <c r="EV2" s="124"/>
      <c r="EW2" s="124"/>
      <c r="EX2" s="124"/>
      <c r="EY2" s="124"/>
      <c r="EZ2" s="124"/>
      <c r="FA2" s="124"/>
      <c r="FB2" s="124"/>
      <c r="FC2" s="124"/>
      <c r="FD2" s="124"/>
      <c r="FE2" s="124"/>
      <c r="FF2" s="124"/>
      <c r="FG2" s="124"/>
      <c r="FH2" s="124"/>
      <c r="FI2" s="124"/>
      <c r="FJ2" s="124"/>
      <c r="FK2" s="124"/>
      <c r="FL2" s="124"/>
      <c r="FM2" s="124"/>
      <c r="FN2" s="124"/>
      <c r="FO2" s="124"/>
      <c r="FP2" s="124"/>
      <c r="FQ2" s="124"/>
      <c r="FR2" s="124"/>
      <c r="FS2" s="124"/>
      <c r="FT2" s="124"/>
      <c r="FU2" s="124"/>
      <c r="FV2" s="124"/>
      <c r="FW2" s="124"/>
      <c r="FX2" s="124"/>
      <c r="FY2" s="124"/>
      <c r="FZ2" s="124"/>
      <c r="GA2" s="124"/>
      <c r="GB2" s="124"/>
      <c r="GC2" s="124"/>
      <c r="GD2" s="124"/>
      <c r="GE2" s="124"/>
      <c r="GF2" s="124"/>
      <c r="GG2" s="124"/>
      <c r="GH2" s="124"/>
      <c r="GI2" s="124"/>
      <c r="GJ2" s="124"/>
      <c r="GK2" s="124"/>
      <c r="GL2" s="124"/>
      <c r="GM2" s="124"/>
      <c r="GN2" s="124"/>
    </row>
    <row r="3" spans="2:874" s="150" customFormat="1" ht="54" x14ac:dyDescent="0.2">
      <c r="B3" s="125" t="s">
        <v>274</v>
      </c>
      <c r="C3" s="126" t="s">
        <v>275</v>
      </c>
      <c r="D3" s="127" t="s">
        <v>276</v>
      </c>
      <c r="E3" s="127"/>
      <c r="F3" s="128" t="s">
        <v>277</v>
      </c>
      <c r="G3" s="129" t="s">
        <v>278</v>
      </c>
      <c r="H3" s="131" t="s">
        <v>280</v>
      </c>
      <c r="I3" s="132" t="s">
        <v>281</v>
      </c>
      <c r="J3" s="133"/>
      <c r="K3" s="134"/>
      <c r="L3" s="135"/>
      <c r="M3" s="136" t="s">
        <v>282</v>
      </c>
      <c r="N3" s="137"/>
      <c r="O3" s="138" t="s">
        <v>283</v>
      </c>
      <c r="P3" s="139"/>
      <c r="Q3" s="139"/>
      <c r="R3" s="139"/>
      <c r="S3" s="139"/>
      <c r="T3" s="139"/>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536" t="s">
        <v>284</v>
      </c>
      <c r="AZ3" s="140" t="s">
        <v>285</v>
      </c>
      <c r="BA3" s="140"/>
      <c r="BB3" s="140"/>
      <c r="BC3" s="140"/>
      <c r="BD3" s="140"/>
      <c r="BE3" s="140"/>
      <c r="BF3" s="140"/>
      <c r="BG3" s="140"/>
      <c r="BH3" s="140"/>
      <c r="BI3" s="140"/>
      <c r="BJ3" s="140"/>
      <c r="BK3" s="140"/>
      <c r="BL3" s="140"/>
      <c r="BM3" s="140"/>
      <c r="BN3" s="140"/>
      <c r="BO3" s="140"/>
      <c r="BP3" s="140"/>
      <c r="BQ3" s="140"/>
      <c r="BR3" s="140"/>
      <c r="BS3" s="140"/>
      <c r="BT3" s="141" t="s">
        <v>286</v>
      </c>
      <c r="BU3" s="142"/>
      <c r="BV3" s="142"/>
      <c r="BW3" s="142"/>
      <c r="BX3" s="142"/>
      <c r="BY3" s="142"/>
      <c r="BZ3" s="142"/>
      <c r="CA3" s="142"/>
      <c r="CB3" s="142"/>
      <c r="CC3" s="142"/>
      <c r="CD3" s="142"/>
      <c r="CE3" s="142"/>
      <c r="CF3" s="143" t="s">
        <v>287</v>
      </c>
      <c r="CG3" s="144"/>
      <c r="CH3" s="145" t="s">
        <v>288</v>
      </c>
      <c r="CI3" s="146"/>
      <c r="CJ3" s="147" t="s">
        <v>289</v>
      </c>
      <c r="CK3" s="128" t="s">
        <v>290</v>
      </c>
      <c r="CL3" s="128" t="s">
        <v>291</v>
      </c>
      <c r="CM3" s="127" t="s">
        <v>292</v>
      </c>
      <c r="CN3" s="141" t="s">
        <v>293</v>
      </c>
      <c r="CO3" s="146"/>
      <c r="CP3" s="148" t="s">
        <v>294</v>
      </c>
      <c r="CQ3" s="142"/>
      <c r="CR3" s="142"/>
      <c r="CS3" s="149"/>
      <c r="CT3" s="146"/>
      <c r="CU3" s="148" t="s">
        <v>295</v>
      </c>
      <c r="CV3" s="146"/>
      <c r="CW3" s="538" t="s">
        <v>296</v>
      </c>
      <c r="CX3" s="539"/>
      <c r="CY3" s="540"/>
      <c r="DA3" s="130" t="s">
        <v>279</v>
      </c>
      <c r="DB3" s="138" t="s">
        <v>297</v>
      </c>
      <c r="DC3" s="139"/>
      <c r="DD3" s="139"/>
      <c r="DE3" s="139"/>
      <c r="DF3" s="139"/>
      <c r="DG3" s="139"/>
      <c r="DH3" s="139"/>
      <c r="DI3" s="139"/>
      <c r="DJ3" s="139"/>
      <c r="DK3" s="139"/>
      <c r="DL3" s="139"/>
      <c r="DM3" s="139"/>
      <c r="DN3" s="139"/>
      <c r="DO3" s="139"/>
      <c r="DP3" s="139"/>
      <c r="DQ3" s="139"/>
      <c r="DR3" s="139"/>
      <c r="DS3" s="139"/>
      <c r="DT3" s="139"/>
      <c r="DU3" s="139"/>
      <c r="DV3" s="139"/>
      <c r="DW3" s="139"/>
      <c r="DX3" s="139"/>
      <c r="DY3" s="139"/>
      <c r="DZ3" s="139"/>
      <c r="EA3" s="139"/>
      <c r="EB3" s="139"/>
      <c r="EC3" s="139"/>
      <c r="ED3" s="139"/>
      <c r="EE3" s="139"/>
      <c r="EF3" s="139"/>
      <c r="EG3" s="139"/>
      <c r="EH3" s="139"/>
      <c r="EI3" s="139"/>
      <c r="EJ3" s="139"/>
      <c r="EK3" s="139"/>
      <c r="EL3" s="139"/>
      <c r="EM3" s="139"/>
      <c r="EN3" s="139"/>
      <c r="EO3" s="139"/>
      <c r="EP3" s="139"/>
      <c r="EQ3" s="139"/>
      <c r="ER3" s="139"/>
      <c r="ES3" s="139"/>
      <c r="ET3" s="139"/>
      <c r="EU3" s="139"/>
      <c r="EV3" s="139"/>
      <c r="EW3" s="139"/>
      <c r="EX3" s="139"/>
      <c r="EY3" s="139"/>
      <c r="EZ3" s="139"/>
      <c r="FA3" s="139"/>
      <c r="FB3" s="139"/>
      <c r="FC3" s="139"/>
      <c r="FD3" s="139"/>
      <c r="FE3" s="151"/>
      <c r="FF3" s="152" t="s">
        <v>298</v>
      </c>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40"/>
      <c r="GE3" s="140"/>
      <c r="GF3" s="140"/>
      <c r="GG3" s="140"/>
      <c r="GH3" s="148" t="s">
        <v>299</v>
      </c>
      <c r="GI3" s="154"/>
      <c r="GJ3" s="154"/>
      <c r="GK3" s="154"/>
      <c r="GL3" s="155"/>
      <c r="GM3" s="155"/>
      <c r="GN3" s="144"/>
    </row>
    <row r="4" spans="2:874" ht="36" x14ac:dyDescent="0.15">
      <c r="B4" s="156"/>
      <c r="C4" s="157"/>
      <c r="D4" s="158"/>
      <c r="E4" s="158"/>
      <c r="F4" s="159"/>
      <c r="G4" s="159"/>
      <c r="H4" s="160"/>
      <c r="I4" s="161" t="s">
        <v>300</v>
      </c>
      <c r="J4" s="162" t="s">
        <v>301</v>
      </c>
      <c r="K4" s="163" t="s">
        <v>302</v>
      </c>
      <c r="L4" s="162" t="s">
        <v>303</v>
      </c>
      <c r="M4" s="162"/>
      <c r="N4" s="161"/>
      <c r="O4" s="164"/>
      <c r="P4" s="165" t="s">
        <v>304</v>
      </c>
      <c r="Q4" s="166"/>
      <c r="R4" s="167" t="s">
        <v>305</v>
      </c>
      <c r="S4" s="168"/>
      <c r="T4" s="169"/>
      <c r="U4" s="170" t="s">
        <v>306</v>
      </c>
      <c r="V4" s="171"/>
      <c r="W4" s="172"/>
      <c r="X4" s="544" t="s">
        <v>307</v>
      </c>
      <c r="Y4" s="545"/>
      <c r="Z4" s="545"/>
      <c r="AA4" s="173"/>
      <c r="AB4" s="544" t="s">
        <v>308</v>
      </c>
      <c r="AC4" s="545"/>
      <c r="AD4" s="546"/>
      <c r="AE4" s="174" t="s">
        <v>309</v>
      </c>
      <c r="AF4" s="175"/>
      <c r="AG4" s="175"/>
      <c r="AH4" s="176"/>
      <c r="AI4" s="177" t="s">
        <v>310</v>
      </c>
      <c r="AJ4" s="178"/>
      <c r="AK4" s="178"/>
      <c r="AL4" s="179"/>
      <c r="AM4" s="180" t="s">
        <v>311</v>
      </c>
      <c r="AN4" s="181"/>
      <c r="AO4" s="181"/>
      <c r="AP4" s="181"/>
      <c r="AQ4" s="181"/>
      <c r="AR4" s="181"/>
      <c r="AS4" s="181"/>
      <c r="AT4" s="181"/>
      <c r="AU4" s="181"/>
      <c r="AV4" s="181"/>
      <c r="AW4" s="181"/>
      <c r="AX4" s="182"/>
      <c r="AY4" s="536"/>
      <c r="AZ4" s="164"/>
      <c r="BA4" s="183" t="s">
        <v>312</v>
      </c>
      <c r="BB4" s="183"/>
      <c r="BC4" s="184"/>
      <c r="BD4" s="174" t="s">
        <v>309</v>
      </c>
      <c r="BE4" s="175"/>
      <c r="BF4" s="175"/>
      <c r="BG4" s="176"/>
      <c r="BH4" s="170" t="s">
        <v>310</v>
      </c>
      <c r="BI4" s="171"/>
      <c r="BJ4" s="171"/>
      <c r="BK4" s="171"/>
      <c r="BL4" s="172"/>
      <c r="BM4" s="180" t="s">
        <v>313</v>
      </c>
      <c r="BN4" s="181"/>
      <c r="BO4" s="181"/>
      <c r="BP4" s="181"/>
      <c r="BQ4" s="181"/>
      <c r="BR4" s="182"/>
      <c r="BS4" s="185" t="s">
        <v>314</v>
      </c>
      <c r="BT4" s="186"/>
      <c r="BU4" s="187"/>
      <c r="BV4" s="187"/>
      <c r="BW4" s="187"/>
      <c r="BX4" s="187"/>
      <c r="BY4" s="187"/>
      <c r="BZ4" s="187"/>
      <c r="CA4" s="188"/>
      <c r="CB4" s="188"/>
      <c r="CC4" s="188"/>
      <c r="CD4" s="188"/>
      <c r="CE4" s="188"/>
      <c r="CF4" s="189"/>
      <c r="CG4" s="190"/>
      <c r="CH4" s="191"/>
      <c r="CI4" s="192"/>
      <c r="CJ4" s="193"/>
      <c r="CK4" s="159"/>
      <c r="CL4" s="194"/>
      <c r="CM4" s="158"/>
      <c r="CN4" s="195"/>
      <c r="CO4" s="196"/>
      <c r="CP4" s="191"/>
      <c r="CT4" s="192"/>
      <c r="CU4" s="191"/>
      <c r="CV4" s="192"/>
      <c r="CW4" s="541"/>
      <c r="CX4" s="542"/>
      <c r="CY4" s="543"/>
      <c r="DA4" s="159"/>
      <c r="DB4" s="164"/>
      <c r="DC4" s="165" t="s">
        <v>304</v>
      </c>
      <c r="DD4" s="197"/>
      <c r="DE4" s="197"/>
      <c r="DF4" s="197"/>
      <c r="DG4" s="167" t="s">
        <v>315</v>
      </c>
      <c r="DH4" s="168"/>
      <c r="DI4" s="168"/>
      <c r="DJ4" s="168"/>
      <c r="DK4" s="168"/>
      <c r="DL4" s="170" t="s">
        <v>505</v>
      </c>
      <c r="DM4" s="171"/>
      <c r="DN4" s="171"/>
      <c r="DO4" s="171"/>
      <c r="DP4" s="171"/>
      <c r="DQ4" s="171"/>
      <c r="DR4" s="171"/>
      <c r="DS4" s="171"/>
      <c r="DT4" s="172"/>
      <c r="DU4" s="545" t="s">
        <v>307</v>
      </c>
      <c r="DV4" s="545"/>
      <c r="DW4" s="545"/>
      <c r="DX4" s="545" t="s">
        <v>308</v>
      </c>
      <c r="DY4" s="545"/>
      <c r="DZ4" s="545"/>
      <c r="EA4" s="546"/>
      <c r="EB4" s="198"/>
      <c r="EC4" s="173"/>
      <c r="ED4" s="174" t="s">
        <v>309</v>
      </c>
      <c r="EE4" s="175"/>
      <c r="EF4" s="175"/>
      <c r="EG4" s="175"/>
      <c r="EH4" s="175"/>
      <c r="EI4" s="177" t="s">
        <v>310</v>
      </c>
      <c r="EJ4" s="178"/>
      <c r="EK4" s="178"/>
      <c r="EL4" s="178"/>
      <c r="EM4" s="179"/>
      <c r="EN4" s="180" t="s">
        <v>506</v>
      </c>
      <c r="EO4" s="181"/>
      <c r="EP4" s="181"/>
      <c r="EQ4" s="181"/>
      <c r="ER4" s="181"/>
      <c r="ES4" s="181"/>
      <c r="ET4" s="181"/>
      <c r="EU4" s="181"/>
      <c r="EV4" s="181"/>
      <c r="EW4" s="181"/>
      <c r="EX4" s="181"/>
      <c r="EY4" s="181"/>
      <c r="EZ4" s="181"/>
      <c r="FA4" s="181"/>
      <c r="FB4" s="181"/>
      <c r="FC4" s="181"/>
      <c r="FD4" s="199" t="s">
        <v>316</v>
      </c>
      <c r="FE4" s="199" t="s">
        <v>317</v>
      </c>
      <c r="FG4" s="200" t="s">
        <v>312</v>
      </c>
      <c r="FH4" s="183"/>
      <c r="FI4" s="183"/>
      <c r="FJ4" s="183"/>
      <c r="FK4" s="183"/>
      <c r="FL4" s="184"/>
      <c r="FM4" s="174" t="s">
        <v>309</v>
      </c>
      <c r="FN4" s="175"/>
      <c r="FO4" s="175"/>
      <c r="FP4" s="175"/>
      <c r="FQ4" s="176"/>
      <c r="FR4" s="170" t="s">
        <v>310</v>
      </c>
      <c r="FS4" s="171"/>
      <c r="FT4" s="171"/>
      <c r="FU4" s="171"/>
      <c r="FV4" s="171"/>
      <c r="FW4" s="172"/>
      <c r="FX4" s="180" t="s">
        <v>507</v>
      </c>
      <c r="FY4" s="181"/>
      <c r="FZ4" s="181"/>
      <c r="GA4" s="181"/>
      <c r="GB4" s="181"/>
      <c r="GC4" s="181"/>
      <c r="GD4" s="201"/>
      <c r="GE4" s="201"/>
      <c r="GF4" s="202" t="s">
        <v>318</v>
      </c>
      <c r="GG4" s="202" t="s">
        <v>317</v>
      </c>
      <c r="GH4" s="203"/>
      <c r="GI4" s="204"/>
      <c r="GJ4" s="204"/>
      <c r="GK4" s="204"/>
      <c r="GL4" s="205" t="s">
        <v>319</v>
      </c>
      <c r="GM4" s="205" t="s">
        <v>319</v>
      </c>
      <c r="GN4" s="206" t="s">
        <v>320</v>
      </c>
    </row>
    <row r="5" spans="2:874" s="232" customFormat="1" ht="183.6" x14ac:dyDescent="0.2">
      <c r="B5" s="207" t="s">
        <v>321</v>
      </c>
      <c r="C5" s="208"/>
      <c r="D5" s="209"/>
      <c r="E5" s="210" t="s">
        <v>322</v>
      </c>
      <c r="F5" s="211" t="s">
        <v>323</v>
      </c>
      <c r="G5" s="211"/>
      <c r="H5" s="212"/>
      <c r="I5" s="213"/>
      <c r="J5" s="214"/>
      <c r="K5" s="128"/>
      <c r="L5" s="214"/>
      <c r="M5" s="127" t="s">
        <v>324</v>
      </c>
      <c r="N5" s="128" t="s">
        <v>325</v>
      </c>
      <c r="O5" s="215" t="s">
        <v>326</v>
      </c>
      <c r="P5" s="216" t="s">
        <v>327</v>
      </c>
      <c r="Q5" s="202" t="s">
        <v>328</v>
      </c>
      <c r="R5" s="217" t="s">
        <v>329</v>
      </c>
      <c r="S5" s="216" t="s">
        <v>327</v>
      </c>
      <c r="T5" s="202" t="s">
        <v>328</v>
      </c>
      <c r="U5" s="217" t="s">
        <v>329</v>
      </c>
      <c r="V5" s="216" t="s">
        <v>327</v>
      </c>
      <c r="W5" s="202" t="s">
        <v>328</v>
      </c>
      <c r="X5" s="218" t="s">
        <v>329</v>
      </c>
      <c r="Y5" s="219" t="s">
        <v>330</v>
      </c>
      <c r="Z5" s="218" t="s">
        <v>331</v>
      </c>
      <c r="AA5" s="220" t="s">
        <v>332</v>
      </c>
      <c r="AB5" s="218" t="s">
        <v>329</v>
      </c>
      <c r="AC5" s="219" t="s">
        <v>333</v>
      </c>
      <c r="AD5" s="218" t="s">
        <v>331</v>
      </c>
      <c r="AE5" s="217" t="s">
        <v>329</v>
      </c>
      <c r="AF5" s="216" t="s">
        <v>334</v>
      </c>
      <c r="AG5" s="221" t="s">
        <v>335</v>
      </c>
      <c r="AH5" s="202" t="s">
        <v>328</v>
      </c>
      <c r="AI5" s="217" t="s">
        <v>336</v>
      </c>
      <c r="AJ5" s="216" t="s">
        <v>337</v>
      </c>
      <c r="AK5" s="216" t="s">
        <v>338</v>
      </c>
      <c r="AL5" s="202" t="s">
        <v>328</v>
      </c>
      <c r="AM5" s="218" t="s">
        <v>336</v>
      </c>
      <c r="AN5" s="215" t="s">
        <v>339</v>
      </c>
      <c r="AO5" s="215" t="s">
        <v>340</v>
      </c>
      <c r="AP5" s="215" t="s">
        <v>341</v>
      </c>
      <c r="AQ5" s="215" t="s">
        <v>342</v>
      </c>
      <c r="AR5" s="215" t="s">
        <v>343</v>
      </c>
      <c r="AS5" s="215" t="s">
        <v>344</v>
      </c>
      <c r="AT5" s="215" t="s">
        <v>345</v>
      </c>
      <c r="AU5" s="218" t="s">
        <v>346</v>
      </c>
      <c r="AV5" s="220" t="s">
        <v>328</v>
      </c>
      <c r="AW5" s="215" t="s">
        <v>347</v>
      </c>
      <c r="AX5" s="215" t="s">
        <v>348</v>
      </c>
      <c r="AY5" s="537"/>
      <c r="AZ5" s="222" t="s">
        <v>349</v>
      </c>
      <c r="BA5" s="223" t="s">
        <v>350</v>
      </c>
      <c r="BB5" s="224" t="s">
        <v>351</v>
      </c>
      <c r="BC5" s="220" t="s">
        <v>352</v>
      </c>
      <c r="BD5" s="217" t="s">
        <v>329</v>
      </c>
      <c r="BE5" s="216" t="s">
        <v>353</v>
      </c>
      <c r="BF5" s="221" t="s">
        <v>354</v>
      </c>
      <c r="BG5" s="202" t="s">
        <v>352</v>
      </c>
      <c r="BH5" s="217" t="s">
        <v>329</v>
      </c>
      <c r="BI5" s="216" t="s">
        <v>355</v>
      </c>
      <c r="BJ5" s="216" t="s">
        <v>356</v>
      </c>
      <c r="BK5" s="216" t="s">
        <v>357</v>
      </c>
      <c r="BL5" s="202" t="s">
        <v>352</v>
      </c>
      <c r="BM5" s="217" t="s">
        <v>336</v>
      </c>
      <c r="BN5" s="216" t="s">
        <v>358</v>
      </c>
      <c r="BO5" s="216" t="s">
        <v>359</v>
      </c>
      <c r="BP5" s="216" t="s">
        <v>360</v>
      </c>
      <c r="BQ5" s="202" t="s">
        <v>361</v>
      </c>
      <c r="BR5" s="215" t="s">
        <v>348</v>
      </c>
      <c r="BS5" s="225" t="s">
        <v>362</v>
      </c>
      <c r="BT5" s="547" t="s">
        <v>363</v>
      </c>
      <c r="BU5" s="548"/>
      <c r="BV5" s="548"/>
      <c r="BW5" s="548"/>
      <c r="BX5" s="548"/>
      <c r="BY5" s="549"/>
      <c r="BZ5" s="547" t="s">
        <v>364</v>
      </c>
      <c r="CA5" s="548"/>
      <c r="CB5" s="548"/>
      <c r="CC5" s="548"/>
      <c r="CD5" s="548"/>
      <c r="CE5" s="549"/>
      <c r="CF5" s="226" t="s">
        <v>365</v>
      </c>
      <c r="CG5" s="227" t="s">
        <v>366</v>
      </c>
      <c r="CH5" s="228" t="s">
        <v>367</v>
      </c>
      <c r="CI5" s="228" t="s">
        <v>368</v>
      </c>
      <c r="CJ5" s="229" t="s">
        <v>369</v>
      </c>
      <c r="CK5" s="228" t="s">
        <v>370</v>
      </c>
      <c r="CL5" s="228" t="s">
        <v>371</v>
      </c>
      <c r="CM5" s="229" t="s">
        <v>372</v>
      </c>
      <c r="CN5" s="226" t="s">
        <v>373</v>
      </c>
      <c r="CO5" s="161" t="s">
        <v>374</v>
      </c>
      <c r="CP5" s="228" t="s">
        <v>375</v>
      </c>
      <c r="CQ5" s="230" t="s">
        <v>376</v>
      </c>
      <c r="CR5" s="230" t="s">
        <v>377</v>
      </c>
      <c r="CS5" s="228" t="s">
        <v>378</v>
      </c>
      <c r="CT5" s="228" t="s">
        <v>379</v>
      </c>
      <c r="CU5" s="228" t="s">
        <v>380</v>
      </c>
      <c r="CV5" s="228" t="s">
        <v>381</v>
      </c>
      <c r="CW5" s="231" t="s">
        <v>382</v>
      </c>
      <c r="CX5" s="231" t="s">
        <v>383</v>
      </c>
      <c r="CY5" s="231" t="s">
        <v>384</v>
      </c>
      <c r="DA5" s="211"/>
      <c r="DB5" s="215" t="s">
        <v>326</v>
      </c>
      <c r="DC5" s="215" t="s">
        <v>327</v>
      </c>
      <c r="DD5" s="215" t="s">
        <v>385</v>
      </c>
      <c r="DE5" s="233" t="s">
        <v>386</v>
      </c>
      <c r="DF5" s="233" t="s">
        <v>387</v>
      </c>
      <c r="DG5" s="218" t="s">
        <v>329</v>
      </c>
      <c r="DH5" s="215" t="s">
        <v>327</v>
      </c>
      <c r="DI5" s="215" t="s">
        <v>388</v>
      </c>
      <c r="DJ5" s="234" t="s">
        <v>386</v>
      </c>
      <c r="DK5" s="234" t="s">
        <v>387</v>
      </c>
      <c r="DL5" s="218" t="s">
        <v>329</v>
      </c>
      <c r="DM5" s="307" t="s">
        <v>490</v>
      </c>
      <c r="DN5" s="218" t="s">
        <v>331</v>
      </c>
      <c r="DO5" s="218" t="s">
        <v>329</v>
      </c>
      <c r="DP5" s="307" t="s">
        <v>491</v>
      </c>
      <c r="DQ5" s="218" t="s">
        <v>331</v>
      </c>
      <c r="DR5" s="215" t="s">
        <v>389</v>
      </c>
      <c r="DS5" s="234" t="s">
        <v>386</v>
      </c>
      <c r="DT5" s="234" t="s">
        <v>387</v>
      </c>
      <c r="DU5" s="218" t="s">
        <v>329</v>
      </c>
      <c r="DV5" s="219" t="s">
        <v>330</v>
      </c>
      <c r="DW5" s="218" t="s">
        <v>331</v>
      </c>
      <c r="DX5" s="218" t="s">
        <v>329</v>
      </c>
      <c r="DY5" s="219" t="s">
        <v>333</v>
      </c>
      <c r="DZ5" s="235" t="s">
        <v>390</v>
      </c>
      <c r="EA5" s="218" t="s">
        <v>331</v>
      </c>
      <c r="EB5" s="234" t="s">
        <v>386</v>
      </c>
      <c r="EC5" s="234" t="s">
        <v>387</v>
      </c>
      <c r="ED5" s="218" t="s">
        <v>329</v>
      </c>
      <c r="EE5" s="215" t="s">
        <v>334</v>
      </c>
      <c r="EF5" s="215" t="s">
        <v>335</v>
      </c>
      <c r="EG5" s="234" t="s">
        <v>386</v>
      </c>
      <c r="EH5" s="234" t="s">
        <v>387</v>
      </c>
      <c r="EI5" s="218" t="s">
        <v>336</v>
      </c>
      <c r="EJ5" s="215" t="s">
        <v>337</v>
      </c>
      <c r="EK5" s="215" t="s">
        <v>338</v>
      </c>
      <c r="EL5" s="234" t="s">
        <v>386</v>
      </c>
      <c r="EM5" s="234" t="s">
        <v>387</v>
      </c>
      <c r="EN5" s="218" t="s">
        <v>336</v>
      </c>
      <c r="EO5" s="215" t="s">
        <v>339</v>
      </c>
      <c r="EP5" s="215" t="s">
        <v>340</v>
      </c>
      <c r="EQ5" s="215" t="s">
        <v>341</v>
      </c>
      <c r="ER5" s="215" t="s">
        <v>342</v>
      </c>
      <c r="ES5" s="215" t="s">
        <v>343</v>
      </c>
      <c r="ET5" s="215" t="s">
        <v>344</v>
      </c>
      <c r="EU5" s="215" t="s">
        <v>345</v>
      </c>
      <c r="EV5" s="218" t="s">
        <v>346</v>
      </c>
      <c r="EW5" s="234" t="s">
        <v>386</v>
      </c>
      <c r="EX5" s="234" t="s">
        <v>387</v>
      </c>
      <c r="EY5" s="215" t="s">
        <v>347</v>
      </c>
      <c r="EZ5" s="215" t="s">
        <v>348</v>
      </c>
      <c r="FA5" s="215" t="s">
        <v>348</v>
      </c>
      <c r="FB5" s="215" t="s">
        <v>391</v>
      </c>
      <c r="FC5" s="215" t="s">
        <v>392</v>
      </c>
      <c r="FD5" s="236"/>
      <c r="FE5" s="236"/>
      <c r="FF5" s="237" t="s">
        <v>349</v>
      </c>
      <c r="FG5" s="238" t="s">
        <v>350</v>
      </c>
      <c r="FH5" s="239" t="s">
        <v>393</v>
      </c>
      <c r="FI5" s="240" t="s">
        <v>351</v>
      </c>
      <c r="FJ5" s="240" t="s">
        <v>390</v>
      </c>
      <c r="FK5" s="234" t="s">
        <v>386</v>
      </c>
      <c r="FL5" s="234" t="s">
        <v>387</v>
      </c>
      <c r="FM5" s="218" t="s">
        <v>329</v>
      </c>
      <c r="FN5" s="215" t="s">
        <v>394</v>
      </c>
      <c r="FO5" s="215" t="s">
        <v>395</v>
      </c>
      <c r="FP5" s="234" t="s">
        <v>386</v>
      </c>
      <c r="FQ5" s="234" t="s">
        <v>387</v>
      </c>
      <c r="FR5" s="218" t="s">
        <v>396</v>
      </c>
      <c r="FS5" s="215" t="s">
        <v>397</v>
      </c>
      <c r="FT5" s="215" t="s">
        <v>398</v>
      </c>
      <c r="FU5" s="215" t="s">
        <v>399</v>
      </c>
      <c r="FV5" s="234" t="s">
        <v>386</v>
      </c>
      <c r="FW5" s="234" t="s">
        <v>387</v>
      </c>
      <c r="FX5" s="218" t="s">
        <v>396</v>
      </c>
      <c r="FY5" s="215" t="s">
        <v>358</v>
      </c>
      <c r="FZ5" s="215" t="s">
        <v>359</v>
      </c>
      <c r="GA5" s="215" t="s">
        <v>360</v>
      </c>
      <c r="GB5" s="234" t="s">
        <v>386</v>
      </c>
      <c r="GC5" s="234" t="s">
        <v>387</v>
      </c>
      <c r="GD5" s="241" t="s">
        <v>348</v>
      </c>
      <c r="GE5" s="241" t="s">
        <v>391</v>
      </c>
      <c r="GF5" s="234"/>
      <c r="GG5" s="234"/>
      <c r="GH5" s="242" t="s">
        <v>400</v>
      </c>
      <c r="GI5" s="243" t="s">
        <v>401</v>
      </c>
      <c r="GJ5" s="243" t="s">
        <v>402</v>
      </c>
      <c r="GK5" s="243" t="s">
        <v>403</v>
      </c>
      <c r="GL5" s="244" t="s">
        <v>404</v>
      </c>
      <c r="GM5" s="244" t="s">
        <v>405</v>
      </c>
      <c r="GN5" s="244" t="s">
        <v>406</v>
      </c>
    </row>
    <row r="6" spans="2:874" customFormat="1" ht="15.75" hidden="1" customHeight="1" x14ac:dyDescent="0.2">
      <c r="B6" s="245" t="str">
        <f t="shared" ref="B6:B11" si="0">IF(GK6&gt;0,"支払済",IF(GH6="取下",GH6,IF(GH6="取消",GH6,"")))</f>
        <v>支払済</v>
      </c>
      <c r="C6" s="246" t="s">
        <v>407</v>
      </c>
      <c r="D6" s="247" t="s">
        <v>408</v>
      </c>
      <c r="E6" s="248" t="str">
        <f>IF(D6="登録","登録",IF(D5="登録","建売購入",""))</f>
        <v/>
      </c>
      <c r="F6" s="249"/>
      <c r="G6" s="249"/>
      <c r="H6" s="250">
        <v>43191</v>
      </c>
      <c r="I6" s="251" t="s">
        <v>409</v>
      </c>
      <c r="J6" s="252" t="s">
        <v>410</v>
      </c>
      <c r="K6" s="251"/>
      <c r="L6" s="252" t="s">
        <v>411</v>
      </c>
      <c r="M6" s="252" t="s">
        <v>412</v>
      </c>
      <c r="N6" s="251" t="s">
        <v>413</v>
      </c>
      <c r="O6" s="253">
        <v>35</v>
      </c>
      <c r="P6" s="253">
        <v>25</v>
      </c>
      <c r="Q6" s="254">
        <f>IF(P6&gt;=10,150,0)</f>
        <v>150</v>
      </c>
      <c r="R6" s="253">
        <f>IF(S6&gt;=1,1,"")</f>
        <v>1</v>
      </c>
      <c r="S6" s="253">
        <v>19</v>
      </c>
      <c r="T6" s="255">
        <f>IF(Q6=0,0,IF(S6&gt;=25,MIN(250,ROUNDDOWN(S6*10,-1)),IF(S6&gt;=20,MIN(200,ROUNDDOWN(S6*10,-1)),IF(S6&gt;=15,MIN(150,ROUNDDOWN(S6*10,-1)),MIN(100,ROUNDDOWN(S6*10,-1))))))</f>
        <v>150</v>
      </c>
      <c r="U6" s="253">
        <f>IF(V6&gt;=1,1,"")</f>
        <v>1</v>
      </c>
      <c r="V6" s="253">
        <v>7</v>
      </c>
      <c r="W6" s="255">
        <f>IF(AND(Q6&gt;0,V6&gt;=1),MIN(INT(V6)*20,200),0)</f>
        <v>140</v>
      </c>
      <c r="X6" s="253">
        <f>IF(Y6&gt;=1,1,"")</f>
        <v>1</v>
      </c>
      <c r="Y6" s="253">
        <v>1</v>
      </c>
      <c r="Z6" s="253">
        <f>IF(Y6&gt;=1,50,0)</f>
        <v>50</v>
      </c>
      <c r="AA6" s="254">
        <f t="shared" ref="AA6:AA11" si="1">IF(OR(AD6&gt;0,Z6&gt;0),MIN(AD6+Z6,150),0)</f>
        <v>72</v>
      </c>
      <c r="AB6" s="253">
        <f>IF(AC6&gt;=1,1,"")</f>
        <v>1</v>
      </c>
      <c r="AC6" s="253">
        <v>11</v>
      </c>
      <c r="AD6" s="253">
        <f t="shared" ref="AD6:AD11" si="2">IF(AND(Q6&gt;0,AC6&gt;=1),MIN(INT(AC6)*2,150),0)</f>
        <v>22</v>
      </c>
      <c r="AE6" s="253">
        <f>IF(OR(AF6=1,AG6=1),1,"")</f>
        <v>1</v>
      </c>
      <c r="AF6" s="253"/>
      <c r="AG6" s="253">
        <v>1</v>
      </c>
      <c r="AH6" s="254">
        <f>IF(AND(Q6&gt;0,AE6=1,【様式第６号】事業報告書兼チェックシート!B60=""),100,0)</f>
        <v>100</v>
      </c>
      <c r="AI6" s="253">
        <f>IF(OR(AJ6=1,AK6=1),1,"")</f>
        <v>1</v>
      </c>
      <c r="AJ6" s="253">
        <v>1</v>
      </c>
      <c r="AK6" s="253"/>
      <c r="AL6" s="254">
        <f t="shared" ref="AL6:AL11" si="3">IF(AND(Q6&gt;0,AE6=1,AI6=1),100,0)</f>
        <v>100</v>
      </c>
      <c r="AM6" s="253">
        <f>IF(AU6&gt;=4,1,"")</f>
        <v>1</v>
      </c>
      <c r="AN6" s="253"/>
      <c r="AO6" s="253"/>
      <c r="AP6" s="253">
        <v>1</v>
      </c>
      <c r="AQ6" s="253">
        <v>2</v>
      </c>
      <c r="AR6" s="253"/>
      <c r="AS6" s="253">
        <v>1</v>
      </c>
      <c r="AT6" s="253">
        <v>1</v>
      </c>
      <c r="AU6" s="253">
        <f>SUM(AN6:AT6)</f>
        <v>5</v>
      </c>
      <c r="AV6" s="254">
        <f>IF(AU6&gt;=4,200,0)</f>
        <v>200</v>
      </c>
      <c r="AW6" s="256" t="s">
        <v>414</v>
      </c>
      <c r="AX6" s="256" t="s">
        <v>415</v>
      </c>
      <c r="AY6" s="254">
        <f t="shared" ref="AY6:AY11" si="4">IF(OR(D6="新築",D6="登録"),MIN(1000,Q6+T6+W6+AA6+AH6+AL6+AV6),0)</f>
        <v>912</v>
      </c>
      <c r="AZ6" s="256"/>
      <c r="BA6" s="257"/>
      <c r="BB6" s="256"/>
      <c r="BC6" s="254">
        <f>MIN(ROUNDDOWN(BA6,1)*20+INT(BB6)*2,250)</f>
        <v>0</v>
      </c>
      <c r="BD6" s="253" t="str">
        <f>IF(OR(BE6=1,BF6=1),1,"")</f>
        <v/>
      </c>
      <c r="BE6" s="256"/>
      <c r="BF6" s="256"/>
      <c r="BG6" s="254" t="e">
        <f>IF(AND(BC6&gt;0,BD6=1,#REF!=""),100,0)</f>
        <v>#REF!</v>
      </c>
      <c r="BH6" s="253" t="str">
        <f>IF(OR(BI6=1,BJ6=1,BK6=1),1,"")</f>
        <v/>
      </c>
      <c r="BI6" s="256"/>
      <c r="BJ6" s="256"/>
      <c r="BK6" s="256"/>
      <c r="BL6" s="254">
        <f>IF(AND(BC6&gt;0,BH6=1),100,IF(AND(BC6&gt;0,BK6=1),100,0))</f>
        <v>0</v>
      </c>
      <c r="BM6" s="253" t="str">
        <f>IF(OR(AND(BN6&gt;=7,BO6&gt;=7,BN6+BO6&gt;=14),AND(BN6&gt;=7,BP6&gt;=3,BN6+BP6&gt;=10),AND(BO6&gt;=7,BP6&gt;=3,BO6+BP6&gt;=10)),1,"")</f>
        <v/>
      </c>
      <c r="BN6" s="256"/>
      <c r="BO6" s="256"/>
      <c r="BP6" s="256"/>
      <c r="BQ6" s="254">
        <f>IF(AND(BM6=1,BC6&gt;0),MIN(150,ROUNDDOWN(BN6*11+BO6*13+BP6*19,0)),0)</f>
        <v>0</v>
      </c>
      <c r="BR6" s="256"/>
      <c r="BS6" s="254">
        <f t="shared" ref="BS6:BS11" si="5">IF(D6="改修",MIN(500,BC6+BG6+BL6+BQ6,INT(CL6*10/2)),0)</f>
        <v>0</v>
      </c>
      <c r="BT6" s="258"/>
      <c r="BU6" s="259" t="s">
        <v>8</v>
      </c>
      <c r="BV6" s="260"/>
      <c r="BW6" s="259" t="s">
        <v>416</v>
      </c>
      <c r="BX6" s="260"/>
      <c r="BY6" s="261" t="s">
        <v>7</v>
      </c>
      <c r="BZ6" s="258"/>
      <c r="CA6" s="259" t="s">
        <v>8</v>
      </c>
      <c r="CB6" s="260"/>
      <c r="CC6" s="259" t="s">
        <v>416</v>
      </c>
      <c r="CD6" s="260"/>
      <c r="CE6" s="261" t="s">
        <v>7</v>
      </c>
      <c r="CF6" s="250">
        <v>43200</v>
      </c>
      <c r="CG6" s="262">
        <f>AY6+BS6</f>
        <v>912</v>
      </c>
      <c r="CH6" s="251" t="s">
        <v>417</v>
      </c>
      <c r="CI6" s="251" t="s">
        <v>418</v>
      </c>
      <c r="CJ6" s="247" t="s">
        <v>419</v>
      </c>
      <c r="CK6" s="251">
        <v>120</v>
      </c>
      <c r="CL6" s="263">
        <v>2500</v>
      </c>
      <c r="CM6" s="252" t="s">
        <v>269</v>
      </c>
      <c r="CN6" s="250"/>
      <c r="CO6" s="249"/>
      <c r="CP6" s="249"/>
      <c r="CQ6" s="250"/>
      <c r="CR6" s="250"/>
      <c r="CS6" s="249"/>
      <c r="CT6" s="249"/>
      <c r="CU6" s="249"/>
      <c r="CV6" s="249"/>
      <c r="CW6" s="249"/>
      <c r="CX6" s="249"/>
      <c r="CY6" s="249"/>
      <c r="DA6" s="249"/>
      <c r="DB6" s="253">
        <v>30</v>
      </c>
      <c r="DC6" s="253">
        <v>25</v>
      </c>
      <c r="DD6" s="256" t="s">
        <v>420</v>
      </c>
      <c r="DE6" s="254">
        <f t="shared" ref="DE6:DE10" si="6">IF(DC6&gt;=10,150,0)</f>
        <v>150</v>
      </c>
      <c r="DF6" s="254">
        <f t="shared" ref="DF6:DF10" si="7">MIN(Q6,DE6)</f>
        <v>150</v>
      </c>
      <c r="DG6" s="253">
        <f>IF(DH6&gt;=1,1,"")</f>
        <v>1</v>
      </c>
      <c r="DH6" s="253">
        <v>18</v>
      </c>
      <c r="DI6" s="256" t="s">
        <v>420</v>
      </c>
      <c r="DJ6" s="255">
        <f>IF(DE6=0,0,IF(DH6&gt;=25,MIN(250,ROUNDDOWN(DH6*10,-1)),IF(DH6&gt;=20,MIN(200,ROUNDDOWN(DH6*10,-1)),IF(DH6&gt;=15,MIN(150,ROUNDDOWN(DH6*10,-1)),MIN(100,ROUNDDOWN(DH6*10,-1))))))</f>
        <v>150</v>
      </c>
      <c r="DK6" s="254">
        <f t="shared" ref="DK6:DK10" si="8">MIN(T6,DJ6)</f>
        <v>150</v>
      </c>
      <c r="DL6" s="253">
        <f>IF(DM6&gt;=1,1,"")</f>
        <v>1</v>
      </c>
      <c r="DM6" s="253">
        <v>10</v>
      </c>
      <c r="DN6" s="253"/>
      <c r="DO6" s="253"/>
      <c r="DP6" s="253"/>
      <c r="DQ6" s="253"/>
      <c r="DR6" s="256" t="s">
        <v>421</v>
      </c>
      <c r="DS6" s="255">
        <f>IF(AND(DE6&gt;0,DM6&gt;=1),MIN(INT(DM6)*20,200),0)</f>
        <v>200</v>
      </c>
      <c r="DT6" s="254">
        <f>MIN(W6,DS6)</f>
        <v>140</v>
      </c>
      <c r="DU6" s="253" t="str">
        <f>IF(DV6&gt;=1,1,"")</f>
        <v/>
      </c>
      <c r="DV6" s="253"/>
      <c r="DW6" s="253">
        <f t="shared" ref="DW6:DW11" si="9">IF(AND(DV6&gt;=1,DE6&gt;=1),50,0)</f>
        <v>0</v>
      </c>
      <c r="DX6" s="253">
        <f>IF(DY6&gt;=1,1,"")</f>
        <v>1</v>
      </c>
      <c r="DY6" s="253">
        <v>15</v>
      </c>
      <c r="DZ6" s="256" t="s">
        <v>422</v>
      </c>
      <c r="EA6" s="253">
        <f>IF(AND(DE6&gt;0,DY6&gt;=1),MIN(INT(DY6)*2,150),0)</f>
        <v>30</v>
      </c>
      <c r="EB6" s="254">
        <f t="shared" ref="EB6:EB10" si="10">IF(OR(EA6&gt;0,DW6&gt;0),MIN(EA6+DW6,150),0)</f>
        <v>30</v>
      </c>
      <c r="EC6" s="254">
        <f>MIN(AA6,EB6)</f>
        <v>30</v>
      </c>
      <c r="ED6" s="253">
        <f>IF(OR(EE6=1,EF6=1),1,"")</f>
        <v>1</v>
      </c>
      <c r="EE6" s="253">
        <v>1</v>
      </c>
      <c r="EF6" s="253"/>
      <c r="EG6" s="254">
        <f>IF(AND(DE6&gt;0,ED6=1,【様式第６号】事業報告書兼チェックシート!B60=""),100,0)</f>
        <v>100</v>
      </c>
      <c r="EH6" s="254">
        <f>MIN(AH6,EG6)</f>
        <v>100</v>
      </c>
      <c r="EI6" s="253">
        <f>IF(OR(EJ6=1,EK6=1),1,"")</f>
        <v>1</v>
      </c>
      <c r="EJ6" s="253">
        <v>1</v>
      </c>
      <c r="EK6" s="253"/>
      <c r="EL6" s="254">
        <f t="shared" ref="EL6:EL11" si="11">IF(AND(DE6&gt;0,ED6=1,EI6=1),100,0)</f>
        <v>100</v>
      </c>
      <c r="EM6" s="254">
        <f>MIN(AL6,EL6)</f>
        <v>100</v>
      </c>
      <c r="EN6" s="253">
        <f>IF(EV6&gt;=4,1,"")</f>
        <v>1</v>
      </c>
      <c r="EO6" s="253"/>
      <c r="EP6" s="253"/>
      <c r="EQ6" s="253"/>
      <c r="ER6" s="253">
        <v>2</v>
      </c>
      <c r="ES6" s="253"/>
      <c r="ET6" s="253">
        <v>1</v>
      </c>
      <c r="EU6" s="253">
        <v>1</v>
      </c>
      <c r="EV6" s="253">
        <f>SUM(EO6:EU6)</f>
        <v>4</v>
      </c>
      <c r="EW6" s="254">
        <f>IF(EV6&gt;=4,200,0)</f>
        <v>200</v>
      </c>
      <c r="EX6" s="254">
        <f>MIN(AV6,EW6)</f>
        <v>200</v>
      </c>
      <c r="EY6" s="256" t="s">
        <v>414</v>
      </c>
      <c r="EZ6" s="256"/>
      <c r="FA6" s="256"/>
      <c r="FB6" s="256"/>
      <c r="FC6" s="256" t="s">
        <v>423</v>
      </c>
      <c r="FD6" s="254">
        <f>IF(D6="新築",MIN(1500,CG6,MIN(DF6+DK6+DT6+EC6+EH6+EM6+EX6,1000)),0)</f>
        <v>870</v>
      </c>
      <c r="FE6" s="254">
        <f>AY6-FD6</f>
        <v>42</v>
      </c>
      <c r="FF6" s="256"/>
      <c r="FG6" s="264"/>
      <c r="FH6" s="264"/>
      <c r="FI6" s="256"/>
      <c r="FJ6" s="256"/>
      <c r="FK6" s="254">
        <f>MIN(ROUNDDOWN(FG6,1)*20+INT(FI6)*2,250)</f>
        <v>0</v>
      </c>
      <c r="FL6" s="254">
        <f>MIN(BC6,FK6)</f>
        <v>0</v>
      </c>
      <c r="FM6" s="253" t="str">
        <f>IF(OR(FN6=1,FO6=1),1,"")</f>
        <v/>
      </c>
      <c r="FN6" s="256"/>
      <c r="FO6" s="256"/>
      <c r="FP6" s="254" t="e">
        <f>IF(AND(FK6&gt;0,FM6=1,#REF!=""),100,0)</f>
        <v>#REF!</v>
      </c>
      <c r="FQ6" s="254" t="e">
        <f>MIN(BG6,FP6)</f>
        <v>#REF!</v>
      </c>
      <c r="FR6" s="253" t="str">
        <f>IF(OR(FS6=1,FT6=1,FU6=1),1,"")</f>
        <v/>
      </c>
      <c r="FS6" s="256"/>
      <c r="FT6" s="256"/>
      <c r="FU6" s="256"/>
      <c r="FV6" s="254">
        <f>IF(AND(FK6&gt;0,FR6=1),100,IF(AND(FK6&gt;0,FU6=1),100,0))</f>
        <v>0</v>
      </c>
      <c r="FW6" s="254">
        <f>MIN(BL6,FV6)</f>
        <v>0</v>
      </c>
      <c r="FX6" s="253" t="str">
        <f>IF(OR(AND(FY6&gt;=7,FZ6&gt;=7,FY6+FZ6&gt;=14),AND(FY6&gt;=7,GA6&gt;=3,FY6+GA6&gt;=10),AND(FZ6&gt;=7,GA6&gt;=3,FZ6+GA6&gt;=10)),1,"")</f>
        <v/>
      </c>
      <c r="FY6" s="256"/>
      <c r="FZ6" s="256"/>
      <c r="GA6" s="256"/>
      <c r="GB6" s="254">
        <f>IF(AND(FX6=1,FK6&gt;0),MIN(150,ROUNDDOWN(FY6*11+FZ6*13+GA6*19,0)),0)</f>
        <v>0</v>
      </c>
      <c r="GC6" s="254">
        <f>MIN(BQ6,GB6)</f>
        <v>0</v>
      </c>
      <c r="GD6" s="256"/>
      <c r="GE6" s="256"/>
      <c r="GF6" s="254">
        <f>IF(D6="改修",MIN(500,FL6+FQ6+FW6+GC6,INT(CL6*10/2)),0)</f>
        <v>0</v>
      </c>
      <c r="GG6" s="254">
        <f>BS6-GF6</f>
        <v>0</v>
      </c>
      <c r="GH6" s="249" t="s">
        <v>424</v>
      </c>
      <c r="GI6" s="250">
        <v>43374</v>
      </c>
      <c r="GJ6" s="250">
        <v>43378</v>
      </c>
      <c r="GK6" s="250">
        <v>43391</v>
      </c>
      <c r="GL6" s="262">
        <f>IF(D6="新築",AY6,IF(D6="改修",BS6,0))</f>
        <v>912</v>
      </c>
      <c r="GM6" s="262">
        <f t="shared" ref="GM6:GM11" si="12">IF(D6="新築",FD6,IF(D6="改修",GF6,0))</f>
        <v>870</v>
      </c>
      <c r="GN6" s="262">
        <f>GL6-GM6</f>
        <v>42</v>
      </c>
    </row>
    <row r="7" spans="2:874" s="265" customFormat="1" hidden="1" x14ac:dyDescent="0.2">
      <c r="B7" s="245" t="str">
        <f t="shared" si="0"/>
        <v>支払済</v>
      </c>
      <c r="C7" s="246" t="s">
        <v>425</v>
      </c>
      <c r="D7" s="247" t="s">
        <v>426</v>
      </c>
      <c r="E7" s="248" t="str">
        <f t="shared" ref="E7:E11" si="13">IF(D7="登録","登録",IF(D6="登録","建売購入",""))</f>
        <v/>
      </c>
      <c r="F7" s="249"/>
      <c r="G7" s="249"/>
      <c r="H7" s="250">
        <v>43191</v>
      </c>
      <c r="I7" s="251" t="s">
        <v>427</v>
      </c>
      <c r="J7" s="252" t="s">
        <v>428</v>
      </c>
      <c r="K7" s="251"/>
      <c r="L7" s="252" t="s">
        <v>429</v>
      </c>
      <c r="M7" s="252" t="s">
        <v>135</v>
      </c>
      <c r="N7" s="251" t="s">
        <v>430</v>
      </c>
      <c r="O7" s="256"/>
      <c r="P7" s="256"/>
      <c r="Q7" s="254">
        <f>IF(P7&gt;=10,150,0)</f>
        <v>0</v>
      </c>
      <c r="R7" s="253" t="str">
        <f>IF(S7&gt;=1,1,"")</f>
        <v/>
      </c>
      <c r="S7" s="256"/>
      <c r="T7" s="255">
        <f>IF(Q7=0,0,IF(S7&gt;=25,MIN(250,ROUNDDOWN(S7*10,-1)),IF(S7&gt;=20,MIN(200,ROUNDDOWN(S7*10,-1)),IF(S7&gt;=15,MIN(150,ROUNDDOWN(S7*10,-1)),MIN(100,ROUNDDOWN(S7*10,-1))))))</f>
        <v>0</v>
      </c>
      <c r="U7" s="253" t="str">
        <f>IF(V7&gt;=1,1,"")</f>
        <v/>
      </c>
      <c r="V7" s="256"/>
      <c r="W7" s="255">
        <f>IF(AND(Q7&gt;0,V7&gt;=1),MIN(INT(V7)*20,200),0)</f>
        <v>0</v>
      </c>
      <c r="X7" s="253" t="str">
        <f>IF(Y7&gt;=1,1,"")</f>
        <v/>
      </c>
      <c r="Y7" s="256"/>
      <c r="Z7" s="253">
        <f>IF(Y7&gt;=1,50,0)</f>
        <v>0</v>
      </c>
      <c r="AA7" s="254">
        <f t="shared" si="1"/>
        <v>0</v>
      </c>
      <c r="AB7" s="253" t="str">
        <f>IF(AC7&gt;=1,1,"")</f>
        <v/>
      </c>
      <c r="AC7" s="256"/>
      <c r="AD7" s="253">
        <f t="shared" si="2"/>
        <v>0</v>
      </c>
      <c r="AE7" s="253" t="str">
        <f>IF(OR(AF7=1,AG7=1),1,"")</f>
        <v/>
      </c>
      <c r="AF7" s="256"/>
      <c r="AG7" s="256"/>
      <c r="AH7" s="254">
        <f>IF(AND(Q7&gt;0,AE7=1,【様式第６号】事業報告書兼チェックシート!B61=""),100,0)</f>
        <v>0</v>
      </c>
      <c r="AI7" s="253" t="str">
        <f>IF(OR(AJ7=1,AK7=1),1,"")</f>
        <v/>
      </c>
      <c r="AJ7" s="256"/>
      <c r="AK7" s="256"/>
      <c r="AL7" s="254">
        <f t="shared" si="3"/>
        <v>0</v>
      </c>
      <c r="AM7" s="253" t="str">
        <f>IF(AU7&gt;=4,1,"")</f>
        <v/>
      </c>
      <c r="AN7" s="256"/>
      <c r="AO7" s="256"/>
      <c r="AP7" s="256"/>
      <c r="AQ7" s="256"/>
      <c r="AR7" s="256"/>
      <c r="AS7" s="256"/>
      <c r="AT7" s="256"/>
      <c r="AU7" s="253">
        <f>SUM(AN7:AT7)</f>
        <v>0</v>
      </c>
      <c r="AV7" s="254">
        <f>IF(AU7&gt;=4,200,0)</f>
        <v>0</v>
      </c>
      <c r="AW7" s="256"/>
      <c r="AX7" s="256"/>
      <c r="AY7" s="254">
        <f t="shared" si="4"/>
        <v>0</v>
      </c>
      <c r="AZ7" s="256">
        <v>5</v>
      </c>
      <c r="BA7" s="257">
        <v>3</v>
      </c>
      <c r="BB7" s="256">
        <v>10</v>
      </c>
      <c r="BC7" s="254">
        <f>MIN(ROUNDDOWN(BA7,1)*20+INT(BB7)*2,250)</f>
        <v>80</v>
      </c>
      <c r="BD7" s="253">
        <f>IF(OR(BE7=1,BF7=1),1,"")</f>
        <v>1</v>
      </c>
      <c r="BE7" s="256">
        <v>1</v>
      </c>
      <c r="BF7" s="256"/>
      <c r="BG7" s="254" t="e">
        <f>IF(AND(BC7&gt;0,BD7=1,#REF!=""),100,0)</f>
        <v>#REF!</v>
      </c>
      <c r="BH7" s="253" t="str">
        <f>IF(OR(BI7=1,BJ7=1,BK7=1),1,"")</f>
        <v/>
      </c>
      <c r="BI7" s="256"/>
      <c r="BJ7" s="256"/>
      <c r="BK7" s="256"/>
      <c r="BL7" s="254">
        <f>IF(AND(BC7&gt;0,BH7=1),100,IF(AND(BC7&gt;0,BK7=1),100,0))</f>
        <v>0</v>
      </c>
      <c r="BM7" s="253">
        <f>IF(OR(AND(BN7&gt;=7,BO7&gt;=7,BN7+BO7&gt;=14),AND(BN7&gt;=7,BP7&gt;=3,BN7+BP7&gt;=10),AND(BO7&gt;=7,BP7&gt;=3,BO7+BP7&gt;=10)),1,"")</f>
        <v>1</v>
      </c>
      <c r="BN7" s="256">
        <v>7</v>
      </c>
      <c r="BO7" s="256"/>
      <c r="BP7" s="256">
        <v>3</v>
      </c>
      <c r="BQ7" s="254">
        <f>IF(AND(BM7=1,BC7&gt;0),MIN(150,ROUNDDOWN(BN7*11+BO7*13+BP7*19,0)),0)</f>
        <v>134</v>
      </c>
      <c r="BR7" s="256"/>
      <c r="BS7" s="254" t="e">
        <f t="shared" si="5"/>
        <v>#REF!</v>
      </c>
      <c r="BT7" s="258"/>
      <c r="BU7" s="259" t="s">
        <v>8</v>
      </c>
      <c r="BV7" s="260"/>
      <c r="BW7" s="259" t="s">
        <v>416</v>
      </c>
      <c r="BX7" s="260"/>
      <c r="BY7" s="261" t="s">
        <v>7</v>
      </c>
      <c r="BZ7" s="258"/>
      <c r="CA7" s="259" t="s">
        <v>8</v>
      </c>
      <c r="CB7" s="260"/>
      <c r="CC7" s="259" t="s">
        <v>416</v>
      </c>
      <c r="CD7" s="260"/>
      <c r="CE7" s="261" t="s">
        <v>7</v>
      </c>
      <c r="CF7" s="250">
        <v>43205</v>
      </c>
      <c r="CG7" s="262" t="e">
        <f t="shared" ref="CG7:CG11" si="14">AY7+BS7</f>
        <v>#REF!</v>
      </c>
      <c r="CH7" s="251" t="s">
        <v>417</v>
      </c>
      <c r="CI7" s="251" t="s">
        <v>418</v>
      </c>
      <c r="CJ7" s="247" t="s">
        <v>431</v>
      </c>
      <c r="CK7" s="251">
        <v>200</v>
      </c>
      <c r="CL7" s="263">
        <v>300</v>
      </c>
      <c r="CM7" s="252" t="s">
        <v>432</v>
      </c>
      <c r="CN7" s="250"/>
      <c r="CO7" s="249"/>
      <c r="CP7" s="249"/>
      <c r="CQ7" s="250"/>
      <c r="CR7" s="250"/>
      <c r="CS7" s="249"/>
      <c r="CT7" s="249"/>
      <c r="CU7" s="249"/>
      <c r="CV7" s="249"/>
      <c r="CW7" s="249"/>
      <c r="CX7" s="249"/>
      <c r="CY7" s="249"/>
      <c r="CZ7"/>
      <c r="DA7" s="249"/>
      <c r="DB7" s="256"/>
      <c r="DC7" s="256"/>
      <c r="DD7" s="256"/>
      <c r="DE7" s="254">
        <f t="shared" si="6"/>
        <v>0</v>
      </c>
      <c r="DF7" s="254">
        <f t="shared" si="7"/>
        <v>0</v>
      </c>
      <c r="DG7" s="253" t="str">
        <f t="shared" ref="DG7:DG10" si="15">IF(DH7&gt;=1,1,"")</f>
        <v/>
      </c>
      <c r="DH7" s="256"/>
      <c r="DI7" s="256"/>
      <c r="DJ7" s="255">
        <f t="shared" ref="DJ7:DJ10" si="16">IF(DE7=0,0,IF(DH7&gt;=25,MIN(250,ROUNDDOWN(DH7*10,-1)),IF(DH7&gt;=20,MIN(200,ROUNDDOWN(DH7*10,-1)),IF(DH7&gt;=15,MIN(150,ROUNDDOWN(DH7*10,-1)),MIN(100,ROUNDDOWN(DH7*10,-1))))))</f>
        <v>0</v>
      </c>
      <c r="DK7" s="254">
        <f t="shared" si="8"/>
        <v>0</v>
      </c>
      <c r="DL7" s="253" t="str">
        <f t="shared" ref="DL7:DL10" si="17">IF(DM7&gt;=1,1,"")</f>
        <v/>
      </c>
      <c r="DM7" s="256"/>
      <c r="DN7" s="256"/>
      <c r="DO7" s="256"/>
      <c r="DP7" s="256"/>
      <c r="DQ7" s="256"/>
      <c r="DR7" s="256"/>
      <c r="DS7" s="255">
        <f>IF(AND(DE7&gt;0,DM7&gt;=1),MIN(INT(DM7)*20,200),0)</f>
        <v>0</v>
      </c>
      <c r="DT7" s="254">
        <f>MIN(W7,DS7)</f>
        <v>0</v>
      </c>
      <c r="DU7" s="253" t="str">
        <f t="shared" ref="DU7:DU11" si="18">IF(DV7&gt;=1,1,"")</f>
        <v/>
      </c>
      <c r="DV7" s="256"/>
      <c r="DW7" s="253">
        <f t="shared" si="9"/>
        <v>0</v>
      </c>
      <c r="DX7" s="253" t="str">
        <f t="shared" ref="DX7:DX10" si="19">IF(DY7&gt;=1,1,"")</f>
        <v/>
      </c>
      <c r="DY7" s="256"/>
      <c r="DZ7" s="256"/>
      <c r="EA7" s="253">
        <f>IF(AND(DE7&gt;0,DY7&gt;=1),MIN(INT(DY7)*2,150),0)</f>
        <v>0</v>
      </c>
      <c r="EB7" s="254">
        <f t="shared" si="10"/>
        <v>0</v>
      </c>
      <c r="EC7" s="254">
        <f>MIN(AA7,EB7)</f>
        <v>0</v>
      </c>
      <c r="ED7" s="253" t="str">
        <f t="shared" ref="ED7:ED11" si="20">IF(OR(EE7=1,EF7=1),1,"")</f>
        <v/>
      </c>
      <c r="EE7" s="256"/>
      <c r="EF7" s="256"/>
      <c r="EG7" s="254">
        <f>IF(AND(DE7&gt;0,ED7=1,【様式第６号】事業報告書兼チェックシート!B61=""),100,0)</f>
        <v>0</v>
      </c>
      <c r="EH7" s="254">
        <f>MIN(AH7,EG7)</f>
        <v>0</v>
      </c>
      <c r="EI7" s="253" t="str">
        <f t="shared" ref="EI7:EI11" si="21">IF(OR(EJ7=1,EK7=1),1,"")</f>
        <v/>
      </c>
      <c r="EJ7" s="256"/>
      <c r="EK7" s="256"/>
      <c r="EL7" s="254">
        <f t="shared" si="11"/>
        <v>0</v>
      </c>
      <c r="EM7" s="254">
        <f>MIN(AL7,EL7)</f>
        <v>0</v>
      </c>
      <c r="EN7" s="253" t="str">
        <f t="shared" ref="EN7:EN11" si="22">IF(EV7&gt;=4,1,"")</f>
        <v/>
      </c>
      <c r="EO7" s="256"/>
      <c r="EP7" s="256"/>
      <c r="EQ7" s="256"/>
      <c r="ER7" s="256"/>
      <c r="ES7" s="256"/>
      <c r="ET7" s="256"/>
      <c r="EU7" s="256"/>
      <c r="EV7" s="253">
        <f t="shared" ref="EV7:EV11" si="23">SUM(EO7:EU7)</f>
        <v>0</v>
      </c>
      <c r="EW7" s="254">
        <f t="shared" ref="EW7:EW11" si="24">IF(EV7&gt;=4,200,0)</f>
        <v>0</v>
      </c>
      <c r="EX7" s="254">
        <f>MIN(AV7,EW7)</f>
        <v>0</v>
      </c>
      <c r="EY7" s="256"/>
      <c r="EZ7" s="256"/>
      <c r="FA7" s="256"/>
      <c r="FB7" s="256"/>
      <c r="FC7" s="256"/>
      <c r="FD7" s="254">
        <f>IF(D7="新築",MIN(1500,CG7,MIN(DF7+DK7+DT7+EC7+EH7+EM7+EX7,1000)),0)</f>
        <v>0</v>
      </c>
      <c r="FE7" s="254">
        <f>AY7-FD7</f>
        <v>0</v>
      </c>
      <c r="FF7" s="256">
        <v>5</v>
      </c>
      <c r="FG7" s="264">
        <v>3</v>
      </c>
      <c r="FH7" s="264" t="s">
        <v>433</v>
      </c>
      <c r="FI7" s="256">
        <v>8</v>
      </c>
      <c r="FJ7" s="256" t="s">
        <v>434</v>
      </c>
      <c r="FK7" s="254">
        <f t="shared" ref="FK7:FK10" si="25">MIN(ROUNDDOWN(FG7,1)*20+INT(FI7)*2,250)</f>
        <v>76</v>
      </c>
      <c r="FL7" s="254">
        <f>MIN(BC7,FK7)</f>
        <v>76</v>
      </c>
      <c r="FM7" s="253">
        <f t="shared" ref="FM7:FM10" si="26">IF(OR(FN7=1,FO7=1),1,"")</f>
        <v>1</v>
      </c>
      <c r="FN7" s="256">
        <v>1</v>
      </c>
      <c r="FO7" s="256"/>
      <c r="FP7" s="254" t="e">
        <f>IF(AND(FK7&gt;0,FM7=1,#REF!=""),100,0)</f>
        <v>#REF!</v>
      </c>
      <c r="FQ7" s="254" t="e">
        <f>MIN(BG7,FP7)</f>
        <v>#REF!</v>
      </c>
      <c r="FR7" s="253" t="str">
        <f t="shared" ref="FR7:FR10" si="27">IF(OR(FS7=1,FT7=1,FU7=1),1,"")</f>
        <v/>
      </c>
      <c r="FS7" s="256"/>
      <c r="FT7" s="256"/>
      <c r="FU7" s="256"/>
      <c r="FV7" s="254">
        <f t="shared" ref="FV7:FV10" si="28">IF(AND(FK7&gt;0,FR7=1),100,IF(AND(FK7&gt;0,FU7=1),100,0))</f>
        <v>0</v>
      </c>
      <c r="FW7" s="254">
        <f>MIN(BL7,FV7)</f>
        <v>0</v>
      </c>
      <c r="FX7" s="253">
        <f t="shared" ref="FX7:FX10" si="29">IF(OR(AND(FY7&gt;=7,FZ7&gt;=7,FY7+FZ7&gt;=14),AND(FY7&gt;=7,GA7&gt;=3,FY7+GA7&gt;=10),AND(FZ7&gt;=7,GA7&gt;=3,FZ7+GA7&gt;=10)),1,"")</f>
        <v>1</v>
      </c>
      <c r="FY7" s="256">
        <v>7</v>
      </c>
      <c r="FZ7" s="256"/>
      <c r="GA7" s="256">
        <v>3</v>
      </c>
      <c r="GB7" s="254">
        <f t="shared" ref="GB7:GB10" si="30">IF(AND(FX7=1,FK7&gt;0),MIN(150,ROUNDDOWN(FY7*11+FZ7*13+GA7*19,0)),0)</f>
        <v>134</v>
      </c>
      <c r="GC7" s="254">
        <f>MIN(BQ7,GB7)</f>
        <v>134</v>
      </c>
      <c r="GD7" s="256"/>
      <c r="GE7" s="256" t="s">
        <v>435</v>
      </c>
      <c r="GF7" s="254" t="e">
        <f>IF(D7="改修",MIN(500,FL7+FQ7+FW7+GC7,INT(CL7*10/2)),0)</f>
        <v>#REF!</v>
      </c>
      <c r="GG7" s="254" t="e">
        <f>BS7-GF7</f>
        <v>#REF!</v>
      </c>
      <c r="GH7" s="249" t="s">
        <v>424</v>
      </c>
      <c r="GI7" s="250">
        <v>43332</v>
      </c>
      <c r="GJ7" s="250">
        <v>43343</v>
      </c>
      <c r="GK7" s="250">
        <v>43358</v>
      </c>
      <c r="GL7" s="262" t="e">
        <f>IF(D7="新築",AY7,IF(D7="改修",BS7,0))</f>
        <v>#REF!</v>
      </c>
      <c r="GM7" s="262" t="e">
        <f t="shared" si="12"/>
        <v>#REF!</v>
      </c>
      <c r="GN7" s="262" t="e">
        <f t="shared" ref="GN7:GN11" si="31">GL7-GM7</f>
        <v>#REF!</v>
      </c>
      <c r="GO7" s="114"/>
      <c r="GP7" s="114"/>
      <c r="GQ7" s="114"/>
      <c r="GR7" s="114"/>
      <c r="GS7" s="114"/>
      <c r="GT7" s="114"/>
      <c r="GU7" s="114"/>
      <c r="GV7" s="114"/>
      <c r="GW7" s="114"/>
      <c r="GX7" s="114"/>
      <c r="GY7" s="114"/>
      <c r="GZ7" s="114"/>
      <c r="HA7" s="114"/>
      <c r="HB7" s="114"/>
      <c r="HC7" s="114"/>
      <c r="HD7" s="114"/>
      <c r="HE7" s="114"/>
      <c r="HF7" s="114"/>
      <c r="HG7" s="114"/>
      <c r="HH7" s="114"/>
      <c r="HI7" s="114"/>
      <c r="HJ7" s="114"/>
      <c r="HK7" s="114"/>
      <c r="HL7" s="114"/>
      <c r="HM7" s="114"/>
      <c r="HN7" s="114"/>
      <c r="HO7" s="114"/>
      <c r="HP7" s="114"/>
      <c r="HQ7" s="114"/>
      <c r="HR7" s="114"/>
      <c r="HS7" s="114"/>
      <c r="HT7" s="114"/>
      <c r="HU7" s="114"/>
      <c r="HV7" s="114"/>
      <c r="HW7" s="114"/>
      <c r="HX7" s="114"/>
      <c r="HY7" s="114"/>
      <c r="HZ7" s="114"/>
      <c r="IA7" s="114"/>
      <c r="IB7" s="114"/>
      <c r="IC7" s="114"/>
      <c r="ID7" s="114"/>
      <c r="IE7" s="114"/>
      <c r="IF7" s="114"/>
      <c r="IG7" s="114"/>
      <c r="IH7" s="114"/>
      <c r="II7" s="114"/>
      <c r="IJ7" s="114"/>
      <c r="IK7" s="114"/>
      <c r="IL7" s="114"/>
      <c r="IM7" s="114"/>
      <c r="IN7" s="114"/>
      <c r="IO7" s="114"/>
      <c r="IP7" s="114"/>
      <c r="IQ7" s="114"/>
      <c r="IR7" s="114"/>
      <c r="IS7" s="114"/>
      <c r="IT7" s="114"/>
      <c r="IU7" s="114"/>
      <c r="IV7" s="114"/>
      <c r="IW7" s="114"/>
      <c r="IX7" s="114"/>
      <c r="IY7" s="114"/>
      <c r="IZ7" s="114"/>
      <c r="JA7" s="114"/>
      <c r="JB7" s="114"/>
      <c r="JC7" s="114"/>
      <c r="JD7" s="114"/>
      <c r="JE7" s="114"/>
      <c r="JF7" s="114"/>
      <c r="JG7" s="114"/>
      <c r="JH7" s="114"/>
      <c r="JI7" s="114"/>
      <c r="JJ7" s="114"/>
      <c r="JK7" s="114"/>
      <c r="JL7" s="114"/>
      <c r="JM7" s="114"/>
      <c r="JN7" s="114"/>
      <c r="JO7" s="114"/>
      <c r="JP7" s="114"/>
      <c r="JQ7" s="114"/>
      <c r="JR7" s="114"/>
      <c r="JS7" s="114"/>
      <c r="JT7" s="114"/>
      <c r="JU7" s="114"/>
      <c r="JV7" s="114"/>
      <c r="JW7" s="114"/>
      <c r="JX7" s="114"/>
      <c r="JY7" s="114"/>
      <c r="JZ7" s="114"/>
      <c r="KA7" s="114"/>
      <c r="KB7" s="114"/>
      <c r="KC7" s="114"/>
      <c r="KD7" s="114"/>
      <c r="KE7" s="114"/>
      <c r="KF7" s="114"/>
      <c r="KG7" s="114"/>
      <c r="KH7" s="114"/>
      <c r="KI7" s="114"/>
      <c r="KJ7" s="114"/>
      <c r="KK7" s="114"/>
      <c r="KL7" s="114"/>
      <c r="KM7" s="114"/>
      <c r="KN7" s="114"/>
      <c r="KO7" s="114"/>
      <c r="KP7" s="114"/>
      <c r="KQ7" s="114"/>
      <c r="KR7" s="114"/>
      <c r="KS7" s="114"/>
      <c r="KT7" s="114"/>
      <c r="KU7" s="114"/>
      <c r="KV7" s="114"/>
      <c r="KW7" s="114"/>
      <c r="KX7" s="114"/>
      <c r="KY7" s="114"/>
      <c r="KZ7" s="114"/>
      <c r="LA7" s="114"/>
      <c r="LB7" s="114"/>
      <c r="LC7" s="114"/>
      <c r="LD7" s="114"/>
      <c r="LE7" s="114"/>
      <c r="LF7" s="114"/>
      <c r="LG7" s="114"/>
      <c r="LH7" s="114"/>
      <c r="LI7" s="114"/>
      <c r="LJ7" s="114"/>
      <c r="LK7" s="114"/>
      <c r="LL7" s="114"/>
      <c r="LM7" s="114"/>
      <c r="LN7" s="114"/>
      <c r="LO7" s="114"/>
      <c r="LP7" s="114"/>
      <c r="LQ7" s="114"/>
      <c r="LR7" s="114"/>
      <c r="LS7" s="114"/>
      <c r="LT7" s="114"/>
      <c r="LU7" s="114"/>
      <c r="LV7" s="114"/>
      <c r="LW7" s="114"/>
      <c r="LX7" s="114"/>
      <c r="LY7" s="114"/>
      <c r="LZ7" s="114"/>
      <c r="MA7" s="114"/>
      <c r="MB7" s="114"/>
      <c r="MC7" s="114"/>
      <c r="MD7" s="114"/>
      <c r="ME7" s="114"/>
      <c r="MF7" s="114"/>
      <c r="MG7" s="114"/>
      <c r="MH7" s="114"/>
      <c r="MI7" s="114"/>
      <c r="MJ7" s="114"/>
      <c r="MK7" s="114"/>
      <c r="ML7" s="114"/>
      <c r="MM7" s="114"/>
      <c r="MN7" s="114"/>
      <c r="MO7" s="114"/>
      <c r="MP7" s="114"/>
      <c r="MQ7" s="114"/>
      <c r="MR7" s="114"/>
      <c r="MS7" s="114"/>
      <c r="MT7" s="114"/>
      <c r="MU7" s="114"/>
      <c r="MV7" s="114"/>
      <c r="MW7" s="114"/>
      <c r="MX7" s="114"/>
      <c r="MY7" s="114"/>
      <c r="MZ7" s="114"/>
      <c r="NA7" s="114"/>
      <c r="NB7" s="114"/>
      <c r="NC7" s="114"/>
      <c r="ND7" s="114"/>
      <c r="NE7" s="114"/>
      <c r="NF7" s="114"/>
      <c r="NG7" s="114"/>
      <c r="NH7" s="114"/>
      <c r="NI7" s="114"/>
      <c r="NJ7" s="114"/>
      <c r="NK7" s="114"/>
      <c r="NL7" s="114"/>
      <c r="NM7" s="114"/>
      <c r="NN7" s="114"/>
      <c r="NO7" s="114"/>
      <c r="NP7" s="114"/>
      <c r="NQ7" s="114"/>
      <c r="NR7" s="114"/>
      <c r="NS7" s="114"/>
      <c r="NT7" s="114"/>
      <c r="NU7" s="114"/>
      <c r="NV7" s="114"/>
      <c r="NW7" s="114"/>
      <c r="NX7" s="114"/>
      <c r="NY7" s="114"/>
      <c r="NZ7" s="114"/>
      <c r="OA7" s="114"/>
      <c r="OB7" s="114"/>
      <c r="OC7" s="114"/>
      <c r="OD7" s="114"/>
      <c r="OE7" s="114"/>
      <c r="OF7" s="114"/>
      <c r="OG7" s="114"/>
      <c r="OH7" s="114"/>
      <c r="OI7" s="114"/>
      <c r="OJ7" s="114"/>
      <c r="OK7" s="114"/>
      <c r="OL7" s="114"/>
      <c r="OM7" s="114"/>
      <c r="ON7" s="114"/>
      <c r="OO7" s="114"/>
      <c r="OP7" s="114"/>
      <c r="OQ7" s="114"/>
      <c r="OR7" s="114"/>
      <c r="OS7" s="114"/>
      <c r="OT7" s="114"/>
      <c r="OU7" s="114"/>
      <c r="OV7" s="114"/>
      <c r="OW7" s="114"/>
      <c r="OX7" s="114"/>
      <c r="OY7" s="114"/>
      <c r="OZ7" s="114"/>
      <c r="PA7" s="114"/>
      <c r="PB7" s="114"/>
      <c r="PC7" s="114"/>
      <c r="PD7" s="114"/>
      <c r="PE7" s="114"/>
      <c r="PF7" s="114"/>
      <c r="PG7" s="114"/>
      <c r="PH7" s="114"/>
      <c r="PI7" s="114"/>
      <c r="PJ7" s="114"/>
      <c r="PK7" s="114"/>
      <c r="PL7" s="114"/>
      <c r="PM7" s="114"/>
      <c r="PN7" s="114"/>
      <c r="PO7" s="114"/>
      <c r="PP7" s="114"/>
      <c r="PQ7" s="114"/>
      <c r="PR7" s="114"/>
      <c r="PS7" s="114"/>
      <c r="PT7" s="114"/>
      <c r="PU7" s="114"/>
      <c r="PV7" s="114"/>
      <c r="PW7" s="114"/>
      <c r="PX7" s="114"/>
      <c r="PY7" s="114"/>
      <c r="PZ7" s="114"/>
      <c r="QA7" s="114"/>
      <c r="QB7" s="114"/>
      <c r="QC7" s="114"/>
      <c r="QD7" s="114"/>
      <c r="QE7" s="114"/>
      <c r="QF7" s="114"/>
      <c r="QG7" s="114"/>
      <c r="QH7" s="114"/>
      <c r="QI7" s="114"/>
      <c r="QJ7" s="114"/>
      <c r="QK7" s="114"/>
      <c r="QL7" s="114"/>
      <c r="QM7" s="114"/>
      <c r="QN7" s="114"/>
      <c r="QO7" s="114"/>
      <c r="QP7" s="114"/>
      <c r="QQ7" s="114"/>
      <c r="QR7" s="114"/>
      <c r="QS7" s="114"/>
      <c r="QT7" s="114"/>
      <c r="QU7" s="114"/>
      <c r="QV7" s="114"/>
      <c r="QW7" s="114"/>
      <c r="QX7" s="114"/>
      <c r="QY7" s="114"/>
      <c r="QZ7" s="114"/>
      <c r="RA7" s="114"/>
      <c r="RB7" s="114"/>
      <c r="RC7" s="114"/>
      <c r="RD7" s="114"/>
      <c r="RE7" s="114"/>
      <c r="RF7" s="114"/>
      <c r="RG7" s="114"/>
      <c r="RH7" s="114"/>
      <c r="RI7" s="114"/>
      <c r="RJ7" s="114"/>
      <c r="RK7" s="114"/>
      <c r="RL7" s="114"/>
      <c r="RM7" s="114"/>
      <c r="RN7" s="114"/>
      <c r="RO7" s="114"/>
      <c r="RP7" s="114"/>
      <c r="RQ7" s="114"/>
      <c r="RR7" s="114"/>
      <c r="RS7" s="114"/>
      <c r="RT7" s="114"/>
      <c r="RU7" s="114"/>
      <c r="RV7" s="114"/>
      <c r="RW7" s="114"/>
      <c r="RX7" s="114"/>
      <c r="RY7" s="114"/>
      <c r="RZ7" s="114"/>
      <c r="SA7" s="114"/>
      <c r="SB7" s="114"/>
      <c r="SC7" s="114"/>
      <c r="SD7" s="114"/>
      <c r="SE7" s="114"/>
      <c r="SF7" s="114"/>
      <c r="SG7" s="114"/>
      <c r="SH7" s="114"/>
      <c r="SI7" s="114"/>
      <c r="SJ7" s="114"/>
      <c r="SK7" s="114"/>
      <c r="SL7" s="114"/>
      <c r="SM7" s="114"/>
      <c r="SN7" s="114"/>
      <c r="SO7" s="114"/>
      <c r="SP7" s="114"/>
      <c r="SQ7" s="114"/>
      <c r="SR7" s="114"/>
      <c r="SS7" s="114"/>
      <c r="ST7" s="114"/>
      <c r="SU7" s="114"/>
      <c r="SV7" s="114"/>
      <c r="SW7" s="114"/>
      <c r="SX7" s="114"/>
      <c r="SY7" s="114"/>
      <c r="SZ7" s="114"/>
      <c r="TA7" s="114"/>
      <c r="TB7" s="114"/>
      <c r="TC7" s="114"/>
      <c r="TD7" s="114"/>
      <c r="TE7" s="114"/>
      <c r="TF7" s="114"/>
      <c r="TG7" s="114"/>
      <c r="TH7" s="114"/>
      <c r="TI7" s="114"/>
      <c r="TJ7" s="114"/>
      <c r="TK7" s="114"/>
      <c r="TL7" s="114"/>
      <c r="TM7" s="114"/>
      <c r="TN7" s="114"/>
      <c r="TO7" s="114"/>
      <c r="TP7" s="114"/>
      <c r="TQ7" s="114"/>
      <c r="TR7" s="114"/>
      <c r="TS7" s="114"/>
      <c r="TT7" s="114"/>
      <c r="TU7" s="114"/>
      <c r="TV7" s="114"/>
      <c r="TW7" s="114"/>
      <c r="TX7" s="114"/>
      <c r="TY7" s="114"/>
      <c r="TZ7" s="114"/>
      <c r="UA7" s="114"/>
      <c r="UB7" s="114"/>
      <c r="UC7" s="114"/>
      <c r="UD7" s="114"/>
      <c r="UE7" s="114"/>
      <c r="UF7" s="114"/>
      <c r="UG7" s="114"/>
      <c r="UH7" s="114"/>
      <c r="UI7" s="114"/>
      <c r="UJ7" s="114"/>
      <c r="UK7" s="114"/>
      <c r="UL7" s="114"/>
      <c r="UM7" s="114"/>
      <c r="UN7" s="114"/>
      <c r="UO7" s="114"/>
      <c r="UP7" s="114"/>
      <c r="UQ7" s="114"/>
      <c r="UR7" s="114"/>
      <c r="US7" s="114"/>
      <c r="UT7" s="114"/>
      <c r="UU7" s="114"/>
      <c r="UV7" s="114"/>
      <c r="UW7" s="114"/>
      <c r="UX7" s="114"/>
      <c r="UY7" s="114"/>
      <c r="UZ7" s="114"/>
      <c r="VA7" s="114"/>
      <c r="VB7" s="114"/>
      <c r="VC7" s="114"/>
      <c r="VD7" s="114"/>
      <c r="VE7" s="114"/>
      <c r="VF7" s="114"/>
      <c r="VG7" s="114"/>
      <c r="VH7" s="114"/>
      <c r="VI7" s="114"/>
      <c r="VJ7" s="114"/>
      <c r="VK7" s="114"/>
      <c r="VL7" s="114"/>
      <c r="VM7" s="114"/>
      <c r="VN7" s="114"/>
      <c r="VO7" s="114"/>
      <c r="VP7" s="114"/>
      <c r="VQ7" s="114"/>
      <c r="VR7" s="114"/>
      <c r="VS7" s="114"/>
      <c r="VT7" s="114"/>
      <c r="VU7" s="114"/>
      <c r="VV7" s="114"/>
      <c r="VW7" s="114"/>
      <c r="VX7" s="114"/>
      <c r="VY7" s="114"/>
      <c r="VZ7" s="114"/>
      <c r="WA7" s="114"/>
      <c r="WB7" s="114"/>
      <c r="WC7" s="114"/>
      <c r="WD7" s="114"/>
      <c r="WE7" s="114"/>
      <c r="WF7" s="114"/>
      <c r="WG7" s="114"/>
      <c r="WH7" s="114"/>
      <c r="WI7" s="114"/>
      <c r="WJ7" s="114"/>
      <c r="WK7" s="114"/>
      <c r="WL7" s="114"/>
      <c r="WM7" s="114"/>
      <c r="WN7" s="114"/>
      <c r="WO7" s="114"/>
      <c r="WP7" s="114"/>
      <c r="WQ7" s="114"/>
      <c r="WR7" s="114"/>
      <c r="WS7" s="114"/>
      <c r="WT7" s="114"/>
      <c r="WU7" s="114"/>
      <c r="WV7" s="114"/>
      <c r="WW7" s="114"/>
      <c r="WX7" s="114"/>
      <c r="WY7" s="114"/>
      <c r="WZ7" s="114"/>
      <c r="XA7" s="114"/>
      <c r="XB7" s="114"/>
      <c r="XC7" s="114"/>
      <c r="XD7" s="114"/>
      <c r="XE7" s="114"/>
      <c r="XF7" s="114"/>
      <c r="XG7" s="114"/>
      <c r="XH7" s="114"/>
      <c r="XI7" s="114"/>
      <c r="XJ7" s="114"/>
      <c r="XK7" s="114"/>
      <c r="XL7" s="114"/>
      <c r="XM7" s="114"/>
      <c r="XN7" s="114"/>
      <c r="XO7" s="114"/>
      <c r="XP7" s="114"/>
      <c r="XQ7" s="114"/>
      <c r="XR7" s="114"/>
      <c r="XS7" s="114"/>
      <c r="XT7" s="114"/>
      <c r="XU7" s="114"/>
      <c r="XV7" s="114"/>
      <c r="XW7" s="114"/>
      <c r="XX7" s="114"/>
      <c r="XY7" s="114"/>
      <c r="XZ7" s="114"/>
      <c r="YA7" s="114"/>
      <c r="YB7" s="114"/>
      <c r="YC7" s="114"/>
      <c r="YD7" s="114"/>
      <c r="YE7" s="114"/>
      <c r="YF7" s="114"/>
      <c r="YG7" s="114"/>
      <c r="YH7" s="114"/>
      <c r="YI7" s="114"/>
      <c r="YJ7" s="114"/>
      <c r="YK7" s="114"/>
      <c r="YL7" s="114"/>
      <c r="YM7" s="114"/>
      <c r="YN7" s="114"/>
      <c r="YO7" s="114"/>
      <c r="YP7" s="114"/>
      <c r="YQ7" s="114"/>
      <c r="YR7" s="114"/>
      <c r="YS7" s="114"/>
      <c r="YT7" s="114"/>
      <c r="YU7" s="114"/>
      <c r="YV7" s="114"/>
      <c r="YW7" s="114"/>
      <c r="YX7" s="114"/>
      <c r="YY7" s="114"/>
      <c r="YZ7" s="114"/>
      <c r="ZA7" s="114"/>
      <c r="ZB7" s="114"/>
      <c r="ZC7" s="114"/>
      <c r="ZD7" s="114"/>
      <c r="ZE7" s="114"/>
      <c r="ZF7" s="114"/>
      <c r="ZG7" s="114"/>
      <c r="ZH7" s="114"/>
      <c r="ZI7" s="114"/>
      <c r="ZJ7" s="114"/>
      <c r="ZK7" s="114"/>
      <c r="ZL7" s="114"/>
      <c r="ZM7" s="114"/>
      <c r="ZN7" s="114"/>
      <c r="ZO7" s="114"/>
      <c r="ZP7" s="114"/>
      <c r="ZQ7" s="114"/>
      <c r="ZR7" s="114"/>
      <c r="ZS7" s="114"/>
      <c r="ZT7" s="114"/>
      <c r="ZU7" s="114"/>
      <c r="ZV7" s="114"/>
      <c r="ZW7" s="114"/>
      <c r="ZX7" s="114"/>
      <c r="ZY7" s="114"/>
      <c r="ZZ7" s="114"/>
      <c r="AAA7" s="114"/>
      <c r="AAB7" s="114"/>
      <c r="AAC7" s="114"/>
      <c r="AAD7" s="114"/>
      <c r="AAE7" s="114"/>
      <c r="AAF7" s="114"/>
      <c r="AAG7" s="114"/>
      <c r="AAH7" s="114"/>
      <c r="AAI7" s="114"/>
      <c r="AAJ7" s="114"/>
      <c r="AAK7" s="114"/>
      <c r="AAL7" s="114"/>
      <c r="AAM7" s="114"/>
      <c r="AAN7" s="114"/>
      <c r="AAO7" s="114"/>
      <c r="AAP7" s="114"/>
      <c r="AAQ7" s="114"/>
      <c r="AAR7" s="114"/>
      <c r="AAS7" s="114"/>
      <c r="AAT7" s="114"/>
      <c r="AAU7" s="114"/>
      <c r="AAV7" s="114"/>
      <c r="AAW7" s="114"/>
      <c r="AAX7" s="114"/>
      <c r="AAY7" s="114"/>
      <c r="AAZ7" s="114"/>
      <c r="ABA7" s="114"/>
      <c r="ABB7" s="114"/>
      <c r="ABC7" s="114"/>
      <c r="ABD7" s="114"/>
      <c r="ABE7" s="114"/>
      <c r="ABF7" s="114"/>
      <c r="ABG7" s="114"/>
      <c r="ABH7" s="114"/>
      <c r="ABI7" s="114"/>
      <c r="ABJ7" s="114"/>
      <c r="ABK7" s="114"/>
      <c r="ABL7" s="114"/>
      <c r="ABM7" s="114"/>
      <c r="ABN7" s="114"/>
      <c r="ABO7" s="114"/>
      <c r="ABP7" s="114"/>
      <c r="ABQ7" s="114"/>
      <c r="ABR7" s="114"/>
      <c r="ABS7" s="114"/>
      <c r="ABT7" s="114"/>
      <c r="ABU7" s="114"/>
      <c r="ABV7" s="114"/>
      <c r="ABW7" s="114"/>
      <c r="ABX7" s="114"/>
      <c r="ABY7" s="114"/>
      <c r="ABZ7" s="114"/>
      <c r="ACA7" s="114"/>
      <c r="ACB7" s="114"/>
      <c r="ACC7" s="114"/>
      <c r="ACD7" s="114"/>
      <c r="ACE7" s="114"/>
      <c r="ACF7" s="114"/>
      <c r="ACG7" s="114"/>
      <c r="ACH7" s="114"/>
      <c r="ACI7" s="114"/>
      <c r="ACJ7" s="114"/>
      <c r="ACK7" s="114"/>
      <c r="ACL7" s="114"/>
      <c r="ACM7" s="114"/>
      <c r="ACN7" s="114"/>
      <c r="ACO7" s="114"/>
      <c r="ACP7" s="114"/>
      <c r="ACQ7" s="114"/>
      <c r="ACR7" s="114"/>
      <c r="ACS7" s="114"/>
      <c r="ACT7" s="114"/>
      <c r="ACU7" s="114"/>
      <c r="ACV7" s="114"/>
      <c r="ACW7" s="114"/>
      <c r="ACX7" s="114"/>
      <c r="ACY7" s="114"/>
      <c r="ACZ7" s="114"/>
      <c r="ADA7" s="114"/>
      <c r="ADB7" s="114"/>
      <c r="ADC7" s="114"/>
      <c r="ADD7" s="114"/>
      <c r="ADE7" s="114"/>
      <c r="ADF7" s="114"/>
      <c r="ADG7" s="114"/>
      <c r="ADH7" s="114"/>
      <c r="ADI7" s="114"/>
      <c r="ADJ7" s="114"/>
      <c r="ADK7" s="114"/>
      <c r="ADL7" s="114"/>
      <c r="ADM7" s="114"/>
      <c r="ADN7" s="114"/>
      <c r="ADO7" s="114"/>
      <c r="ADP7" s="114"/>
      <c r="ADQ7" s="114"/>
      <c r="ADR7" s="114"/>
      <c r="ADS7" s="114"/>
      <c r="ADT7" s="114"/>
      <c r="ADU7" s="114"/>
      <c r="ADV7" s="114"/>
      <c r="ADW7" s="114"/>
      <c r="ADX7" s="114"/>
      <c r="ADY7" s="114"/>
      <c r="ADZ7" s="114"/>
      <c r="AEA7" s="114"/>
      <c r="AEB7" s="114"/>
      <c r="AEC7" s="114"/>
      <c r="AED7" s="114"/>
      <c r="AEE7" s="114"/>
      <c r="AEF7" s="114"/>
      <c r="AEG7" s="114"/>
      <c r="AEH7" s="114"/>
      <c r="AEI7" s="114"/>
      <c r="AEJ7" s="114"/>
      <c r="AEK7" s="114"/>
      <c r="AEL7" s="114"/>
      <c r="AEM7" s="114"/>
      <c r="AEN7" s="114"/>
      <c r="AEO7" s="114"/>
      <c r="AEP7" s="114"/>
      <c r="AEQ7" s="114"/>
      <c r="AER7" s="114"/>
      <c r="AES7" s="114"/>
      <c r="AET7" s="114"/>
      <c r="AEU7" s="114"/>
      <c r="AEV7" s="114"/>
      <c r="AEW7" s="114"/>
      <c r="AEX7" s="114"/>
      <c r="AEY7" s="114"/>
      <c r="AEZ7" s="114"/>
      <c r="AFA7" s="114"/>
      <c r="AFB7" s="114"/>
      <c r="AFC7" s="114"/>
      <c r="AFD7" s="114"/>
      <c r="AFE7" s="114"/>
      <c r="AFF7" s="114"/>
      <c r="AFG7" s="114"/>
      <c r="AFH7" s="114"/>
      <c r="AFI7" s="114"/>
      <c r="AFJ7" s="114"/>
      <c r="AFK7" s="114"/>
      <c r="AFL7" s="114"/>
      <c r="AFM7" s="114"/>
      <c r="AFN7" s="114"/>
      <c r="AFO7" s="114"/>
      <c r="AFP7" s="114"/>
      <c r="AFQ7" s="114"/>
      <c r="AFR7" s="114"/>
      <c r="AFS7" s="114"/>
      <c r="AFT7" s="114"/>
      <c r="AFU7" s="114"/>
      <c r="AFV7" s="114"/>
      <c r="AFW7" s="114"/>
      <c r="AFX7" s="114"/>
      <c r="AFY7" s="114"/>
      <c r="AFZ7" s="114"/>
      <c r="AGA7" s="114"/>
      <c r="AGB7" s="114"/>
      <c r="AGC7" s="114"/>
      <c r="AGD7" s="114"/>
      <c r="AGE7" s="114"/>
      <c r="AGF7" s="114"/>
      <c r="AGG7" s="114"/>
      <c r="AGH7" s="114"/>
      <c r="AGI7" s="114"/>
      <c r="AGJ7" s="114"/>
      <c r="AGK7" s="114"/>
      <c r="AGL7" s="114"/>
      <c r="AGM7" s="114"/>
      <c r="AGN7" s="114"/>
      <c r="AGO7" s="114"/>
      <c r="AGP7" s="114"/>
    </row>
    <row r="8" spans="2:874" hidden="1" x14ac:dyDescent="0.2">
      <c r="B8" s="245" t="str">
        <f t="shared" si="0"/>
        <v/>
      </c>
      <c r="C8" s="246" t="s">
        <v>436</v>
      </c>
      <c r="D8" s="247" t="s">
        <v>437</v>
      </c>
      <c r="E8" s="248" t="str">
        <f t="shared" si="13"/>
        <v>登録</v>
      </c>
      <c r="F8" s="249"/>
      <c r="G8" s="249"/>
      <c r="H8" s="250">
        <v>43191</v>
      </c>
      <c r="I8" s="251" t="s">
        <v>417</v>
      </c>
      <c r="J8" s="252" t="s">
        <v>438</v>
      </c>
      <c r="K8" s="251"/>
      <c r="L8" s="252" t="s">
        <v>439</v>
      </c>
      <c r="M8" s="252" t="s">
        <v>115</v>
      </c>
      <c r="N8" s="251" t="s">
        <v>440</v>
      </c>
      <c r="O8" s="253">
        <v>25</v>
      </c>
      <c r="P8" s="253">
        <v>20</v>
      </c>
      <c r="Q8" s="254">
        <f t="shared" ref="Q8:Q10" si="32">IF(P8&gt;=10,150,0)</f>
        <v>150</v>
      </c>
      <c r="R8" s="253">
        <f t="shared" ref="R8:R10" si="33">IF(S8&gt;=1,1,"")</f>
        <v>1</v>
      </c>
      <c r="S8" s="253">
        <v>15</v>
      </c>
      <c r="T8" s="255">
        <f t="shared" ref="T8:T11" si="34">IF(Q8=0,0,IF(S8&gt;=25,MIN(250,ROUNDDOWN(S8*10,-1)),IF(S8&gt;=20,MIN(200,ROUNDDOWN(S8*10,-1)),IF(S8&gt;=15,MIN(150,ROUNDDOWN(S8*10,-1)),MIN(100,ROUNDDOWN(S8*10,-1))))))</f>
        <v>150</v>
      </c>
      <c r="U8" s="253">
        <f t="shared" ref="U8:U10" si="35">IF(V8&gt;=1,1,"")</f>
        <v>1</v>
      </c>
      <c r="V8" s="253">
        <v>3</v>
      </c>
      <c r="W8" s="255">
        <f t="shared" ref="W8:W11" si="36">IF(AND(Q8&gt;0,V8&gt;=1),MIN(INT(V8)*20,200),0)</f>
        <v>60</v>
      </c>
      <c r="X8" s="253" t="str">
        <f t="shared" ref="X8:X10" si="37">IF(Y8&gt;=1,1,"")</f>
        <v/>
      </c>
      <c r="Y8" s="253"/>
      <c r="Z8" s="253">
        <f t="shared" ref="Z8:Z11" si="38">IF(Y8&gt;=1,50,0)</f>
        <v>0</v>
      </c>
      <c r="AA8" s="254">
        <f t="shared" si="1"/>
        <v>100</v>
      </c>
      <c r="AB8" s="253">
        <f t="shared" ref="AB8:AB10" si="39">IF(AC8&gt;=1,1,"")</f>
        <v>1</v>
      </c>
      <c r="AC8" s="253">
        <v>50</v>
      </c>
      <c r="AD8" s="253">
        <f t="shared" si="2"/>
        <v>100</v>
      </c>
      <c r="AE8" s="253">
        <f t="shared" ref="AE8:AE11" si="40">IF(OR(AF8=1,AG8=1),1,"")</f>
        <v>1</v>
      </c>
      <c r="AF8" s="253">
        <v>1</v>
      </c>
      <c r="AG8" s="253"/>
      <c r="AH8" s="254">
        <f>IF(AND(Q8&gt;0,AE8=1,【様式第６号】事業報告書兼チェックシート!B62=""),100,0)</f>
        <v>100</v>
      </c>
      <c r="AI8" s="253">
        <f t="shared" ref="AI8:AI10" si="41">IF(OR(AJ8=1,AK8=1),1,"")</f>
        <v>1</v>
      </c>
      <c r="AJ8" s="253"/>
      <c r="AK8" s="253">
        <v>1</v>
      </c>
      <c r="AL8" s="254">
        <f t="shared" si="3"/>
        <v>100</v>
      </c>
      <c r="AM8" s="253" t="str">
        <f t="shared" ref="AM8:AM11" si="42">IF(AU8&gt;=4,1,"")</f>
        <v/>
      </c>
      <c r="AN8" s="253"/>
      <c r="AO8" s="253"/>
      <c r="AP8" s="253"/>
      <c r="AQ8" s="253"/>
      <c r="AR8" s="253"/>
      <c r="AS8" s="253"/>
      <c r="AT8" s="253"/>
      <c r="AU8" s="253">
        <f t="shared" ref="AU8:AU11" si="43">SUM(AN8:AT8)</f>
        <v>0</v>
      </c>
      <c r="AV8" s="254">
        <f t="shared" ref="AV8:AV11" si="44">IF(AU8&gt;=4,200,0)</f>
        <v>0</v>
      </c>
      <c r="AW8" s="256"/>
      <c r="AX8" s="256"/>
      <c r="AY8" s="254">
        <f t="shared" si="4"/>
        <v>660</v>
      </c>
      <c r="AZ8" s="256"/>
      <c r="BA8" s="257"/>
      <c r="BB8" s="256"/>
      <c r="BC8" s="254">
        <f t="shared" ref="BC8:BC11" si="45">MIN(ROUNDDOWN(BA8,1)*20+INT(BB8)*2,250)</f>
        <v>0</v>
      </c>
      <c r="BD8" s="253" t="str">
        <f t="shared" ref="BD8:BD10" si="46">IF(OR(BE8=1,BF8=1),1,"")</f>
        <v/>
      </c>
      <c r="BE8" s="256"/>
      <c r="BF8" s="256"/>
      <c r="BG8" s="254" t="e">
        <f>IF(AND(BC8&gt;0,BD8=1,#REF!=""),100,0)</f>
        <v>#REF!</v>
      </c>
      <c r="BH8" s="253" t="str">
        <f t="shared" ref="BH8:BH11" si="47">IF(OR(BI8=1,BJ8=1,BK8=1),1,"")</f>
        <v/>
      </c>
      <c r="BI8" s="256"/>
      <c r="BJ8" s="256"/>
      <c r="BK8" s="256"/>
      <c r="BL8" s="254">
        <f t="shared" ref="BL8:BL11" si="48">IF(AND(BC8&gt;0,BH8=1),100,IF(AND(BC8&gt;0,BK8=1),100,0))</f>
        <v>0</v>
      </c>
      <c r="BM8" s="253" t="str">
        <f t="shared" ref="BM8:BM11" si="49">IF(OR(AND(BN8&gt;=7,BO8&gt;=7,BN8+BO8&gt;=14),AND(BN8&gt;=7,BP8&gt;=3,BN8+BP8&gt;=10),AND(BO8&gt;=7,BP8&gt;=3,BO8+BP8&gt;=10)),1,"")</f>
        <v/>
      </c>
      <c r="BN8" s="256"/>
      <c r="BO8" s="256"/>
      <c r="BP8" s="256"/>
      <c r="BQ8" s="254">
        <f t="shared" ref="BQ8:BQ11" si="50">IF(AND(BM8=1,BC8&gt;0),MIN(150,ROUNDDOWN(BN8*11+BO8*13+BP8*19,0)),0)</f>
        <v>0</v>
      </c>
      <c r="BR8" s="256"/>
      <c r="BS8" s="254">
        <f t="shared" si="5"/>
        <v>0</v>
      </c>
      <c r="BT8" s="258"/>
      <c r="BU8" s="259" t="s">
        <v>8</v>
      </c>
      <c r="BV8" s="260"/>
      <c r="BW8" s="259" t="s">
        <v>416</v>
      </c>
      <c r="BX8" s="260"/>
      <c r="BY8" s="261" t="s">
        <v>7</v>
      </c>
      <c r="BZ8" s="258"/>
      <c r="CA8" s="259" t="s">
        <v>8</v>
      </c>
      <c r="CB8" s="260"/>
      <c r="CC8" s="259" t="s">
        <v>416</v>
      </c>
      <c r="CD8" s="260"/>
      <c r="CE8" s="261" t="s">
        <v>7</v>
      </c>
      <c r="CF8" s="250">
        <v>43198</v>
      </c>
      <c r="CG8" s="262">
        <f t="shared" si="14"/>
        <v>660</v>
      </c>
      <c r="CH8" s="251" t="s">
        <v>417</v>
      </c>
      <c r="CI8" s="251" t="s">
        <v>418</v>
      </c>
      <c r="CJ8" s="247" t="s">
        <v>441</v>
      </c>
      <c r="CK8" s="251">
        <v>100</v>
      </c>
      <c r="CL8" s="263">
        <v>2200</v>
      </c>
      <c r="CM8" s="252" t="s">
        <v>269</v>
      </c>
      <c r="CN8" s="250"/>
      <c r="CO8" s="249"/>
      <c r="CP8" s="249"/>
      <c r="CQ8" s="250"/>
      <c r="CR8" s="250"/>
      <c r="CS8" s="249"/>
      <c r="CT8" s="249"/>
      <c r="CU8" s="249"/>
      <c r="CV8" s="249"/>
      <c r="CW8" s="249"/>
      <c r="CX8" s="249"/>
      <c r="CY8" s="249"/>
      <c r="CZ8"/>
      <c r="DA8" s="249"/>
      <c r="DB8" s="256"/>
      <c r="DC8" s="256"/>
      <c r="DD8" s="256"/>
      <c r="DE8" s="254">
        <f t="shared" si="6"/>
        <v>0</v>
      </c>
      <c r="DF8" s="254">
        <f t="shared" si="7"/>
        <v>0</v>
      </c>
      <c r="DG8" s="253" t="str">
        <f t="shared" si="15"/>
        <v/>
      </c>
      <c r="DH8" s="256"/>
      <c r="DI8" s="256"/>
      <c r="DJ8" s="255">
        <f t="shared" si="16"/>
        <v>0</v>
      </c>
      <c r="DK8" s="254">
        <f t="shared" si="8"/>
        <v>0</v>
      </c>
      <c r="DL8" s="253" t="str">
        <f t="shared" si="17"/>
        <v/>
      </c>
      <c r="DM8" s="256"/>
      <c r="DN8" s="256"/>
      <c r="DO8" s="256"/>
      <c r="DP8" s="256"/>
      <c r="DQ8" s="256"/>
      <c r="DR8" s="256"/>
      <c r="DS8" s="255">
        <f>IF(AND(DE8&gt;0,DM8&gt;=1),MIN(INT(DM8)*20,200),0)</f>
        <v>0</v>
      </c>
      <c r="DT8" s="254">
        <f>MIN(W8,DS8)</f>
        <v>0</v>
      </c>
      <c r="DU8" s="253" t="str">
        <f t="shared" si="18"/>
        <v/>
      </c>
      <c r="DV8" s="256"/>
      <c r="DW8" s="253">
        <f t="shared" si="9"/>
        <v>0</v>
      </c>
      <c r="DX8" s="253" t="str">
        <f t="shared" si="19"/>
        <v/>
      </c>
      <c r="DY8" s="256"/>
      <c r="DZ8" s="256"/>
      <c r="EA8" s="253">
        <f>IF(AND(DE8&gt;0,DY8&gt;=1),MIN(INT(DY8)*2,150),0)</f>
        <v>0</v>
      </c>
      <c r="EB8" s="254">
        <f t="shared" si="10"/>
        <v>0</v>
      </c>
      <c r="EC8" s="254">
        <f>MIN(AA8,EB8)</f>
        <v>0</v>
      </c>
      <c r="ED8" s="253" t="str">
        <f t="shared" si="20"/>
        <v/>
      </c>
      <c r="EE8" s="256"/>
      <c r="EF8" s="256"/>
      <c r="EG8" s="254">
        <f>IF(AND(DE8&gt;0,ED8=1,【様式第６号】事業報告書兼チェックシート!B62=""),100,0)</f>
        <v>0</v>
      </c>
      <c r="EH8" s="254">
        <f>MIN(AH8,EG8)</f>
        <v>0</v>
      </c>
      <c r="EI8" s="253" t="str">
        <f t="shared" si="21"/>
        <v/>
      </c>
      <c r="EJ8" s="256"/>
      <c r="EK8" s="256"/>
      <c r="EL8" s="254">
        <f t="shared" si="11"/>
        <v>0</v>
      </c>
      <c r="EM8" s="254">
        <f>MIN(AL8,EL8)</f>
        <v>0</v>
      </c>
      <c r="EN8" s="253" t="str">
        <f t="shared" si="22"/>
        <v/>
      </c>
      <c r="EO8" s="256"/>
      <c r="EP8" s="256"/>
      <c r="EQ8" s="256"/>
      <c r="ER8" s="256"/>
      <c r="ES8" s="256"/>
      <c r="ET8" s="256"/>
      <c r="EU8" s="256"/>
      <c r="EV8" s="253">
        <f t="shared" si="23"/>
        <v>0</v>
      </c>
      <c r="EW8" s="254">
        <f t="shared" si="24"/>
        <v>0</v>
      </c>
      <c r="EX8" s="254">
        <f>MIN(AV8,EW8)</f>
        <v>0</v>
      </c>
      <c r="EY8" s="256"/>
      <c r="EZ8" s="256"/>
      <c r="FA8" s="256"/>
      <c r="FB8" s="256"/>
      <c r="FC8" s="256"/>
      <c r="FD8" s="254">
        <f>IF(D8="新築",MIN(1500,CG8,MIN(DF8+DK8+DT8+EC8+EH8+EM8+EX8,1000)),0)</f>
        <v>0</v>
      </c>
      <c r="FE8" s="254">
        <f>AY8-FD8</f>
        <v>660</v>
      </c>
      <c r="FF8" s="256"/>
      <c r="FG8" s="264"/>
      <c r="FH8" s="264"/>
      <c r="FI8" s="256"/>
      <c r="FJ8" s="256"/>
      <c r="FK8" s="254">
        <f t="shared" si="25"/>
        <v>0</v>
      </c>
      <c r="FL8" s="254">
        <f>MIN(BC8,FK8)</f>
        <v>0</v>
      </c>
      <c r="FM8" s="253" t="str">
        <f t="shared" si="26"/>
        <v/>
      </c>
      <c r="FN8" s="256"/>
      <c r="FO8" s="256"/>
      <c r="FP8" s="254" t="e">
        <f>IF(AND(FK8&gt;0,FM8=1,#REF!=""),100,0)</f>
        <v>#REF!</v>
      </c>
      <c r="FQ8" s="254" t="e">
        <f>MIN(BG8,FP8)</f>
        <v>#REF!</v>
      </c>
      <c r="FR8" s="253" t="str">
        <f t="shared" si="27"/>
        <v/>
      </c>
      <c r="FS8" s="256"/>
      <c r="FT8" s="256"/>
      <c r="FU8" s="256"/>
      <c r="FV8" s="254">
        <f t="shared" si="28"/>
        <v>0</v>
      </c>
      <c r="FW8" s="254">
        <f>MIN(BL8,FV8)</f>
        <v>0</v>
      </c>
      <c r="FX8" s="253" t="str">
        <f t="shared" si="29"/>
        <v/>
      </c>
      <c r="FY8" s="256"/>
      <c r="FZ8" s="256"/>
      <c r="GA8" s="256"/>
      <c r="GB8" s="254">
        <f t="shared" si="30"/>
        <v>0</v>
      </c>
      <c r="GC8" s="254">
        <f>MIN(BQ8,GB8)</f>
        <v>0</v>
      </c>
      <c r="GD8" s="256"/>
      <c r="GE8" s="256"/>
      <c r="GF8" s="254">
        <f>IF(D8="改修",MIN(500,FL8+FQ8+FW8+GC8,INT(CL8*10/2)),0)</f>
        <v>0</v>
      </c>
      <c r="GG8" s="254">
        <f>BS8-GF8</f>
        <v>0</v>
      </c>
      <c r="GH8" s="249"/>
      <c r="GI8" s="250"/>
      <c r="GJ8" s="250"/>
      <c r="GK8" s="250"/>
      <c r="GL8" s="262">
        <f>IF(D8="新築",AY8,IF(D8="改修",BS8,0))</f>
        <v>0</v>
      </c>
      <c r="GM8" s="262">
        <f t="shared" si="12"/>
        <v>0</v>
      </c>
      <c r="GN8" s="262">
        <f t="shared" si="31"/>
        <v>0</v>
      </c>
    </row>
    <row r="9" spans="2:874" s="265" customFormat="1" hidden="1" x14ac:dyDescent="0.2">
      <c r="B9" s="245" t="str">
        <f t="shared" si="0"/>
        <v>支払済</v>
      </c>
      <c r="C9" s="246" t="s">
        <v>436</v>
      </c>
      <c r="D9" s="247" t="s">
        <v>408</v>
      </c>
      <c r="E9" s="248" t="str">
        <f t="shared" si="13"/>
        <v>建売購入</v>
      </c>
      <c r="F9" s="249"/>
      <c r="G9" s="249"/>
      <c r="H9" s="250">
        <v>43403</v>
      </c>
      <c r="I9" s="251" t="s">
        <v>442</v>
      </c>
      <c r="J9" s="252" t="s">
        <v>443</v>
      </c>
      <c r="K9" s="251"/>
      <c r="L9" s="252" t="s">
        <v>444</v>
      </c>
      <c r="M9" s="252" t="s">
        <v>445</v>
      </c>
      <c r="N9" s="251" t="s">
        <v>446</v>
      </c>
      <c r="O9" s="253">
        <v>25</v>
      </c>
      <c r="P9" s="253">
        <v>18</v>
      </c>
      <c r="Q9" s="254">
        <f t="shared" si="32"/>
        <v>150</v>
      </c>
      <c r="R9" s="253">
        <f t="shared" si="33"/>
        <v>1</v>
      </c>
      <c r="S9" s="253">
        <v>13</v>
      </c>
      <c r="T9" s="255">
        <f t="shared" si="34"/>
        <v>100</v>
      </c>
      <c r="U9" s="253">
        <f t="shared" si="35"/>
        <v>1</v>
      </c>
      <c r="V9" s="253">
        <v>2</v>
      </c>
      <c r="W9" s="255">
        <f t="shared" si="36"/>
        <v>40</v>
      </c>
      <c r="X9" s="253" t="str">
        <f t="shared" si="37"/>
        <v/>
      </c>
      <c r="Y9" s="253"/>
      <c r="Z9" s="253">
        <f t="shared" si="38"/>
        <v>0</v>
      </c>
      <c r="AA9" s="254">
        <f t="shared" si="1"/>
        <v>90</v>
      </c>
      <c r="AB9" s="253">
        <f t="shared" si="39"/>
        <v>1</v>
      </c>
      <c r="AC9" s="253">
        <v>45</v>
      </c>
      <c r="AD9" s="253">
        <f t="shared" si="2"/>
        <v>90</v>
      </c>
      <c r="AE9" s="253">
        <f t="shared" si="40"/>
        <v>1</v>
      </c>
      <c r="AF9" s="253"/>
      <c r="AG9" s="253">
        <v>1</v>
      </c>
      <c r="AH9" s="254">
        <f>IF(AND(Q9&gt;0,AE9=1,【様式第６号】事業報告書兼チェックシート!B65=""),100,0)</f>
        <v>100</v>
      </c>
      <c r="AI9" s="253" t="str">
        <f t="shared" si="41"/>
        <v/>
      </c>
      <c r="AJ9" s="253"/>
      <c r="AK9" s="253"/>
      <c r="AL9" s="254">
        <f t="shared" si="3"/>
        <v>0</v>
      </c>
      <c r="AM9" s="253" t="str">
        <f t="shared" si="42"/>
        <v/>
      </c>
      <c r="AN9" s="253"/>
      <c r="AO9" s="253"/>
      <c r="AP9" s="253"/>
      <c r="AQ9" s="253"/>
      <c r="AR9" s="253"/>
      <c r="AS9" s="253"/>
      <c r="AT9" s="253"/>
      <c r="AU9" s="253">
        <f t="shared" si="43"/>
        <v>0</v>
      </c>
      <c r="AV9" s="254">
        <f t="shared" si="44"/>
        <v>0</v>
      </c>
      <c r="AW9" s="256"/>
      <c r="AX9" s="256"/>
      <c r="AY9" s="254">
        <f t="shared" si="4"/>
        <v>480</v>
      </c>
      <c r="AZ9" s="256"/>
      <c r="BA9" s="257"/>
      <c r="BB9" s="256"/>
      <c r="BC9" s="254">
        <f t="shared" si="45"/>
        <v>0</v>
      </c>
      <c r="BD9" s="253" t="str">
        <f t="shared" si="46"/>
        <v/>
      </c>
      <c r="BE9" s="256"/>
      <c r="BF9" s="256"/>
      <c r="BG9" s="254" t="e">
        <f>IF(AND(BC9&gt;0,BD9=1,#REF!=""),100,0)</f>
        <v>#REF!</v>
      </c>
      <c r="BH9" s="253" t="str">
        <f t="shared" si="47"/>
        <v/>
      </c>
      <c r="BI9" s="256"/>
      <c r="BJ9" s="256"/>
      <c r="BK9" s="256"/>
      <c r="BL9" s="254">
        <f t="shared" si="48"/>
        <v>0</v>
      </c>
      <c r="BM9" s="253" t="str">
        <f t="shared" si="49"/>
        <v/>
      </c>
      <c r="BN9" s="256"/>
      <c r="BO9" s="256"/>
      <c r="BP9" s="256"/>
      <c r="BQ9" s="254">
        <f t="shared" si="50"/>
        <v>0</v>
      </c>
      <c r="BR9" s="256"/>
      <c r="BS9" s="254">
        <f t="shared" si="5"/>
        <v>0</v>
      </c>
      <c r="BT9" s="258"/>
      <c r="BU9" s="259" t="s">
        <v>8</v>
      </c>
      <c r="BV9" s="260"/>
      <c r="BW9" s="259" t="s">
        <v>416</v>
      </c>
      <c r="BX9" s="260"/>
      <c r="BY9" s="261" t="s">
        <v>7</v>
      </c>
      <c r="BZ9" s="258"/>
      <c r="CA9" s="259" t="s">
        <v>8</v>
      </c>
      <c r="CB9" s="260"/>
      <c r="CC9" s="259" t="s">
        <v>416</v>
      </c>
      <c r="CD9" s="260"/>
      <c r="CE9" s="261" t="s">
        <v>7</v>
      </c>
      <c r="CF9" s="250">
        <v>43409</v>
      </c>
      <c r="CG9" s="262">
        <f t="shared" si="14"/>
        <v>480</v>
      </c>
      <c r="CH9" s="251" t="s">
        <v>417</v>
      </c>
      <c r="CI9" s="251" t="s">
        <v>418</v>
      </c>
      <c r="CJ9" s="247" t="s">
        <v>441</v>
      </c>
      <c r="CK9" s="251">
        <v>100</v>
      </c>
      <c r="CL9" s="263">
        <v>2200</v>
      </c>
      <c r="CM9" s="252" t="s">
        <v>269</v>
      </c>
      <c r="CN9" s="250"/>
      <c r="CO9" s="249"/>
      <c r="CP9" s="249"/>
      <c r="CQ9" s="250"/>
      <c r="CR9" s="250"/>
      <c r="CS9" s="249"/>
      <c r="CT9" s="249"/>
      <c r="CU9" s="249"/>
      <c r="CV9" s="249"/>
      <c r="CW9" s="249"/>
      <c r="CX9" s="249"/>
      <c r="CY9" s="249"/>
      <c r="CZ9"/>
      <c r="DA9" s="249"/>
      <c r="DB9" s="253">
        <v>25</v>
      </c>
      <c r="DC9" s="253">
        <v>18</v>
      </c>
      <c r="DD9" s="256" t="s">
        <v>447</v>
      </c>
      <c r="DE9" s="254">
        <f t="shared" si="6"/>
        <v>150</v>
      </c>
      <c r="DF9" s="254">
        <f t="shared" si="7"/>
        <v>150</v>
      </c>
      <c r="DG9" s="253">
        <f t="shared" si="15"/>
        <v>1</v>
      </c>
      <c r="DH9" s="253">
        <v>13</v>
      </c>
      <c r="DI9" s="256" t="s">
        <v>447</v>
      </c>
      <c r="DJ9" s="255">
        <f t="shared" si="16"/>
        <v>100</v>
      </c>
      <c r="DK9" s="254">
        <f t="shared" si="8"/>
        <v>100</v>
      </c>
      <c r="DL9" s="253">
        <f t="shared" si="17"/>
        <v>1</v>
      </c>
      <c r="DM9" s="253">
        <v>2</v>
      </c>
      <c r="DN9" s="253"/>
      <c r="DO9" s="253"/>
      <c r="DP9" s="253"/>
      <c r="DQ9" s="253"/>
      <c r="DR9" s="256" t="s">
        <v>448</v>
      </c>
      <c r="DS9" s="255">
        <f>IF(AND(DE9&gt;0,DM9&gt;=1),MIN(INT(DM9)*20,200),0)</f>
        <v>40</v>
      </c>
      <c r="DT9" s="254">
        <f>MIN(W9,DS9)</f>
        <v>40</v>
      </c>
      <c r="DU9" s="253" t="str">
        <f t="shared" si="18"/>
        <v/>
      </c>
      <c r="DV9" s="253"/>
      <c r="DW9" s="253">
        <f t="shared" si="9"/>
        <v>0</v>
      </c>
      <c r="DX9" s="253">
        <f t="shared" si="19"/>
        <v>1</v>
      </c>
      <c r="DY9" s="253">
        <v>45</v>
      </c>
      <c r="DZ9" s="256" t="s">
        <v>449</v>
      </c>
      <c r="EA9" s="253">
        <f>IF(AND(DE9&gt;0,DY9&gt;=1),MIN(INT(DY9)*2,150),0)</f>
        <v>90</v>
      </c>
      <c r="EB9" s="254">
        <f t="shared" si="10"/>
        <v>90</v>
      </c>
      <c r="EC9" s="254">
        <f>MIN(AA9,EB9)</f>
        <v>90</v>
      </c>
      <c r="ED9" s="253">
        <f t="shared" si="20"/>
        <v>1</v>
      </c>
      <c r="EE9" s="253"/>
      <c r="EF9" s="253">
        <v>1</v>
      </c>
      <c r="EG9" s="254">
        <f>IF(AND(DE9&gt;0,ED9=1,【様式第６号】事業報告書兼チェックシート!B65=""),100,0)</f>
        <v>100</v>
      </c>
      <c r="EH9" s="254">
        <f>MIN(AH9,EG9)</f>
        <v>100</v>
      </c>
      <c r="EI9" s="253" t="str">
        <f t="shared" si="21"/>
        <v/>
      </c>
      <c r="EJ9" s="253"/>
      <c r="EK9" s="253"/>
      <c r="EL9" s="254">
        <f t="shared" si="11"/>
        <v>0</v>
      </c>
      <c r="EM9" s="254">
        <f>MIN(AL9,EL9)</f>
        <v>0</v>
      </c>
      <c r="EN9" s="253" t="str">
        <f t="shared" si="22"/>
        <v/>
      </c>
      <c r="EO9" s="253"/>
      <c r="EP9" s="253"/>
      <c r="EQ9" s="253"/>
      <c r="ER9" s="253"/>
      <c r="ES9" s="253"/>
      <c r="ET9" s="253"/>
      <c r="EU9" s="253"/>
      <c r="EV9" s="253">
        <f t="shared" si="23"/>
        <v>0</v>
      </c>
      <c r="EW9" s="254">
        <f t="shared" si="24"/>
        <v>0</v>
      </c>
      <c r="EX9" s="254">
        <f>MIN(AV9,EW9)</f>
        <v>0</v>
      </c>
      <c r="EY9" s="256"/>
      <c r="EZ9" s="256"/>
      <c r="FA9" s="256"/>
      <c r="FB9" s="256"/>
      <c r="FC9" s="256"/>
      <c r="FD9" s="254">
        <f>IF(D9="新築",MIN(1500,CG9,MIN(DF9+DK9+DT9+EC9+EH9+EM9+EX9,1000)),0)</f>
        <v>480</v>
      </c>
      <c r="FE9" s="254">
        <f>AY9-FD9</f>
        <v>0</v>
      </c>
      <c r="FF9" s="256"/>
      <c r="FG9" s="264"/>
      <c r="FH9" s="264"/>
      <c r="FI9" s="256"/>
      <c r="FJ9" s="256"/>
      <c r="FK9" s="254">
        <f t="shared" si="25"/>
        <v>0</v>
      </c>
      <c r="FL9" s="254">
        <f>MIN(BC9,FK9)</f>
        <v>0</v>
      </c>
      <c r="FM9" s="253" t="str">
        <f t="shared" si="26"/>
        <v/>
      </c>
      <c r="FN9" s="256"/>
      <c r="FO9" s="256"/>
      <c r="FP9" s="254" t="e">
        <f>IF(AND(FK9&gt;0,FM9=1,#REF!=""),100,0)</f>
        <v>#REF!</v>
      </c>
      <c r="FQ9" s="254" t="e">
        <f>MIN(BG9,FP9)</f>
        <v>#REF!</v>
      </c>
      <c r="FR9" s="253" t="str">
        <f t="shared" si="27"/>
        <v/>
      </c>
      <c r="FS9" s="256"/>
      <c r="FT9" s="256"/>
      <c r="FU9" s="256"/>
      <c r="FV9" s="254">
        <f t="shared" si="28"/>
        <v>0</v>
      </c>
      <c r="FW9" s="254">
        <f>MIN(BL9,FV9)</f>
        <v>0</v>
      </c>
      <c r="FX9" s="253" t="str">
        <f t="shared" si="29"/>
        <v/>
      </c>
      <c r="FY9" s="256"/>
      <c r="FZ9" s="256"/>
      <c r="GA9" s="256"/>
      <c r="GB9" s="254">
        <f t="shared" si="30"/>
        <v>0</v>
      </c>
      <c r="GC9" s="254">
        <f>MIN(BQ9,GB9)</f>
        <v>0</v>
      </c>
      <c r="GD9" s="256"/>
      <c r="GE9" s="256"/>
      <c r="GF9" s="254">
        <f>IF(D9="改修",MIN(500,FL9+FQ9+FW9+GC9,INT(CL9*10/2)),0)</f>
        <v>0</v>
      </c>
      <c r="GG9" s="254">
        <f>BS9-GF9</f>
        <v>0</v>
      </c>
      <c r="GH9" s="249" t="s">
        <v>424</v>
      </c>
      <c r="GI9" s="250">
        <v>43403</v>
      </c>
      <c r="GJ9" s="250">
        <v>43409</v>
      </c>
      <c r="GK9" s="250">
        <v>43429</v>
      </c>
      <c r="GL9" s="262">
        <f>IF(D9="新築",AY9,IF(D9="改修",BS9,0))</f>
        <v>480</v>
      </c>
      <c r="GM9" s="262">
        <f t="shared" si="12"/>
        <v>480</v>
      </c>
      <c r="GN9" s="262">
        <f t="shared" si="31"/>
        <v>0</v>
      </c>
      <c r="GO9" s="114"/>
      <c r="GP9" s="114"/>
      <c r="GQ9" s="114"/>
      <c r="GR9" s="114"/>
      <c r="GS9" s="114"/>
      <c r="GT9" s="114"/>
      <c r="GU9" s="114"/>
      <c r="GV9" s="114"/>
      <c r="GW9" s="114"/>
      <c r="GX9" s="114"/>
      <c r="GY9" s="114"/>
      <c r="GZ9" s="114"/>
      <c r="HA9" s="114"/>
      <c r="HB9" s="114"/>
      <c r="HC9" s="114"/>
      <c r="HD9" s="114"/>
      <c r="HE9" s="114"/>
      <c r="HF9" s="114"/>
      <c r="HG9" s="114"/>
      <c r="HH9" s="114"/>
      <c r="HI9" s="114"/>
      <c r="HJ9" s="114"/>
      <c r="HK9" s="114"/>
      <c r="HL9" s="114"/>
      <c r="HM9" s="114"/>
      <c r="HN9" s="114"/>
      <c r="HO9" s="114"/>
      <c r="HP9" s="114"/>
      <c r="HQ9" s="114"/>
      <c r="HR9" s="114"/>
      <c r="HS9" s="114"/>
      <c r="HT9" s="114"/>
      <c r="HU9" s="114"/>
      <c r="HV9" s="114"/>
      <c r="HW9" s="114"/>
      <c r="HX9" s="114"/>
      <c r="HY9" s="114"/>
      <c r="HZ9" s="114"/>
      <c r="IA9" s="114"/>
      <c r="IB9" s="114"/>
      <c r="IC9" s="114"/>
      <c r="ID9" s="114"/>
      <c r="IE9" s="114"/>
      <c r="IF9" s="114"/>
      <c r="IG9" s="114"/>
      <c r="IH9" s="114"/>
      <c r="II9" s="114"/>
      <c r="IJ9" s="114"/>
      <c r="IK9" s="114"/>
      <c r="IL9" s="114"/>
      <c r="IM9" s="114"/>
      <c r="IN9" s="114"/>
      <c r="IO9" s="114"/>
      <c r="IP9" s="114"/>
      <c r="IQ9" s="114"/>
      <c r="IR9" s="114"/>
      <c r="IS9" s="114"/>
      <c r="IT9" s="114"/>
      <c r="IU9" s="114"/>
      <c r="IV9" s="114"/>
      <c r="IW9" s="114"/>
      <c r="IX9" s="114"/>
      <c r="IY9" s="114"/>
      <c r="IZ9" s="114"/>
      <c r="JA9" s="114"/>
      <c r="JB9" s="114"/>
      <c r="JC9" s="114"/>
      <c r="JD9" s="114"/>
      <c r="JE9" s="114"/>
      <c r="JF9" s="114"/>
      <c r="JG9" s="114"/>
      <c r="JH9" s="114"/>
      <c r="JI9" s="114"/>
      <c r="JJ9" s="114"/>
      <c r="JK9" s="114"/>
      <c r="JL9" s="114"/>
      <c r="JM9" s="114"/>
      <c r="JN9" s="114"/>
      <c r="JO9" s="114"/>
      <c r="JP9" s="114"/>
      <c r="JQ9" s="114"/>
      <c r="JR9" s="114"/>
      <c r="JS9" s="114"/>
      <c r="JT9" s="114"/>
      <c r="JU9" s="114"/>
      <c r="JV9" s="114"/>
      <c r="JW9" s="114"/>
      <c r="JX9" s="114"/>
      <c r="JY9" s="114"/>
      <c r="JZ9" s="114"/>
      <c r="KA9" s="114"/>
      <c r="KB9" s="114"/>
      <c r="KC9" s="114"/>
      <c r="KD9" s="114"/>
      <c r="KE9" s="114"/>
      <c r="KF9" s="114"/>
      <c r="KG9" s="114"/>
      <c r="KH9" s="114"/>
      <c r="KI9" s="114"/>
      <c r="KJ9" s="114"/>
      <c r="KK9" s="114"/>
      <c r="KL9" s="114"/>
      <c r="KM9" s="114"/>
      <c r="KN9" s="114"/>
      <c r="KO9" s="114"/>
      <c r="KP9" s="114"/>
      <c r="KQ9" s="114"/>
      <c r="KR9" s="114"/>
      <c r="KS9" s="114"/>
      <c r="KT9" s="114"/>
      <c r="KU9" s="114"/>
      <c r="KV9" s="114"/>
      <c r="KW9" s="114"/>
      <c r="KX9" s="114"/>
      <c r="KY9" s="114"/>
      <c r="KZ9" s="114"/>
      <c r="LA9" s="114"/>
      <c r="LB9" s="114"/>
      <c r="LC9" s="114"/>
      <c r="LD9" s="114"/>
      <c r="LE9" s="114"/>
      <c r="LF9" s="114"/>
      <c r="LG9" s="114"/>
      <c r="LH9" s="114"/>
      <c r="LI9" s="114"/>
      <c r="LJ9" s="114"/>
      <c r="LK9" s="114"/>
      <c r="LL9" s="114"/>
      <c r="LM9" s="114"/>
      <c r="LN9" s="114"/>
      <c r="LO9" s="114"/>
      <c r="LP9" s="114"/>
      <c r="LQ9" s="114"/>
      <c r="LR9" s="114"/>
      <c r="LS9" s="114"/>
      <c r="LT9" s="114"/>
      <c r="LU9" s="114"/>
      <c r="LV9" s="114"/>
      <c r="LW9" s="114"/>
      <c r="LX9" s="114"/>
      <c r="LY9" s="114"/>
      <c r="LZ9" s="114"/>
      <c r="MA9" s="114"/>
      <c r="MB9" s="114"/>
      <c r="MC9" s="114"/>
      <c r="MD9" s="114"/>
      <c r="ME9" s="114"/>
      <c r="MF9" s="114"/>
      <c r="MG9" s="114"/>
      <c r="MH9" s="114"/>
      <c r="MI9" s="114"/>
      <c r="MJ9" s="114"/>
      <c r="MK9" s="114"/>
      <c r="ML9" s="114"/>
      <c r="MM9" s="114"/>
      <c r="MN9" s="114"/>
      <c r="MO9" s="114"/>
      <c r="MP9" s="114"/>
      <c r="MQ9" s="114"/>
      <c r="MR9" s="114"/>
      <c r="MS9" s="114"/>
      <c r="MT9" s="114"/>
      <c r="MU9" s="114"/>
      <c r="MV9" s="114"/>
      <c r="MW9" s="114"/>
      <c r="MX9" s="114"/>
      <c r="MY9" s="114"/>
      <c r="MZ9" s="114"/>
      <c r="NA9" s="114"/>
      <c r="NB9" s="114"/>
      <c r="NC9" s="114"/>
      <c r="ND9" s="114"/>
      <c r="NE9" s="114"/>
      <c r="NF9" s="114"/>
      <c r="NG9" s="114"/>
      <c r="NH9" s="114"/>
      <c r="NI9" s="114"/>
      <c r="NJ9" s="114"/>
      <c r="NK9" s="114"/>
      <c r="NL9" s="114"/>
      <c r="NM9" s="114"/>
      <c r="NN9" s="114"/>
      <c r="NO9" s="114"/>
      <c r="NP9" s="114"/>
      <c r="NQ9" s="114"/>
      <c r="NR9" s="114"/>
      <c r="NS9" s="114"/>
      <c r="NT9" s="114"/>
      <c r="NU9" s="114"/>
      <c r="NV9" s="114"/>
      <c r="NW9" s="114"/>
      <c r="NX9" s="114"/>
      <c r="NY9" s="114"/>
      <c r="NZ9" s="114"/>
      <c r="OA9" s="114"/>
      <c r="OB9" s="114"/>
      <c r="OC9" s="114"/>
      <c r="OD9" s="114"/>
      <c r="OE9" s="114"/>
      <c r="OF9" s="114"/>
      <c r="OG9" s="114"/>
      <c r="OH9" s="114"/>
      <c r="OI9" s="114"/>
      <c r="OJ9" s="114"/>
      <c r="OK9" s="114"/>
      <c r="OL9" s="114"/>
      <c r="OM9" s="114"/>
      <c r="ON9" s="114"/>
      <c r="OO9" s="114"/>
      <c r="OP9" s="114"/>
      <c r="OQ9" s="114"/>
      <c r="OR9" s="114"/>
      <c r="OS9" s="114"/>
      <c r="OT9" s="114"/>
      <c r="OU9" s="114"/>
      <c r="OV9" s="114"/>
      <c r="OW9" s="114"/>
      <c r="OX9" s="114"/>
      <c r="OY9" s="114"/>
      <c r="OZ9" s="114"/>
      <c r="PA9" s="114"/>
      <c r="PB9" s="114"/>
      <c r="PC9" s="114"/>
      <c r="PD9" s="114"/>
      <c r="PE9" s="114"/>
      <c r="PF9" s="114"/>
      <c r="PG9" s="114"/>
      <c r="PH9" s="114"/>
      <c r="PI9" s="114"/>
      <c r="PJ9" s="114"/>
      <c r="PK9" s="114"/>
      <c r="PL9" s="114"/>
      <c r="PM9" s="114"/>
      <c r="PN9" s="114"/>
      <c r="PO9" s="114"/>
      <c r="PP9" s="114"/>
      <c r="PQ9" s="114"/>
      <c r="PR9" s="114"/>
      <c r="PS9" s="114"/>
      <c r="PT9" s="114"/>
      <c r="PU9" s="114"/>
      <c r="PV9" s="114"/>
      <c r="PW9" s="114"/>
      <c r="PX9" s="114"/>
      <c r="PY9" s="114"/>
      <c r="PZ9" s="114"/>
      <c r="QA9" s="114"/>
      <c r="QB9" s="114"/>
      <c r="QC9" s="114"/>
      <c r="QD9" s="114"/>
      <c r="QE9" s="114"/>
      <c r="QF9" s="114"/>
      <c r="QG9" s="114"/>
      <c r="QH9" s="114"/>
      <c r="QI9" s="114"/>
      <c r="QJ9" s="114"/>
      <c r="QK9" s="114"/>
      <c r="QL9" s="114"/>
      <c r="QM9" s="114"/>
      <c r="QN9" s="114"/>
      <c r="QO9" s="114"/>
      <c r="QP9" s="114"/>
      <c r="QQ9" s="114"/>
      <c r="QR9" s="114"/>
      <c r="QS9" s="114"/>
      <c r="QT9" s="114"/>
      <c r="QU9" s="114"/>
      <c r="QV9" s="114"/>
      <c r="QW9" s="114"/>
      <c r="QX9" s="114"/>
      <c r="QY9" s="114"/>
      <c r="QZ9" s="114"/>
      <c r="RA9" s="114"/>
      <c r="RB9" s="114"/>
      <c r="RC9" s="114"/>
      <c r="RD9" s="114"/>
      <c r="RE9" s="114"/>
      <c r="RF9" s="114"/>
      <c r="RG9" s="114"/>
      <c r="RH9" s="114"/>
      <c r="RI9" s="114"/>
      <c r="RJ9" s="114"/>
      <c r="RK9" s="114"/>
      <c r="RL9" s="114"/>
      <c r="RM9" s="114"/>
      <c r="RN9" s="114"/>
      <c r="RO9" s="114"/>
      <c r="RP9" s="114"/>
      <c r="RQ9" s="114"/>
      <c r="RR9" s="114"/>
      <c r="RS9" s="114"/>
      <c r="RT9" s="114"/>
      <c r="RU9" s="114"/>
      <c r="RV9" s="114"/>
      <c r="RW9" s="114"/>
      <c r="RX9" s="114"/>
      <c r="RY9" s="114"/>
      <c r="RZ9" s="114"/>
      <c r="SA9" s="114"/>
      <c r="SB9" s="114"/>
      <c r="SC9" s="114"/>
      <c r="SD9" s="114"/>
      <c r="SE9" s="114"/>
      <c r="SF9" s="114"/>
      <c r="SG9" s="114"/>
      <c r="SH9" s="114"/>
      <c r="SI9" s="114"/>
      <c r="SJ9" s="114"/>
      <c r="SK9" s="114"/>
      <c r="SL9" s="114"/>
      <c r="SM9" s="114"/>
      <c r="SN9" s="114"/>
      <c r="SO9" s="114"/>
      <c r="SP9" s="114"/>
      <c r="SQ9" s="114"/>
      <c r="SR9" s="114"/>
      <c r="SS9" s="114"/>
      <c r="ST9" s="114"/>
      <c r="SU9" s="114"/>
      <c r="SV9" s="114"/>
      <c r="SW9" s="114"/>
      <c r="SX9" s="114"/>
      <c r="SY9" s="114"/>
      <c r="SZ9" s="114"/>
      <c r="TA9" s="114"/>
      <c r="TB9" s="114"/>
      <c r="TC9" s="114"/>
      <c r="TD9" s="114"/>
      <c r="TE9" s="114"/>
      <c r="TF9" s="114"/>
      <c r="TG9" s="114"/>
      <c r="TH9" s="114"/>
      <c r="TI9" s="114"/>
      <c r="TJ9" s="114"/>
      <c r="TK9" s="114"/>
      <c r="TL9" s="114"/>
      <c r="TM9" s="114"/>
      <c r="TN9" s="114"/>
      <c r="TO9" s="114"/>
      <c r="TP9" s="114"/>
      <c r="TQ9" s="114"/>
      <c r="TR9" s="114"/>
      <c r="TS9" s="114"/>
      <c r="TT9" s="114"/>
      <c r="TU9" s="114"/>
      <c r="TV9" s="114"/>
      <c r="TW9" s="114"/>
      <c r="TX9" s="114"/>
      <c r="TY9" s="114"/>
      <c r="TZ9" s="114"/>
      <c r="UA9" s="114"/>
      <c r="UB9" s="114"/>
      <c r="UC9" s="114"/>
      <c r="UD9" s="114"/>
      <c r="UE9" s="114"/>
      <c r="UF9" s="114"/>
      <c r="UG9" s="114"/>
      <c r="UH9" s="114"/>
      <c r="UI9" s="114"/>
      <c r="UJ9" s="114"/>
      <c r="UK9" s="114"/>
      <c r="UL9" s="114"/>
      <c r="UM9" s="114"/>
      <c r="UN9" s="114"/>
      <c r="UO9" s="114"/>
      <c r="UP9" s="114"/>
      <c r="UQ9" s="114"/>
      <c r="UR9" s="114"/>
      <c r="US9" s="114"/>
      <c r="UT9" s="114"/>
      <c r="UU9" s="114"/>
      <c r="UV9" s="114"/>
      <c r="UW9" s="114"/>
      <c r="UX9" s="114"/>
      <c r="UY9" s="114"/>
      <c r="UZ9" s="114"/>
      <c r="VA9" s="114"/>
      <c r="VB9" s="114"/>
      <c r="VC9" s="114"/>
      <c r="VD9" s="114"/>
      <c r="VE9" s="114"/>
      <c r="VF9" s="114"/>
      <c r="VG9" s="114"/>
      <c r="VH9" s="114"/>
      <c r="VI9" s="114"/>
      <c r="VJ9" s="114"/>
      <c r="VK9" s="114"/>
      <c r="VL9" s="114"/>
      <c r="VM9" s="114"/>
      <c r="VN9" s="114"/>
      <c r="VO9" s="114"/>
      <c r="VP9" s="114"/>
      <c r="VQ9" s="114"/>
      <c r="VR9" s="114"/>
      <c r="VS9" s="114"/>
      <c r="VT9" s="114"/>
      <c r="VU9" s="114"/>
      <c r="VV9" s="114"/>
      <c r="VW9" s="114"/>
      <c r="VX9" s="114"/>
      <c r="VY9" s="114"/>
      <c r="VZ9" s="114"/>
      <c r="WA9" s="114"/>
      <c r="WB9" s="114"/>
      <c r="WC9" s="114"/>
      <c r="WD9" s="114"/>
      <c r="WE9" s="114"/>
      <c r="WF9" s="114"/>
      <c r="WG9" s="114"/>
      <c r="WH9" s="114"/>
      <c r="WI9" s="114"/>
      <c r="WJ9" s="114"/>
      <c r="WK9" s="114"/>
      <c r="WL9" s="114"/>
      <c r="WM9" s="114"/>
      <c r="WN9" s="114"/>
      <c r="WO9" s="114"/>
      <c r="WP9" s="114"/>
      <c r="WQ9" s="114"/>
      <c r="WR9" s="114"/>
      <c r="WS9" s="114"/>
      <c r="WT9" s="114"/>
      <c r="WU9" s="114"/>
      <c r="WV9" s="114"/>
      <c r="WW9" s="114"/>
      <c r="WX9" s="114"/>
      <c r="WY9" s="114"/>
      <c r="WZ9" s="114"/>
      <c r="XA9" s="114"/>
      <c r="XB9" s="114"/>
      <c r="XC9" s="114"/>
      <c r="XD9" s="114"/>
      <c r="XE9" s="114"/>
      <c r="XF9" s="114"/>
      <c r="XG9" s="114"/>
      <c r="XH9" s="114"/>
      <c r="XI9" s="114"/>
      <c r="XJ9" s="114"/>
      <c r="XK9" s="114"/>
      <c r="XL9" s="114"/>
      <c r="XM9" s="114"/>
      <c r="XN9" s="114"/>
      <c r="XO9" s="114"/>
      <c r="XP9" s="114"/>
      <c r="XQ9" s="114"/>
      <c r="XR9" s="114"/>
      <c r="XS9" s="114"/>
      <c r="XT9" s="114"/>
      <c r="XU9" s="114"/>
      <c r="XV9" s="114"/>
      <c r="XW9" s="114"/>
      <c r="XX9" s="114"/>
      <c r="XY9" s="114"/>
      <c r="XZ9" s="114"/>
      <c r="YA9" s="114"/>
      <c r="YB9" s="114"/>
      <c r="YC9" s="114"/>
      <c r="YD9" s="114"/>
      <c r="YE9" s="114"/>
      <c r="YF9" s="114"/>
      <c r="YG9" s="114"/>
      <c r="YH9" s="114"/>
      <c r="YI9" s="114"/>
      <c r="YJ9" s="114"/>
      <c r="YK9" s="114"/>
      <c r="YL9" s="114"/>
      <c r="YM9" s="114"/>
      <c r="YN9" s="114"/>
      <c r="YO9" s="114"/>
      <c r="YP9" s="114"/>
      <c r="YQ9" s="114"/>
      <c r="YR9" s="114"/>
      <c r="YS9" s="114"/>
      <c r="YT9" s="114"/>
      <c r="YU9" s="114"/>
      <c r="YV9" s="114"/>
      <c r="YW9" s="114"/>
      <c r="YX9" s="114"/>
      <c r="YY9" s="114"/>
      <c r="YZ9" s="114"/>
      <c r="ZA9" s="114"/>
      <c r="ZB9" s="114"/>
      <c r="ZC9" s="114"/>
      <c r="ZD9" s="114"/>
      <c r="ZE9" s="114"/>
      <c r="ZF9" s="114"/>
      <c r="ZG9" s="114"/>
      <c r="ZH9" s="114"/>
      <c r="ZI9" s="114"/>
      <c r="ZJ9" s="114"/>
      <c r="ZK9" s="114"/>
      <c r="ZL9" s="114"/>
      <c r="ZM9" s="114"/>
      <c r="ZN9" s="114"/>
      <c r="ZO9" s="114"/>
      <c r="ZP9" s="114"/>
      <c r="ZQ9" s="114"/>
      <c r="ZR9" s="114"/>
      <c r="ZS9" s="114"/>
      <c r="ZT9" s="114"/>
      <c r="ZU9" s="114"/>
      <c r="ZV9" s="114"/>
      <c r="ZW9" s="114"/>
      <c r="ZX9" s="114"/>
      <c r="ZY9" s="114"/>
      <c r="ZZ9" s="114"/>
      <c r="AAA9" s="114"/>
      <c r="AAB9" s="114"/>
      <c r="AAC9" s="114"/>
      <c r="AAD9" s="114"/>
      <c r="AAE9" s="114"/>
      <c r="AAF9" s="114"/>
      <c r="AAG9" s="114"/>
      <c r="AAH9" s="114"/>
      <c r="AAI9" s="114"/>
      <c r="AAJ9" s="114"/>
      <c r="AAK9" s="114"/>
      <c r="AAL9" s="114"/>
      <c r="AAM9" s="114"/>
      <c r="AAN9" s="114"/>
      <c r="AAO9" s="114"/>
      <c r="AAP9" s="114"/>
      <c r="AAQ9" s="114"/>
      <c r="AAR9" s="114"/>
      <c r="AAS9" s="114"/>
      <c r="AAT9" s="114"/>
      <c r="AAU9" s="114"/>
      <c r="AAV9" s="114"/>
      <c r="AAW9" s="114"/>
      <c r="AAX9" s="114"/>
      <c r="AAY9" s="114"/>
      <c r="AAZ9" s="114"/>
      <c r="ABA9" s="114"/>
      <c r="ABB9" s="114"/>
      <c r="ABC9" s="114"/>
      <c r="ABD9" s="114"/>
      <c r="ABE9" s="114"/>
      <c r="ABF9" s="114"/>
      <c r="ABG9" s="114"/>
      <c r="ABH9" s="114"/>
      <c r="ABI9" s="114"/>
      <c r="ABJ9" s="114"/>
      <c r="ABK9" s="114"/>
      <c r="ABL9" s="114"/>
      <c r="ABM9" s="114"/>
      <c r="ABN9" s="114"/>
      <c r="ABO9" s="114"/>
      <c r="ABP9" s="114"/>
      <c r="ABQ9" s="114"/>
      <c r="ABR9" s="114"/>
      <c r="ABS9" s="114"/>
      <c r="ABT9" s="114"/>
      <c r="ABU9" s="114"/>
      <c r="ABV9" s="114"/>
      <c r="ABW9" s="114"/>
      <c r="ABX9" s="114"/>
      <c r="ABY9" s="114"/>
      <c r="ABZ9" s="114"/>
      <c r="ACA9" s="114"/>
      <c r="ACB9" s="114"/>
      <c r="ACC9" s="114"/>
      <c r="ACD9" s="114"/>
      <c r="ACE9" s="114"/>
      <c r="ACF9" s="114"/>
      <c r="ACG9" s="114"/>
      <c r="ACH9" s="114"/>
      <c r="ACI9" s="114"/>
      <c r="ACJ9" s="114"/>
      <c r="ACK9" s="114"/>
      <c r="ACL9" s="114"/>
      <c r="ACM9" s="114"/>
      <c r="ACN9" s="114"/>
      <c r="ACO9" s="114"/>
      <c r="ACP9" s="114"/>
      <c r="ACQ9" s="114"/>
      <c r="ACR9" s="114"/>
      <c r="ACS9" s="114"/>
      <c r="ACT9" s="114"/>
      <c r="ACU9" s="114"/>
      <c r="ACV9" s="114"/>
      <c r="ACW9" s="114"/>
      <c r="ACX9" s="114"/>
      <c r="ACY9" s="114"/>
      <c r="ACZ9" s="114"/>
      <c r="ADA9" s="114"/>
      <c r="ADB9" s="114"/>
      <c r="ADC9" s="114"/>
      <c r="ADD9" s="114"/>
      <c r="ADE9" s="114"/>
      <c r="ADF9" s="114"/>
      <c r="ADG9" s="114"/>
      <c r="ADH9" s="114"/>
      <c r="ADI9" s="114"/>
      <c r="ADJ9" s="114"/>
      <c r="ADK9" s="114"/>
      <c r="ADL9" s="114"/>
      <c r="ADM9" s="114"/>
      <c r="ADN9" s="114"/>
      <c r="ADO9" s="114"/>
      <c r="ADP9" s="114"/>
      <c r="ADQ9" s="114"/>
      <c r="ADR9" s="114"/>
      <c r="ADS9" s="114"/>
      <c r="ADT9" s="114"/>
      <c r="ADU9" s="114"/>
      <c r="ADV9" s="114"/>
      <c r="ADW9" s="114"/>
      <c r="ADX9" s="114"/>
      <c r="ADY9" s="114"/>
      <c r="ADZ9" s="114"/>
      <c r="AEA9" s="114"/>
      <c r="AEB9" s="114"/>
      <c r="AEC9" s="114"/>
      <c r="AED9" s="114"/>
      <c r="AEE9" s="114"/>
      <c r="AEF9" s="114"/>
      <c r="AEG9" s="114"/>
      <c r="AEH9" s="114"/>
      <c r="AEI9" s="114"/>
      <c r="AEJ9" s="114"/>
      <c r="AEK9" s="114"/>
      <c r="AEL9" s="114"/>
      <c r="AEM9" s="114"/>
      <c r="AEN9" s="114"/>
      <c r="AEO9" s="114"/>
      <c r="AEP9" s="114"/>
      <c r="AEQ9" s="114"/>
      <c r="AER9" s="114"/>
      <c r="AES9" s="114"/>
      <c r="AET9" s="114"/>
      <c r="AEU9" s="114"/>
      <c r="AEV9" s="114"/>
      <c r="AEW9" s="114"/>
      <c r="AEX9" s="114"/>
      <c r="AEY9" s="114"/>
      <c r="AEZ9" s="114"/>
      <c r="AFA9" s="114"/>
      <c r="AFB9" s="114"/>
      <c r="AFC9" s="114"/>
      <c r="AFD9" s="114"/>
      <c r="AFE9" s="114"/>
      <c r="AFF9" s="114"/>
      <c r="AFG9" s="114"/>
      <c r="AFH9" s="114"/>
      <c r="AFI9" s="114"/>
      <c r="AFJ9" s="114"/>
      <c r="AFK9" s="114"/>
      <c r="AFL9" s="114"/>
      <c r="AFM9" s="114"/>
      <c r="AFN9" s="114"/>
      <c r="AFO9" s="114"/>
      <c r="AFP9" s="114"/>
      <c r="AFQ9" s="114"/>
      <c r="AFR9" s="114"/>
      <c r="AFS9" s="114"/>
      <c r="AFT9" s="114"/>
      <c r="AFU9" s="114"/>
      <c r="AFV9" s="114"/>
      <c r="AFW9" s="114"/>
      <c r="AFX9" s="114"/>
      <c r="AFY9" s="114"/>
      <c r="AFZ9" s="114"/>
      <c r="AGA9" s="114"/>
      <c r="AGB9" s="114"/>
      <c r="AGC9" s="114"/>
      <c r="AGD9" s="114"/>
      <c r="AGE9" s="114"/>
      <c r="AGF9" s="114"/>
      <c r="AGG9" s="114"/>
      <c r="AGH9" s="114"/>
      <c r="AGI9" s="114"/>
      <c r="AGJ9" s="114"/>
      <c r="AGK9" s="114"/>
      <c r="AGL9" s="114"/>
      <c r="AGM9" s="114"/>
      <c r="AGN9" s="114"/>
      <c r="AGO9" s="114"/>
      <c r="AGP9" s="114"/>
    </row>
    <row r="10" spans="2:874" ht="12" hidden="1" customHeight="1" x14ac:dyDescent="0.2">
      <c r="B10" s="266" t="str">
        <f t="shared" si="0"/>
        <v/>
      </c>
      <c r="C10" s="267"/>
      <c r="D10" s="268"/>
      <c r="E10" s="269" t="str">
        <f t="shared" si="13"/>
        <v/>
      </c>
      <c r="F10" s="270"/>
      <c r="G10" s="270"/>
      <c r="H10" s="271"/>
      <c r="I10" s="270"/>
      <c r="J10" s="268"/>
      <c r="K10" s="270"/>
      <c r="L10" s="268"/>
      <c r="M10" s="268"/>
      <c r="N10" s="270"/>
      <c r="O10" s="272"/>
      <c r="P10" s="272"/>
      <c r="Q10" s="272">
        <f t="shared" si="32"/>
        <v>0</v>
      </c>
      <c r="R10" s="272" t="str">
        <f t="shared" si="33"/>
        <v/>
      </c>
      <c r="S10" s="272"/>
      <c r="T10" s="273">
        <f t="shared" si="34"/>
        <v>0</v>
      </c>
      <c r="U10" s="272" t="str">
        <f t="shared" si="35"/>
        <v/>
      </c>
      <c r="V10" s="272"/>
      <c r="W10" s="273">
        <f t="shared" si="36"/>
        <v>0</v>
      </c>
      <c r="X10" s="272" t="str">
        <f t="shared" si="37"/>
        <v/>
      </c>
      <c r="Y10" s="272"/>
      <c r="Z10" s="272">
        <f t="shared" si="38"/>
        <v>0</v>
      </c>
      <c r="AA10" s="272">
        <f t="shared" si="1"/>
        <v>0</v>
      </c>
      <c r="AB10" s="272" t="str">
        <f t="shared" si="39"/>
        <v/>
      </c>
      <c r="AC10" s="272"/>
      <c r="AD10" s="272">
        <f t="shared" si="2"/>
        <v>0</v>
      </c>
      <c r="AE10" s="272" t="str">
        <f t="shared" si="40"/>
        <v/>
      </c>
      <c r="AF10" s="272"/>
      <c r="AG10" s="272"/>
      <c r="AH10" s="272">
        <f>IF(AND(Q10&gt;0,AE10=1,【様式第６号】事業報告書兼チェックシート!B66=""),100,0)</f>
        <v>0</v>
      </c>
      <c r="AI10" s="272" t="str">
        <f t="shared" si="41"/>
        <v/>
      </c>
      <c r="AJ10" s="272"/>
      <c r="AK10" s="272"/>
      <c r="AL10" s="272">
        <f t="shared" si="3"/>
        <v>0</v>
      </c>
      <c r="AM10" s="272" t="str">
        <f t="shared" si="42"/>
        <v/>
      </c>
      <c r="AN10" s="272"/>
      <c r="AO10" s="272"/>
      <c r="AP10" s="272"/>
      <c r="AQ10" s="272"/>
      <c r="AR10" s="272"/>
      <c r="AS10" s="272"/>
      <c r="AT10" s="272"/>
      <c r="AU10" s="272">
        <f t="shared" si="43"/>
        <v>0</v>
      </c>
      <c r="AV10" s="272">
        <f t="shared" si="44"/>
        <v>0</v>
      </c>
      <c r="AW10" s="272"/>
      <c r="AX10" s="272"/>
      <c r="AY10" s="272">
        <f t="shared" si="4"/>
        <v>0</v>
      </c>
      <c r="AZ10" s="272"/>
      <c r="BA10" s="274"/>
      <c r="BB10" s="272"/>
      <c r="BC10" s="272">
        <f t="shared" si="45"/>
        <v>0</v>
      </c>
      <c r="BD10" s="272" t="str">
        <f t="shared" si="46"/>
        <v/>
      </c>
      <c r="BE10" s="272"/>
      <c r="BF10" s="272"/>
      <c r="BG10" s="272" t="e">
        <f>IF(AND(BC10&gt;0,BD10=1,#REF!=""),100,0)</f>
        <v>#REF!</v>
      </c>
      <c r="BH10" s="272" t="str">
        <f t="shared" si="47"/>
        <v/>
      </c>
      <c r="BI10" s="272"/>
      <c r="BJ10" s="272"/>
      <c r="BK10" s="272"/>
      <c r="BL10" s="272">
        <f t="shared" si="48"/>
        <v>0</v>
      </c>
      <c r="BM10" s="272" t="str">
        <f t="shared" si="49"/>
        <v/>
      </c>
      <c r="BN10" s="272"/>
      <c r="BO10" s="272"/>
      <c r="BP10" s="272"/>
      <c r="BQ10" s="272">
        <f t="shared" si="50"/>
        <v>0</v>
      </c>
      <c r="BR10" s="272"/>
      <c r="BS10" s="272">
        <f t="shared" si="5"/>
        <v>0</v>
      </c>
      <c r="BT10" s="275"/>
      <c r="BU10" s="276"/>
      <c r="BV10" s="276"/>
      <c r="BW10" s="276"/>
      <c r="BX10" s="276"/>
      <c r="BY10" s="277"/>
      <c r="BZ10" s="275"/>
      <c r="CA10" s="276"/>
      <c r="CB10" s="276"/>
      <c r="CC10" s="276"/>
      <c r="CD10" s="276"/>
      <c r="CE10" s="277"/>
      <c r="CF10" s="271"/>
      <c r="CG10" s="278">
        <f t="shared" si="14"/>
        <v>0</v>
      </c>
      <c r="CH10" s="270"/>
      <c r="CI10" s="270"/>
      <c r="CJ10" s="268"/>
      <c r="CK10" s="270"/>
      <c r="CL10" s="279"/>
      <c r="CM10" s="268"/>
      <c r="CN10" s="271"/>
      <c r="CO10" s="270"/>
      <c r="CP10" s="270"/>
      <c r="CQ10" s="271"/>
      <c r="CR10" s="271"/>
      <c r="CS10" s="270"/>
      <c r="CT10" s="270"/>
      <c r="CU10" s="270"/>
      <c r="CV10" s="270"/>
      <c r="CW10" s="270"/>
      <c r="CX10" s="270"/>
      <c r="CY10" s="270"/>
      <c r="CZ10" s="280"/>
      <c r="DA10" s="270"/>
      <c r="DB10" s="272"/>
      <c r="DC10" s="272"/>
      <c r="DD10" s="272"/>
      <c r="DE10" s="272">
        <f t="shared" si="6"/>
        <v>0</v>
      </c>
      <c r="DF10" s="272">
        <f t="shared" si="7"/>
        <v>0</v>
      </c>
      <c r="DG10" s="272" t="str">
        <f t="shared" si="15"/>
        <v/>
      </c>
      <c r="DH10" s="272"/>
      <c r="DI10" s="272"/>
      <c r="DJ10" s="273">
        <f t="shared" si="16"/>
        <v>0</v>
      </c>
      <c r="DK10" s="272">
        <f t="shared" si="8"/>
        <v>0</v>
      </c>
      <c r="DL10" s="272" t="str">
        <f t="shared" si="17"/>
        <v/>
      </c>
      <c r="DM10" s="272"/>
      <c r="DN10" s="272"/>
      <c r="DO10" s="272"/>
      <c r="DP10" s="272"/>
      <c r="DQ10" s="272"/>
      <c r="DR10" s="272"/>
      <c r="DS10" s="273">
        <f>IF(AND(DE10&gt;0,DM10&gt;=1),MIN(INT(DM10)*20,200),0)</f>
        <v>0</v>
      </c>
      <c r="DT10" s="272">
        <f>MIN(W10,DS10)</f>
        <v>0</v>
      </c>
      <c r="DU10" s="272" t="str">
        <f t="shared" si="18"/>
        <v/>
      </c>
      <c r="DV10" s="272"/>
      <c r="DW10" s="272">
        <f t="shared" si="9"/>
        <v>0</v>
      </c>
      <c r="DX10" s="272" t="str">
        <f t="shared" si="19"/>
        <v/>
      </c>
      <c r="DY10" s="272"/>
      <c r="DZ10" s="272"/>
      <c r="EA10" s="272">
        <f>IF(AND(DE10&gt;0,DY10&gt;=1),MIN(INT(DY10)*2,150),0)</f>
        <v>0</v>
      </c>
      <c r="EB10" s="272">
        <f t="shared" si="10"/>
        <v>0</v>
      </c>
      <c r="EC10" s="272">
        <f>MIN(AA10,EB10)</f>
        <v>0</v>
      </c>
      <c r="ED10" s="272" t="str">
        <f t="shared" si="20"/>
        <v/>
      </c>
      <c r="EE10" s="272"/>
      <c r="EF10" s="272"/>
      <c r="EG10" s="272">
        <f>IF(AND(DE10&gt;0,ED10=1,【様式第６号】事業報告書兼チェックシート!B66=""),100,0)</f>
        <v>0</v>
      </c>
      <c r="EH10" s="272">
        <f>MIN(AH10,EG10)</f>
        <v>0</v>
      </c>
      <c r="EI10" s="272" t="str">
        <f t="shared" si="21"/>
        <v/>
      </c>
      <c r="EJ10" s="272"/>
      <c r="EK10" s="272"/>
      <c r="EL10" s="272">
        <f t="shared" si="11"/>
        <v>0</v>
      </c>
      <c r="EM10" s="272">
        <f>MIN(AL10,EL10)</f>
        <v>0</v>
      </c>
      <c r="EN10" s="272" t="str">
        <f t="shared" si="22"/>
        <v/>
      </c>
      <c r="EO10" s="272"/>
      <c r="EP10" s="272"/>
      <c r="EQ10" s="272"/>
      <c r="ER10" s="272"/>
      <c r="ES10" s="272"/>
      <c r="ET10" s="272"/>
      <c r="EU10" s="272"/>
      <c r="EV10" s="272">
        <f t="shared" si="23"/>
        <v>0</v>
      </c>
      <c r="EW10" s="272">
        <f t="shared" si="24"/>
        <v>0</v>
      </c>
      <c r="EX10" s="272">
        <f>MIN(AV10,EW10)</f>
        <v>0</v>
      </c>
      <c r="EY10" s="272"/>
      <c r="EZ10" s="272"/>
      <c r="FA10" s="272"/>
      <c r="FB10" s="272"/>
      <c r="FC10" s="272"/>
      <c r="FD10" s="272">
        <f>IF(D10="新築",MIN(1500,CG10,MIN(DF10+DK10+DT10+EC10+EH10+EM10+EX10,1000)),0)</f>
        <v>0</v>
      </c>
      <c r="FE10" s="272">
        <f>AY10-FD10</f>
        <v>0</v>
      </c>
      <c r="FF10" s="272"/>
      <c r="FG10" s="281"/>
      <c r="FH10" s="281"/>
      <c r="FI10" s="272"/>
      <c r="FJ10" s="272"/>
      <c r="FK10" s="272">
        <f t="shared" si="25"/>
        <v>0</v>
      </c>
      <c r="FL10" s="272">
        <f>MIN(BC10,FK10)</f>
        <v>0</v>
      </c>
      <c r="FM10" s="272" t="str">
        <f t="shared" si="26"/>
        <v/>
      </c>
      <c r="FN10" s="272"/>
      <c r="FO10" s="272"/>
      <c r="FP10" s="272" t="e">
        <f>IF(AND(FK10&gt;0,FM10=1,#REF!=""),100,0)</f>
        <v>#REF!</v>
      </c>
      <c r="FQ10" s="272" t="e">
        <f>MIN(BG10,FP10)</f>
        <v>#REF!</v>
      </c>
      <c r="FR10" s="272" t="str">
        <f t="shared" si="27"/>
        <v/>
      </c>
      <c r="FS10" s="272"/>
      <c r="FT10" s="272"/>
      <c r="FU10" s="272"/>
      <c r="FV10" s="272">
        <f t="shared" si="28"/>
        <v>0</v>
      </c>
      <c r="FW10" s="272">
        <f>MIN(BL10,FV10)</f>
        <v>0</v>
      </c>
      <c r="FX10" s="272" t="str">
        <f t="shared" si="29"/>
        <v/>
      </c>
      <c r="FY10" s="272"/>
      <c r="FZ10" s="272"/>
      <c r="GA10" s="272"/>
      <c r="GB10" s="272">
        <f t="shared" si="30"/>
        <v>0</v>
      </c>
      <c r="GC10" s="272">
        <f>MIN(BQ10,GB10)</f>
        <v>0</v>
      </c>
      <c r="GD10" s="272"/>
      <c r="GE10" s="272"/>
      <c r="GF10" s="272">
        <f>IF(D10="改修",MIN(500,FL10+FQ10+FW10+GC10,INT(CL10*10/2)),0)</f>
        <v>0</v>
      </c>
      <c r="GG10" s="272">
        <f>BS10-GF10</f>
        <v>0</v>
      </c>
      <c r="GH10" s="270"/>
      <c r="GI10" s="271"/>
      <c r="GJ10" s="271"/>
      <c r="GK10" s="271"/>
      <c r="GL10" s="262">
        <f>IF(D10="新築",AY10,IF(D10="改修",BS10,0))</f>
        <v>0</v>
      </c>
      <c r="GM10" s="262">
        <f t="shared" si="12"/>
        <v>0</v>
      </c>
      <c r="GN10" s="262">
        <f t="shared" si="31"/>
        <v>0</v>
      </c>
    </row>
    <row r="11" spans="2:874" s="265" customFormat="1" ht="21.6" customHeight="1" outlineLevel="1" x14ac:dyDescent="0.2">
      <c r="B11" s="245" t="str">
        <f t="shared" si="0"/>
        <v/>
      </c>
      <c r="C11" s="282"/>
      <c r="D11" s="252" t="s">
        <v>408</v>
      </c>
      <c r="E11" s="248" t="str">
        <f t="shared" si="13"/>
        <v/>
      </c>
      <c r="F11" s="249"/>
      <c r="G11" s="252" t="s">
        <v>456</v>
      </c>
      <c r="H11" s="250"/>
      <c r="I11" s="251" t="s">
        <v>453</v>
      </c>
      <c r="J11" s="252" t="s">
        <v>453</v>
      </c>
      <c r="K11" s="251" t="s">
        <v>453</v>
      </c>
      <c r="L11" s="252" t="s">
        <v>453</v>
      </c>
      <c r="M11" s="252" t="s">
        <v>453</v>
      </c>
      <c r="N11" s="251" t="s">
        <v>453</v>
      </c>
      <c r="O11" s="253" t="s">
        <v>453</v>
      </c>
      <c r="P11" s="253" t="s">
        <v>453</v>
      </c>
      <c r="Q11" s="254">
        <f>IF(P11="",0,IF(P11&gt;=10,150,0))</f>
        <v>0</v>
      </c>
      <c r="R11" s="253" t="str">
        <f>IF(S11="","",IF(S11&gt;=1,1,""))</f>
        <v/>
      </c>
      <c r="S11" s="253" t="s">
        <v>453</v>
      </c>
      <c r="T11" s="255">
        <f t="shared" si="34"/>
        <v>0</v>
      </c>
      <c r="U11" s="253" t="str">
        <f>IF(V11="","",IF(V11&gt;=1,1,""))</f>
        <v/>
      </c>
      <c r="V11" s="253" t="s">
        <v>453</v>
      </c>
      <c r="W11" s="255">
        <f t="shared" si="36"/>
        <v>0</v>
      </c>
      <c r="X11" s="253" t="str">
        <f>IF(Y11="","",IF(Y11&gt;=1,1,""))</f>
        <v/>
      </c>
      <c r="Y11" s="253">
        <v>0</v>
      </c>
      <c r="Z11" s="253">
        <f t="shared" si="38"/>
        <v>0</v>
      </c>
      <c r="AA11" s="254">
        <f t="shared" si="1"/>
        <v>0</v>
      </c>
      <c r="AB11" s="253" t="str">
        <f>IF(AC11="","",IF(AC11&gt;=1,1,""))</f>
        <v/>
      </c>
      <c r="AC11" s="253" t="s">
        <v>453</v>
      </c>
      <c r="AD11" s="253">
        <f t="shared" si="2"/>
        <v>0</v>
      </c>
      <c r="AE11" s="253" t="str">
        <f t="shared" si="40"/>
        <v/>
      </c>
      <c r="AF11" s="253" t="s">
        <v>453</v>
      </c>
      <c r="AG11" s="253" t="s">
        <v>453</v>
      </c>
      <c r="AH11" s="254">
        <f>IF(AND(Q11&gt;0,AE11=1,【様式第６号】事業報告書兼チェックシート!B67=""),100,0)</f>
        <v>0</v>
      </c>
      <c r="AI11" s="253" t="str">
        <f>IF(OR(AJ11=1,AK11=1),1,"")</f>
        <v/>
      </c>
      <c r="AJ11" s="253" t="s">
        <v>453</v>
      </c>
      <c r="AK11" s="253" t="s">
        <v>453</v>
      </c>
      <c r="AL11" s="254">
        <f t="shared" si="3"/>
        <v>0</v>
      </c>
      <c r="AM11" s="253" t="str">
        <f t="shared" si="42"/>
        <v/>
      </c>
      <c r="AN11" s="253" t="s">
        <v>453</v>
      </c>
      <c r="AO11" s="253" t="s">
        <v>453</v>
      </c>
      <c r="AP11" s="253" t="s">
        <v>453</v>
      </c>
      <c r="AQ11" s="253" t="s">
        <v>453</v>
      </c>
      <c r="AR11" s="253" t="s">
        <v>453</v>
      </c>
      <c r="AS11" s="253" t="s">
        <v>453</v>
      </c>
      <c r="AT11" s="253" t="s">
        <v>453</v>
      </c>
      <c r="AU11" s="253">
        <f t="shared" si="43"/>
        <v>0</v>
      </c>
      <c r="AV11" s="254">
        <f t="shared" si="44"/>
        <v>0</v>
      </c>
      <c r="AW11" s="256"/>
      <c r="AX11" s="256"/>
      <c r="AY11" s="254">
        <f t="shared" si="4"/>
        <v>0</v>
      </c>
      <c r="AZ11" s="256"/>
      <c r="BA11" s="257"/>
      <c r="BB11" s="256"/>
      <c r="BC11" s="254">
        <f t="shared" si="45"/>
        <v>0</v>
      </c>
      <c r="BD11" s="253" t="str">
        <f>IF(OR(BE11=1,BF11=1),1,"")</f>
        <v/>
      </c>
      <c r="BE11" s="256"/>
      <c r="BF11" s="256"/>
      <c r="BG11" s="254" t="e">
        <f>IF(AND(BC11&gt;0,BD11=1,#REF!=""),100,0)</f>
        <v>#REF!</v>
      </c>
      <c r="BH11" s="253" t="str">
        <f t="shared" si="47"/>
        <v/>
      </c>
      <c r="BI11" s="256"/>
      <c r="BJ11" s="256"/>
      <c r="BK11" s="256"/>
      <c r="BL11" s="254">
        <f t="shared" si="48"/>
        <v>0</v>
      </c>
      <c r="BM11" s="253" t="str">
        <f t="shared" si="49"/>
        <v/>
      </c>
      <c r="BN11" s="256"/>
      <c r="BO11" s="256"/>
      <c r="BP11" s="256"/>
      <c r="BQ11" s="254">
        <f t="shared" si="50"/>
        <v>0</v>
      </c>
      <c r="BR11" s="256"/>
      <c r="BS11" s="254">
        <f t="shared" si="5"/>
        <v>0</v>
      </c>
      <c r="BT11" s="283" t="s">
        <v>453</v>
      </c>
      <c r="BU11" s="259" t="s">
        <v>8</v>
      </c>
      <c r="BV11" s="259" t="s">
        <v>453</v>
      </c>
      <c r="BW11" s="259" t="s">
        <v>416</v>
      </c>
      <c r="BX11" s="259" t="s">
        <v>453</v>
      </c>
      <c r="BY11" s="261" t="s">
        <v>7</v>
      </c>
      <c r="BZ11" s="283" t="s">
        <v>453</v>
      </c>
      <c r="CA11" s="259" t="s">
        <v>8</v>
      </c>
      <c r="CB11" s="259" t="s">
        <v>453</v>
      </c>
      <c r="CC11" s="259" t="s">
        <v>416</v>
      </c>
      <c r="CD11" s="259" t="s">
        <v>453</v>
      </c>
      <c r="CE11" s="261" t="s">
        <v>7</v>
      </c>
      <c r="CF11" s="249"/>
      <c r="CG11" s="262">
        <f t="shared" si="14"/>
        <v>0</v>
      </c>
      <c r="CH11" s="251" t="s">
        <v>453</v>
      </c>
      <c r="CI11" s="251" t="s">
        <v>453</v>
      </c>
      <c r="CJ11" s="247"/>
      <c r="CK11" s="251" t="s">
        <v>453</v>
      </c>
      <c r="CL11" s="251" t="s">
        <v>453</v>
      </c>
      <c r="CM11" s="251" t="s">
        <v>453</v>
      </c>
      <c r="CN11" s="249"/>
      <c r="CO11" s="249"/>
      <c r="CP11" s="249"/>
      <c r="CQ11" s="250"/>
      <c r="CR11" s="250"/>
      <c r="CS11" s="249"/>
      <c r="CT11" s="249"/>
      <c r="CU11" s="249"/>
      <c r="CV11" s="249"/>
      <c r="CW11" s="249"/>
      <c r="CX11" s="249"/>
      <c r="CY11" s="249"/>
      <c r="CZ11" t="s">
        <v>452</v>
      </c>
      <c r="DA11" s="247"/>
      <c r="DB11" s="253" t="str">
        <f>IF(【様式第６号】事業報告書兼チェックシート!Q100="","",【様式第６号】事業報告書兼チェックシート!Q100)</f>
        <v/>
      </c>
      <c r="DC11" s="253">
        <f>IF(【様式第６号】事業報告書兼チェックシート!I31="専用住宅",IF(【様式第６号】事業報告書兼チェックシート!Q101="",0,【様式第６号】事業報告書兼チェックシート!Q101),【様式第６号】事業報告書兼チェックシート!U101)</f>
        <v>0</v>
      </c>
      <c r="DD11" s="256"/>
      <c r="DE11" s="254">
        <f>IF(DC11&gt;=10,150,0)</f>
        <v>0</v>
      </c>
      <c r="DF11" s="254">
        <f>IF('要入力　登録決定状況入力シート'!D3="",0,MIN('要入力　登録決定状況入力シート'!D3/1000,DE11))</f>
        <v>0</v>
      </c>
      <c r="DG11" s="253" t="str">
        <f>IF(DH11="","",IF(DH11&gt;=1,1,""))</f>
        <v/>
      </c>
      <c r="DH11" s="253">
        <f>IF(【様式第６号】事業報告書兼チェックシート!I31="専用住宅",IF(【様式第６号】事業報告書兼チェックシート!Q102="",0,【様式第６号】事業報告書兼チェックシート!Q102),【様式第６号】事業報告書兼チェックシート!U102)</f>
        <v>0</v>
      </c>
      <c r="DI11" s="256"/>
      <c r="DJ11" s="255">
        <f>IF(DE11=0,0,IF(DH11&gt;=25,MIN(250,ROUNDDOWN(DH11*10,-1)),IF(DH11&gt;=20,MIN(200,ROUNDDOWN(DH11*10,-1)),IF(DH11&gt;=15,MIN(150,ROUNDDOWN(DH11*10,-1)),MIN(100,ROUNDDOWN(DH11*10,-1))))))</f>
        <v>0</v>
      </c>
      <c r="DK11" s="254">
        <f>IF('要入力　登録決定状況入力シート'!D4="",0,MIN('要入力　登録決定状況入力シート'!D4/1000,DJ11))</f>
        <v>0</v>
      </c>
      <c r="DL11" s="253" t="str">
        <f>IF(DM11="","",IF(DM11&gt;=1,1,""))</f>
        <v/>
      </c>
      <c r="DM11" s="253">
        <f>IF(【様式第６号】事業報告書兼チェックシート!I31="専用住宅",IF(【様式第６号】事業報告書兼チェックシート!Q103="",0,【様式第６号】事業報告書兼チェックシート!Q103),【様式第６号】事業報告書兼チェックシート!U103)</f>
        <v>0</v>
      </c>
      <c r="DN11" s="253">
        <f>IF(AND(DE11&gt;0,DM11&gt;=1),MIN(INT(DM11)*30,300),0)</f>
        <v>0</v>
      </c>
      <c r="DO11" s="253" t="str">
        <f>IF(DP11="","",IF(DP11&gt;=1,1,""))</f>
        <v/>
      </c>
      <c r="DP11" s="253">
        <f>IF(【様式第６号】事業報告書兼チェックシート!I31="専用住宅",IF(【様式第６号】事業報告書兼チェックシート!Q105="",0,【様式第６号】事業報告書兼チェックシート!Q105),【様式第６号】事業報告書兼チェックシート!U105)</f>
        <v>0</v>
      </c>
      <c r="DQ11" s="253">
        <f>IF(AND(DE11&gt;0,DP11&gt;=1),MIN(INT(DP11)*20,300),0)</f>
        <v>0</v>
      </c>
      <c r="DR11" s="256"/>
      <c r="DS11" s="255">
        <f>IF(AND(DE11&gt;0,DM11+DP11&gt;=1),MIN(INT(DN11+DQ11),300),0)</f>
        <v>0</v>
      </c>
      <c r="DT11" s="254">
        <f>IF('要入力　登録決定状況入力シート'!D5="",0,MIN('要入力　登録決定状況入力シート'!D5/1000,DS11))</f>
        <v>0</v>
      </c>
      <c r="DU11" s="253" t="str">
        <f t="shared" si="18"/>
        <v/>
      </c>
      <c r="DV11" s="253">
        <f>IF(【様式第６号】事業報告書兼チェックシート!I31="専用住宅",IF(【様式第６号】事業報告書兼チェックシート!Q107="",0,【様式第６号】事業報告書兼チェックシート!Q107),【様式第６号】事業報告書兼チェックシート!U107)</f>
        <v>0</v>
      </c>
      <c r="DW11" s="253">
        <f t="shared" si="9"/>
        <v>0</v>
      </c>
      <c r="DX11" s="253" t="str">
        <f>IF(DY11="","",IF(DY11&gt;=1,1,""))</f>
        <v/>
      </c>
      <c r="DY11" s="253">
        <f>IF(【様式第６号】事業報告書兼チェックシート!I31="専用住宅",IF(【様式第６号】事業報告書兼チェックシート!Q108="",0,【様式第６号】事業報告書兼チェックシート!Q108),【様式第６号】事業報告書兼チェックシート!U108)</f>
        <v>0</v>
      </c>
      <c r="DZ11" s="256"/>
      <c r="EA11" s="253">
        <f>IF(AND(DE11&gt;0,DY11&gt;=1),MIN(INT(DY11)*3,200),0)</f>
        <v>0</v>
      </c>
      <c r="EB11" s="254">
        <f>IF(OR(EA11&gt;0,DW11&gt;0),MIN(EA11+DW11,200),0)</f>
        <v>0</v>
      </c>
      <c r="EC11" s="254">
        <f>IF('要入力　登録決定状況入力シート'!D6="",0,MIN('要入力　登録決定状況入力シート'!D6/1000,EB11))</f>
        <v>0</v>
      </c>
      <c r="ED11" s="253" t="str">
        <f t="shared" si="20"/>
        <v/>
      </c>
      <c r="EE11" s="253">
        <f>IF(【様式第６号】事業報告書兼チェックシート!Y128="",0,IF(【様式第６号】事業報告書兼チェックシート!B130="","",1))</f>
        <v>0</v>
      </c>
      <c r="EF11" s="253">
        <f>IF(【様式第６号】事業報告書兼チェックシート!Y128="",0,IF(【様式第６号】事業報告書兼チェックシート!P130="","",1))</f>
        <v>0</v>
      </c>
      <c r="EG11" s="254" t="str">
        <f>IFERROR(【様式第６号】事業報告書兼チェックシート!Y128*10,"0")</f>
        <v>0</v>
      </c>
      <c r="EH11" s="254">
        <f>IF('要入力　登録決定状況入力シート'!D8="",0,MIN('要入力　登録決定状況入力シート'!D8/1000,EG11))</f>
        <v>0</v>
      </c>
      <c r="EI11" s="253" t="str">
        <f t="shared" si="21"/>
        <v/>
      </c>
      <c r="EJ11" s="253" t="str">
        <f>IF(【様式第６号】事業報告書兼チェックシート!Y146="","",IF(【様式第６号】事業報告書兼チェックシート!B155="","",1))</f>
        <v/>
      </c>
      <c r="EK11" s="253" t="str">
        <f>IF(【様式第６号】事業報告書兼チェックシート!Y146="","",IF(【様式第６号】事業報告書兼チェックシート!B155="",1,""))</f>
        <v/>
      </c>
      <c r="EL11" s="254">
        <f t="shared" si="11"/>
        <v>0</v>
      </c>
      <c r="EM11" s="254">
        <f>IF('要入力　登録決定状況入力シート'!D9="",0,MIN('要入力　登録決定状況入力シート'!D9/1000,EL11))</f>
        <v>0</v>
      </c>
      <c r="EN11" s="253" t="str">
        <f t="shared" si="22"/>
        <v/>
      </c>
      <c r="EO11" s="253" t="str">
        <f>IF(【様式第６号】事業報告書兼チェックシート!F182="","",【様式第６号】事業報告書兼チェックシート!F182)</f>
        <v/>
      </c>
      <c r="EP11" s="253" t="str">
        <f>IF(【様式第６号】事業報告書兼チェックシート!F187="","",【様式第６号】事業報告書兼チェックシート!F187)</f>
        <v/>
      </c>
      <c r="EQ11" s="253" t="str">
        <f>IF(【様式第６号】事業報告書兼チェックシート!F194="","",【様式第６号】事業報告書兼チェックシート!F194)</f>
        <v/>
      </c>
      <c r="ER11" s="253" t="str">
        <f>IF(【様式第６号】事業報告書兼チェックシート!F202="","",【様式第６号】事業報告書兼チェックシート!F202)</f>
        <v/>
      </c>
      <c r="ES11" s="253" t="str">
        <f>IF(【様式第６号】事業報告書兼チェックシート!F210="","",【様式第６号】事業報告書兼チェックシート!F210)</f>
        <v/>
      </c>
      <c r="ET11" s="253" t="str">
        <f>IF(【様式第６号】事業報告書兼チェックシート!F220="","",【様式第６号】事業報告書兼チェックシート!F220)</f>
        <v/>
      </c>
      <c r="EU11" s="253" t="str">
        <f>IF(【様式第６号】事業報告書兼チェックシート!F227="","",【様式第６号】事業報告書兼チェックシート!F227)</f>
        <v/>
      </c>
      <c r="EV11" s="253">
        <f t="shared" si="23"/>
        <v>0</v>
      </c>
      <c r="EW11" s="254">
        <f t="shared" si="24"/>
        <v>0</v>
      </c>
      <c r="EX11" s="254">
        <f>IF('要入力　登録決定状況入力シート'!D7="",0,MIN('要入力　登録決定状況入力シート'!D7/1000,EW11))</f>
        <v>0</v>
      </c>
      <c r="EY11" s="253" t="str">
        <f>IF(【様式第６号】事業報告書兼チェックシート!N203="","",【様式第６号】事業報告書兼チェックシート!N203)</f>
        <v>　</v>
      </c>
      <c r="EZ11" s="297" t="str">
        <f>IF(【様式第６号】事業報告書兼チェックシート!R196="","",【様式第６号】事業報告書兼チェックシート!R196)</f>
        <v>　</v>
      </c>
      <c r="FA11" s="297" t="str">
        <f>IF(【様式第６号】事業報告書兼チェックシート!R197="","",【様式第６号】事業報告書兼チェックシート!R197)</f>
        <v>　</v>
      </c>
      <c r="FB11" s="256"/>
      <c r="FC11" s="256"/>
      <c r="FD11" s="254">
        <f>IF(D11="新築",MIN(DF11+DK11+DT11+EC11+EH11+EM11+EX11,1000),0)</f>
        <v>0</v>
      </c>
      <c r="FE11" s="290" t="str">
        <f>IFERROR('要入力　登録決定状況入力シート'!D12/1000-FD11,"0")</f>
        <v>0</v>
      </c>
      <c r="FF11" s="256"/>
      <c r="FG11" s="264"/>
      <c r="FH11" s="264"/>
      <c r="FI11" s="256"/>
      <c r="FJ11" s="256"/>
      <c r="FK11" s="254"/>
      <c r="FL11" s="254"/>
      <c r="FM11" s="253"/>
      <c r="FN11" s="256"/>
      <c r="FO11" s="256"/>
      <c r="FP11" s="254"/>
      <c r="FQ11" s="254"/>
      <c r="FR11" s="253"/>
      <c r="FS11" s="256"/>
      <c r="FT11" s="256"/>
      <c r="FU11" s="256"/>
      <c r="FV11" s="254"/>
      <c r="FW11" s="254"/>
      <c r="FX11" s="253"/>
      <c r="FY11" s="256"/>
      <c r="FZ11" s="256"/>
      <c r="GA11" s="256"/>
      <c r="GB11" s="254"/>
      <c r="GC11" s="254"/>
      <c r="GD11" s="256"/>
      <c r="GE11" s="256"/>
      <c r="GF11" s="254"/>
      <c r="GG11" s="254"/>
      <c r="GH11" s="249"/>
      <c r="GI11" s="250"/>
      <c r="GJ11" s="250"/>
      <c r="GK11" s="250"/>
      <c r="GL11" s="262">
        <f>IFERROR(IF(D11="新築",'要入力　登録決定状況入力シート'!D12/1000,IF(D11="改修",BS11,0)),0)</f>
        <v>0</v>
      </c>
      <c r="GM11" s="262">
        <f t="shared" si="12"/>
        <v>0</v>
      </c>
      <c r="GN11" s="262">
        <f t="shared" si="31"/>
        <v>0</v>
      </c>
      <c r="GO11" s="114"/>
      <c r="GP11" s="114"/>
      <c r="GQ11" s="114"/>
      <c r="GR11" s="114"/>
      <c r="GS11" s="114"/>
      <c r="GT11" s="114"/>
      <c r="GU11" s="114"/>
      <c r="GV11" s="114"/>
      <c r="GW11" s="114"/>
      <c r="GX11" s="114"/>
      <c r="GY11" s="114"/>
      <c r="GZ11" s="114"/>
      <c r="HA11" s="114"/>
      <c r="HB11" s="114"/>
      <c r="HC11" s="114"/>
      <c r="HD11" s="114"/>
      <c r="HE11" s="114"/>
      <c r="HF11" s="114"/>
      <c r="HG11" s="114"/>
      <c r="HH11" s="114"/>
      <c r="HI11" s="114"/>
      <c r="HJ11" s="114"/>
      <c r="HK11" s="114"/>
      <c r="HL11" s="114"/>
      <c r="HM11" s="114"/>
      <c r="HN11" s="114"/>
      <c r="HO11" s="114"/>
      <c r="HP11" s="114"/>
      <c r="HQ11" s="114"/>
      <c r="HR11" s="114"/>
      <c r="HS11" s="114"/>
      <c r="HT11" s="114"/>
      <c r="HU11" s="114"/>
      <c r="HV11" s="114"/>
      <c r="HW11" s="114"/>
      <c r="HX11" s="114"/>
      <c r="HY11" s="114"/>
      <c r="HZ11" s="114"/>
      <c r="IA11" s="114"/>
      <c r="IB11" s="114"/>
      <c r="IC11" s="114"/>
      <c r="ID11" s="114"/>
      <c r="IE11" s="114"/>
      <c r="IF11" s="114"/>
      <c r="IG11" s="114"/>
      <c r="IH11" s="114"/>
      <c r="II11" s="114"/>
      <c r="IJ11" s="114"/>
      <c r="IK11" s="114"/>
      <c r="IL11" s="114"/>
      <c r="IM11" s="114"/>
      <c r="IN11" s="114"/>
      <c r="IO11" s="114"/>
      <c r="IP11" s="114"/>
      <c r="IQ11" s="114"/>
      <c r="IR11" s="114"/>
      <c r="IS11" s="114"/>
      <c r="IT11" s="114"/>
      <c r="IU11" s="114"/>
      <c r="IV11" s="114"/>
      <c r="IW11" s="114"/>
      <c r="IX11" s="114"/>
      <c r="IY11" s="114"/>
      <c r="IZ11" s="114"/>
      <c r="JA11" s="114"/>
      <c r="JB11" s="114"/>
      <c r="JC11" s="114"/>
      <c r="JD11" s="114"/>
      <c r="JE11" s="114"/>
      <c r="JF11" s="114"/>
      <c r="JG11" s="114"/>
      <c r="JH11" s="114"/>
      <c r="JI11" s="114"/>
      <c r="JJ11" s="114"/>
      <c r="JK11" s="114"/>
      <c r="JL11" s="114"/>
      <c r="JM11" s="114"/>
      <c r="JN11" s="114"/>
      <c r="JO11" s="114"/>
      <c r="JP11" s="114"/>
      <c r="JQ11" s="114"/>
      <c r="JR11" s="114"/>
      <c r="JS11" s="114"/>
      <c r="JT11" s="114"/>
      <c r="JU11" s="114"/>
      <c r="JV11" s="114"/>
      <c r="JW11" s="114"/>
      <c r="JX11" s="114"/>
      <c r="JY11" s="114"/>
      <c r="JZ11" s="114"/>
      <c r="KA11" s="114"/>
      <c r="KB11" s="114"/>
      <c r="KC11" s="114"/>
      <c r="KD11" s="114"/>
      <c r="KE11" s="114"/>
      <c r="KF11" s="114"/>
      <c r="KG11" s="114"/>
      <c r="KH11" s="114"/>
      <c r="KI11" s="114"/>
      <c r="KJ11" s="114"/>
      <c r="KK11" s="114"/>
      <c r="KL11" s="114"/>
      <c r="KM11" s="114"/>
      <c r="KN11" s="114"/>
      <c r="KO11" s="114"/>
      <c r="KP11" s="114"/>
      <c r="KQ11" s="114"/>
      <c r="KR11" s="114"/>
      <c r="KS11" s="114"/>
      <c r="KT11" s="114"/>
      <c r="KU11" s="114"/>
      <c r="KV11" s="114"/>
      <c r="KW11" s="114"/>
      <c r="KX11" s="114"/>
      <c r="KY11" s="114"/>
      <c r="KZ11" s="114"/>
      <c r="LA11" s="114"/>
      <c r="LB11" s="114"/>
      <c r="LC11" s="114"/>
      <c r="LD11" s="114"/>
      <c r="LE11" s="114"/>
      <c r="LF11" s="114"/>
      <c r="LG11" s="114"/>
      <c r="LH11" s="114"/>
      <c r="LI11" s="114"/>
      <c r="LJ11" s="114"/>
      <c r="LK11" s="114"/>
      <c r="LL11" s="114"/>
      <c r="LM11" s="114"/>
      <c r="LN11" s="114"/>
      <c r="LO11" s="114"/>
      <c r="LP11" s="114"/>
      <c r="LQ11" s="114"/>
      <c r="LR11" s="114"/>
      <c r="LS11" s="114"/>
      <c r="LT11" s="114"/>
      <c r="LU11" s="114"/>
      <c r="LV11" s="114"/>
      <c r="LW11" s="114"/>
      <c r="LX11" s="114"/>
      <c r="LY11" s="114"/>
      <c r="LZ11" s="114"/>
      <c r="MA11" s="114"/>
      <c r="MB11" s="114"/>
      <c r="MC11" s="114"/>
      <c r="MD11" s="114"/>
      <c r="ME11" s="114"/>
      <c r="MF11" s="114"/>
      <c r="MG11" s="114"/>
      <c r="MH11" s="114"/>
      <c r="MI11" s="114"/>
      <c r="MJ11" s="114"/>
      <c r="MK11" s="114"/>
      <c r="ML11" s="114"/>
      <c r="MM11" s="114"/>
      <c r="MN11" s="114"/>
      <c r="MO11" s="114"/>
      <c r="MP11" s="114"/>
      <c r="MQ11" s="114"/>
      <c r="MR11" s="114"/>
      <c r="MS11" s="114"/>
      <c r="MT11" s="114"/>
      <c r="MU11" s="114"/>
      <c r="MV11" s="114"/>
      <c r="MW11" s="114"/>
      <c r="MX11" s="114"/>
      <c r="MY11" s="114"/>
      <c r="MZ11" s="114"/>
      <c r="NA11" s="114"/>
      <c r="NB11" s="114"/>
      <c r="NC11" s="114"/>
      <c r="ND11" s="114"/>
      <c r="NE11" s="114"/>
      <c r="NF11" s="114"/>
      <c r="NG11" s="114"/>
      <c r="NH11" s="114"/>
      <c r="NI11" s="114"/>
      <c r="NJ11" s="114"/>
      <c r="NK11" s="114"/>
      <c r="NL11" s="114"/>
      <c r="NM11" s="114"/>
      <c r="NN11" s="114"/>
      <c r="NO11" s="114"/>
      <c r="NP11" s="114"/>
      <c r="NQ11" s="114"/>
      <c r="NR11" s="114"/>
      <c r="NS11" s="114"/>
      <c r="NT11" s="114"/>
      <c r="NU11" s="114"/>
      <c r="NV11" s="114"/>
      <c r="NW11" s="114"/>
      <c r="NX11" s="114"/>
      <c r="NY11" s="114"/>
      <c r="NZ11" s="114"/>
      <c r="OA11" s="114"/>
      <c r="OB11" s="114"/>
      <c r="OC11" s="114"/>
      <c r="OD11" s="114"/>
      <c r="OE11" s="114"/>
      <c r="OF11" s="114"/>
      <c r="OG11" s="114"/>
      <c r="OH11" s="114"/>
      <c r="OI11" s="114"/>
      <c r="OJ11" s="114"/>
      <c r="OK11" s="114"/>
      <c r="OL11" s="114"/>
      <c r="OM11" s="114"/>
      <c r="ON11" s="114"/>
      <c r="OO11" s="114"/>
      <c r="OP11" s="114"/>
      <c r="OQ11" s="114"/>
      <c r="OR11" s="114"/>
      <c r="OS11" s="114"/>
      <c r="OT11" s="114"/>
      <c r="OU11" s="114"/>
      <c r="OV11" s="114"/>
      <c r="OW11" s="114"/>
      <c r="OX11" s="114"/>
      <c r="OY11" s="114"/>
      <c r="OZ11" s="114"/>
      <c r="PA11" s="114"/>
      <c r="PB11" s="114"/>
      <c r="PC11" s="114"/>
      <c r="PD11" s="114"/>
      <c r="PE11" s="114"/>
      <c r="PF11" s="114"/>
      <c r="PG11" s="114"/>
      <c r="PH11" s="114"/>
      <c r="PI11" s="114"/>
      <c r="PJ11" s="114"/>
      <c r="PK11" s="114"/>
      <c r="PL11" s="114"/>
      <c r="PM11" s="114"/>
      <c r="PN11" s="114"/>
      <c r="PO11" s="114"/>
      <c r="PP11" s="114"/>
      <c r="PQ11" s="114"/>
      <c r="PR11" s="114"/>
      <c r="PS11" s="114"/>
      <c r="PT11" s="114"/>
      <c r="PU11" s="114"/>
      <c r="PV11" s="114"/>
      <c r="PW11" s="114"/>
      <c r="PX11" s="114"/>
      <c r="PY11" s="114"/>
      <c r="PZ11" s="114"/>
      <c r="QA11" s="114"/>
      <c r="QB11" s="114"/>
      <c r="QC11" s="114"/>
      <c r="QD11" s="114"/>
      <c r="QE11" s="114"/>
      <c r="QF11" s="114"/>
      <c r="QG11" s="114"/>
      <c r="QH11" s="114"/>
      <c r="QI11" s="114"/>
      <c r="QJ11" s="114"/>
      <c r="QK11" s="114"/>
      <c r="QL11" s="114"/>
      <c r="QM11" s="114"/>
      <c r="QN11" s="114"/>
      <c r="QO11" s="114"/>
      <c r="QP11" s="114"/>
      <c r="QQ11" s="114"/>
      <c r="QR11" s="114"/>
      <c r="QS11" s="114"/>
      <c r="QT11" s="114"/>
      <c r="QU11" s="114"/>
      <c r="QV11" s="114"/>
      <c r="QW11" s="114"/>
      <c r="QX11" s="114"/>
      <c r="QY11" s="114"/>
      <c r="QZ11" s="114"/>
      <c r="RA11" s="114"/>
      <c r="RB11" s="114"/>
      <c r="RC11" s="114"/>
      <c r="RD11" s="114"/>
      <c r="RE11" s="114"/>
      <c r="RF11" s="114"/>
      <c r="RG11" s="114"/>
      <c r="RH11" s="114"/>
      <c r="RI11" s="114"/>
      <c r="RJ11" s="114"/>
      <c r="RK11" s="114"/>
      <c r="RL11" s="114"/>
      <c r="RM11" s="114"/>
      <c r="RN11" s="114"/>
      <c r="RO11" s="114"/>
      <c r="RP11" s="114"/>
      <c r="RQ11" s="114"/>
      <c r="RR11" s="114"/>
      <c r="RS11" s="114"/>
      <c r="RT11" s="114"/>
      <c r="RU11" s="114"/>
      <c r="RV11" s="114"/>
      <c r="RW11" s="114"/>
      <c r="RX11" s="114"/>
      <c r="RY11" s="114"/>
      <c r="RZ11" s="114"/>
      <c r="SA11" s="114"/>
      <c r="SB11" s="114"/>
      <c r="SC11" s="114"/>
      <c r="SD11" s="114"/>
      <c r="SE11" s="114"/>
      <c r="SF11" s="114"/>
      <c r="SG11" s="114"/>
      <c r="SH11" s="114"/>
      <c r="SI11" s="114"/>
      <c r="SJ11" s="114"/>
      <c r="SK11" s="114"/>
      <c r="SL11" s="114"/>
      <c r="SM11" s="114"/>
      <c r="SN11" s="114"/>
      <c r="SO11" s="114"/>
      <c r="SP11" s="114"/>
      <c r="SQ11" s="114"/>
      <c r="SR11" s="114"/>
      <c r="SS11" s="114"/>
      <c r="ST11" s="114"/>
      <c r="SU11" s="114"/>
      <c r="SV11" s="114"/>
      <c r="SW11" s="114"/>
      <c r="SX11" s="114"/>
      <c r="SY11" s="114"/>
      <c r="SZ11" s="114"/>
      <c r="TA11" s="114"/>
      <c r="TB11" s="114"/>
      <c r="TC11" s="114"/>
      <c r="TD11" s="114"/>
      <c r="TE11" s="114"/>
      <c r="TF11" s="114"/>
      <c r="TG11" s="114"/>
      <c r="TH11" s="114"/>
      <c r="TI11" s="114"/>
      <c r="TJ11" s="114"/>
      <c r="TK11" s="114"/>
      <c r="TL11" s="114"/>
      <c r="TM11" s="114"/>
      <c r="TN11" s="114"/>
      <c r="TO11" s="114"/>
      <c r="TP11" s="114"/>
      <c r="TQ11" s="114"/>
      <c r="TR11" s="114"/>
      <c r="TS11" s="114"/>
      <c r="TT11" s="114"/>
      <c r="TU11" s="114"/>
      <c r="TV11" s="114"/>
      <c r="TW11" s="114"/>
      <c r="TX11" s="114"/>
      <c r="TY11" s="114"/>
      <c r="TZ11" s="114"/>
      <c r="UA11" s="114"/>
      <c r="UB11" s="114"/>
      <c r="UC11" s="114"/>
      <c r="UD11" s="114"/>
      <c r="UE11" s="114"/>
      <c r="UF11" s="114"/>
      <c r="UG11" s="114"/>
      <c r="UH11" s="114"/>
      <c r="UI11" s="114"/>
      <c r="UJ11" s="114"/>
      <c r="UK11" s="114"/>
      <c r="UL11" s="114"/>
      <c r="UM11" s="114"/>
      <c r="UN11" s="114"/>
      <c r="UO11" s="114"/>
      <c r="UP11" s="114"/>
      <c r="UQ11" s="114"/>
      <c r="UR11" s="114"/>
      <c r="US11" s="114"/>
      <c r="UT11" s="114"/>
      <c r="UU11" s="114"/>
      <c r="UV11" s="114"/>
      <c r="UW11" s="114"/>
      <c r="UX11" s="114"/>
      <c r="UY11" s="114"/>
      <c r="UZ11" s="114"/>
      <c r="VA11" s="114"/>
      <c r="VB11" s="114"/>
      <c r="VC11" s="114"/>
      <c r="VD11" s="114"/>
      <c r="VE11" s="114"/>
      <c r="VF11" s="114"/>
      <c r="VG11" s="114"/>
      <c r="VH11" s="114"/>
      <c r="VI11" s="114"/>
      <c r="VJ11" s="114"/>
      <c r="VK11" s="114"/>
      <c r="VL11" s="114"/>
      <c r="VM11" s="114"/>
      <c r="VN11" s="114"/>
      <c r="VO11" s="114"/>
      <c r="VP11" s="114"/>
      <c r="VQ11" s="114"/>
      <c r="VR11" s="114"/>
      <c r="VS11" s="114"/>
      <c r="VT11" s="114"/>
      <c r="VU11" s="114"/>
      <c r="VV11" s="114"/>
      <c r="VW11" s="114"/>
      <c r="VX11" s="114"/>
      <c r="VY11" s="114"/>
      <c r="VZ11" s="114"/>
      <c r="WA11" s="114"/>
      <c r="WB11" s="114"/>
      <c r="WC11" s="114"/>
      <c r="WD11" s="114"/>
      <c r="WE11" s="114"/>
      <c r="WF11" s="114"/>
      <c r="WG11" s="114"/>
      <c r="WH11" s="114"/>
      <c r="WI11" s="114"/>
      <c r="WJ11" s="114"/>
      <c r="WK11" s="114"/>
      <c r="WL11" s="114"/>
      <c r="WM11" s="114"/>
      <c r="WN11" s="114"/>
      <c r="WO11" s="114"/>
      <c r="WP11" s="114"/>
      <c r="WQ11" s="114"/>
      <c r="WR11" s="114"/>
      <c r="WS11" s="114"/>
      <c r="WT11" s="114"/>
      <c r="WU11" s="114"/>
      <c r="WV11" s="114"/>
      <c r="WW11" s="114"/>
      <c r="WX11" s="114"/>
      <c r="WY11" s="114"/>
      <c r="WZ11" s="114"/>
      <c r="XA11" s="114"/>
      <c r="XB11" s="114"/>
      <c r="XC11" s="114"/>
      <c r="XD11" s="114"/>
      <c r="XE11" s="114"/>
      <c r="XF11" s="114"/>
      <c r="XG11" s="114"/>
      <c r="XH11" s="114"/>
      <c r="XI11" s="114"/>
      <c r="XJ11" s="114"/>
      <c r="XK11" s="114"/>
      <c r="XL11" s="114"/>
      <c r="XM11" s="114"/>
      <c r="XN11" s="114"/>
      <c r="XO11" s="114"/>
      <c r="XP11" s="114"/>
      <c r="XQ11" s="114"/>
      <c r="XR11" s="114"/>
      <c r="XS11" s="114"/>
      <c r="XT11" s="114"/>
      <c r="XU11" s="114"/>
      <c r="XV11" s="114"/>
      <c r="XW11" s="114"/>
      <c r="XX11" s="114"/>
      <c r="XY11" s="114"/>
      <c r="XZ11" s="114"/>
      <c r="YA11" s="114"/>
      <c r="YB11" s="114"/>
      <c r="YC11" s="114"/>
      <c r="YD11" s="114"/>
      <c r="YE11" s="114"/>
      <c r="YF11" s="114"/>
      <c r="YG11" s="114"/>
      <c r="YH11" s="114"/>
      <c r="YI11" s="114"/>
      <c r="YJ11" s="114"/>
      <c r="YK11" s="114"/>
      <c r="YL11" s="114"/>
      <c r="YM11" s="114"/>
      <c r="YN11" s="114"/>
      <c r="YO11" s="114"/>
      <c r="YP11" s="114"/>
      <c r="YQ11" s="114"/>
      <c r="YR11" s="114"/>
      <c r="YS11" s="114"/>
      <c r="YT11" s="114"/>
      <c r="YU11" s="114"/>
      <c r="YV11" s="114"/>
      <c r="YW11" s="114"/>
      <c r="YX11" s="114"/>
      <c r="YY11" s="114"/>
      <c r="YZ11" s="114"/>
      <c r="ZA11" s="114"/>
      <c r="ZB11" s="114"/>
      <c r="ZC11" s="114"/>
      <c r="ZD11" s="114"/>
      <c r="ZE11" s="114"/>
      <c r="ZF11" s="114"/>
      <c r="ZG11" s="114"/>
      <c r="ZH11" s="114"/>
      <c r="ZI11" s="114"/>
      <c r="ZJ11" s="114"/>
      <c r="ZK11" s="114"/>
      <c r="ZL11" s="114"/>
      <c r="ZM11" s="114"/>
      <c r="ZN11" s="114"/>
      <c r="ZO11" s="114"/>
      <c r="ZP11" s="114"/>
      <c r="ZQ11" s="114"/>
      <c r="ZR11" s="114"/>
      <c r="ZS11" s="114"/>
      <c r="ZT11" s="114"/>
      <c r="ZU11" s="114"/>
      <c r="ZV11" s="114"/>
      <c r="ZW11" s="114"/>
      <c r="ZX11" s="114"/>
      <c r="ZY11" s="114"/>
      <c r="ZZ11" s="114"/>
      <c r="AAA11" s="114"/>
      <c r="AAB11" s="114"/>
      <c r="AAC11" s="114"/>
      <c r="AAD11" s="114"/>
      <c r="AAE11" s="114"/>
      <c r="AAF11" s="114"/>
      <c r="AAG11" s="114"/>
      <c r="AAH11" s="114"/>
      <c r="AAI11" s="114"/>
      <c r="AAJ11" s="114"/>
      <c r="AAK11" s="114"/>
      <c r="AAL11" s="114"/>
      <c r="AAM11" s="114"/>
      <c r="AAN11" s="114"/>
      <c r="AAO11" s="114"/>
      <c r="AAP11" s="114"/>
      <c r="AAQ11" s="114"/>
      <c r="AAR11" s="114"/>
      <c r="AAS11" s="114"/>
      <c r="AAT11" s="114"/>
      <c r="AAU11" s="114"/>
      <c r="AAV11" s="114"/>
      <c r="AAW11" s="114"/>
      <c r="AAX11" s="114"/>
      <c r="AAY11" s="114"/>
      <c r="AAZ11" s="114"/>
      <c r="ABA11" s="114"/>
      <c r="ABB11" s="114"/>
      <c r="ABC11" s="114"/>
      <c r="ABD11" s="114"/>
      <c r="ABE11" s="114"/>
      <c r="ABF11" s="114"/>
      <c r="ABG11" s="114"/>
      <c r="ABH11" s="114"/>
      <c r="ABI11" s="114"/>
      <c r="ABJ11" s="114"/>
      <c r="ABK11" s="114"/>
      <c r="ABL11" s="114"/>
      <c r="ABM11" s="114"/>
      <c r="ABN11" s="114"/>
      <c r="ABO11" s="114"/>
      <c r="ABP11" s="114"/>
      <c r="ABQ11" s="114"/>
      <c r="ABR11" s="114"/>
      <c r="ABS11" s="114"/>
      <c r="ABT11" s="114"/>
      <c r="ABU11" s="114"/>
      <c r="ABV11" s="114"/>
      <c r="ABW11" s="114"/>
      <c r="ABX11" s="114"/>
      <c r="ABY11" s="114"/>
      <c r="ABZ11" s="114"/>
      <c r="ACA11" s="114"/>
      <c r="ACB11" s="114"/>
      <c r="ACC11" s="114"/>
      <c r="ACD11" s="114"/>
      <c r="ACE11" s="114"/>
      <c r="ACF11" s="114"/>
      <c r="ACG11" s="114"/>
      <c r="ACH11" s="114"/>
      <c r="ACI11" s="114"/>
      <c r="ACJ11" s="114"/>
      <c r="ACK11" s="114"/>
      <c r="ACL11" s="114"/>
      <c r="ACM11" s="114"/>
      <c r="ACN11" s="114"/>
      <c r="ACO11" s="114"/>
      <c r="ACP11" s="114"/>
      <c r="ACQ11" s="114"/>
      <c r="ACR11" s="114"/>
      <c r="ACS11" s="114"/>
      <c r="ACT11" s="114"/>
      <c r="ACU11" s="114"/>
      <c r="ACV11" s="114"/>
      <c r="ACW11" s="114"/>
      <c r="ACX11" s="114"/>
      <c r="ACY11" s="114"/>
      <c r="ACZ11" s="114"/>
      <c r="ADA11" s="114"/>
      <c r="ADB11" s="114"/>
      <c r="ADC11" s="114"/>
      <c r="ADD11" s="114"/>
      <c r="ADE11" s="114"/>
      <c r="ADF11" s="114"/>
      <c r="ADG11" s="114"/>
      <c r="ADH11" s="114"/>
      <c r="ADI11" s="114"/>
      <c r="ADJ11" s="114"/>
      <c r="ADK11" s="114"/>
      <c r="ADL11" s="114"/>
      <c r="ADM11" s="114"/>
      <c r="ADN11" s="114"/>
      <c r="ADO11" s="114"/>
      <c r="ADP11" s="114"/>
      <c r="ADQ11" s="114"/>
      <c r="ADR11" s="114"/>
      <c r="ADS11" s="114"/>
      <c r="ADT11" s="114"/>
      <c r="ADU11" s="114"/>
      <c r="ADV11" s="114"/>
      <c r="ADW11" s="114"/>
      <c r="ADX11" s="114"/>
      <c r="ADY11" s="114"/>
      <c r="ADZ11" s="114"/>
      <c r="AEA11" s="114"/>
      <c r="AEB11" s="114"/>
      <c r="AEC11" s="114"/>
      <c r="AED11" s="114"/>
      <c r="AEE11" s="114"/>
      <c r="AEF11" s="114"/>
      <c r="AEG11" s="114"/>
      <c r="AEH11" s="114"/>
      <c r="AEI11" s="114"/>
      <c r="AEJ11" s="114"/>
      <c r="AEK11" s="114"/>
      <c r="AEL11" s="114"/>
      <c r="AEM11" s="114"/>
      <c r="AEN11" s="114"/>
      <c r="AEO11" s="114"/>
      <c r="AEP11" s="114"/>
      <c r="AEQ11" s="114"/>
      <c r="AER11" s="114"/>
      <c r="AES11" s="114"/>
      <c r="AET11" s="114"/>
      <c r="AEU11" s="114"/>
      <c r="AEV11" s="114"/>
      <c r="AEW11" s="114"/>
      <c r="AEX11" s="114"/>
      <c r="AEY11" s="114"/>
      <c r="AEZ11" s="114"/>
      <c r="AFA11" s="114"/>
      <c r="AFB11" s="114"/>
      <c r="AFC11" s="114"/>
      <c r="AFD11" s="114"/>
      <c r="AFE11" s="114"/>
      <c r="AFF11" s="114"/>
      <c r="AFG11" s="114"/>
      <c r="AFH11" s="114"/>
      <c r="AFI11" s="114"/>
      <c r="AFJ11" s="114"/>
      <c r="AFK11" s="114"/>
      <c r="AFL11" s="114"/>
      <c r="AFM11" s="114"/>
      <c r="AFN11" s="114"/>
      <c r="AFO11" s="114"/>
      <c r="AFP11" s="114"/>
      <c r="AFQ11" s="114"/>
      <c r="AFR11" s="114"/>
      <c r="AFS11" s="114"/>
      <c r="AFT11" s="114"/>
      <c r="AFU11" s="114"/>
      <c r="AFV11" s="114"/>
      <c r="AFW11" s="114"/>
      <c r="AFX11" s="114"/>
      <c r="AFY11" s="114"/>
      <c r="AFZ11" s="114"/>
      <c r="AGA11" s="114"/>
      <c r="AGB11" s="114"/>
      <c r="AGC11" s="114"/>
      <c r="AGD11" s="114"/>
      <c r="AGE11" s="114"/>
      <c r="AGF11" s="114"/>
      <c r="AGG11" s="114"/>
      <c r="AGH11" s="114"/>
      <c r="AGI11" s="114"/>
      <c r="AGJ11" s="114"/>
      <c r="AGK11" s="114"/>
      <c r="AGL11" s="114"/>
      <c r="AGM11" s="114"/>
      <c r="AGN11" s="114"/>
      <c r="AGO11" s="114"/>
      <c r="AGP11" s="114"/>
    </row>
    <row r="12" spans="2:874" ht="30" customHeight="1" outlineLevel="1" x14ac:dyDescent="0.2">
      <c r="K12" s="114" t="s">
        <v>450</v>
      </c>
      <c r="DB12" s="289" t="s">
        <v>502</v>
      </c>
    </row>
    <row r="13" spans="2:874" s="265" customFormat="1" ht="30" customHeight="1" x14ac:dyDescent="0.2">
      <c r="B13" s="284">
        <f>SUBTOTAL(3,B11:B11)</f>
        <v>1</v>
      </c>
      <c r="C13" s="285" t="s">
        <v>451</v>
      </c>
      <c r="D13" s="286">
        <f>SUBTOTAL(3,D11:D11)</f>
        <v>1</v>
      </c>
      <c r="E13" s="286">
        <f>SUBTOTAL(3,E11:E11)</f>
        <v>1</v>
      </c>
      <c r="G13" s="286">
        <f>SUBTOTAL(3,G11:G11)</f>
        <v>1</v>
      </c>
      <c r="H13" s="287"/>
      <c r="J13" s="288"/>
      <c r="K13" s="284">
        <f>SUBTOTAL(3,K11:K11)</f>
        <v>1</v>
      </c>
      <c r="L13" s="288"/>
      <c r="M13" s="288"/>
      <c r="O13" s="284">
        <f t="shared" ref="O13:AM13" si="51">SUBTOTAL(9,O11:O11)</f>
        <v>0</v>
      </c>
      <c r="P13" s="284">
        <f t="shared" si="51"/>
        <v>0</v>
      </c>
      <c r="Q13" s="284">
        <f t="shared" si="51"/>
        <v>0</v>
      </c>
      <c r="R13" s="284">
        <f t="shared" si="51"/>
        <v>0</v>
      </c>
      <c r="S13" s="284">
        <f t="shared" si="51"/>
        <v>0</v>
      </c>
      <c r="T13" s="284">
        <f t="shared" si="51"/>
        <v>0</v>
      </c>
      <c r="U13" s="284">
        <f t="shared" si="51"/>
        <v>0</v>
      </c>
      <c r="V13" s="284">
        <f t="shared" si="51"/>
        <v>0</v>
      </c>
      <c r="W13" s="284">
        <f t="shared" si="51"/>
        <v>0</v>
      </c>
      <c r="X13" s="284">
        <f t="shared" si="51"/>
        <v>0</v>
      </c>
      <c r="Y13" s="284">
        <f t="shared" si="51"/>
        <v>0</v>
      </c>
      <c r="Z13" s="284">
        <f t="shared" si="51"/>
        <v>0</v>
      </c>
      <c r="AA13" s="284">
        <f t="shared" si="51"/>
        <v>0</v>
      </c>
      <c r="AB13" s="284">
        <f t="shared" si="51"/>
        <v>0</v>
      </c>
      <c r="AC13" s="284">
        <f t="shared" si="51"/>
        <v>0</v>
      </c>
      <c r="AD13" s="284">
        <f t="shared" si="51"/>
        <v>0</v>
      </c>
      <c r="AE13" s="284">
        <f t="shared" si="51"/>
        <v>0</v>
      </c>
      <c r="AF13" s="284">
        <f t="shared" si="51"/>
        <v>0</v>
      </c>
      <c r="AG13" s="284">
        <f t="shared" si="51"/>
        <v>0</v>
      </c>
      <c r="AH13" s="284">
        <f t="shared" si="51"/>
        <v>0</v>
      </c>
      <c r="AI13" s="284">
        <f t="shared" si="51"/>
        <v>0</v>
      </c>
      <c r="AJ13" s="284">
        <f t="shared" si="51"/>
        <v>0</v>
      </c>
      <c r="AK13" s="284">
        <f t="shared" si="51"/>
        <v>0</v>
      </c>
      <c r="AL13" s="284">
        <f t="shared" si="51"/>
        <v>0</v>
      </c>
      <c r="AM13" s="284">
        <f t="shared" si="51"/>
        <v>0</v>
      </c>
      <c r="AN13" s="284">
        <f t="shared" ref="AN13:AT13" si="52">SUBTOTAL(3,AN11:AN11)</f>
        <v>1</v>
      </c>
      <c r="AO13" s="284">
        <f t="shared" si="52"/>
        <v>1</v>
      </c>
      <c r="AP13" s="284">
        <f t="shared" si="52"/>
        <v>1</v>
      </c>
      <c r="AQ13" s="284">
        <f t="shared" si="52"/>
        <v>1</v>
      </c>
      <c r="AR13" s="284">
        <f t="shared" si="52"/>
        <v>1</v>
      </c>
      <c r="AS13" s="284">
        <f t="shared" si="52"/>
        <v>1</v>
      </c>
      <c r="AT13" s="284">
        <f t="shared" si="52"/>
        <v>1</v>
      </c>
      <c r="AU13" s="284">
        <f>SUBTOTAL(9,AU11:AU11)</f>
        <v>0</v>
      </c>
      <c r="AV13" s="284">
        <f>SUBTOTAL(9,AV11:AV11)</f>
        <v>0</v>
      </c>
      <c r="AW13" s="284">
        <f>SUBTOTAL(3,AW11:AW11)</f>
        <v>0</v>
      </c>
      <c r="AX13" s="284">
        <f>SUBTOTAL(3,AX11:AX11)</f>
        <v>0</v>
      </c>
      <c r="AY13" s="284">
        <f t="shared" ref="AY13:BM13" si="53">SUBTOTAL(9,AY11:AY11)</f>
        <v>0</v>
      </c>
      <c r="AZ13" s="284">
        <f t="shared" si="53"/>
        <v>0</v>
      </c>
      <c r="BA13" s="284">
        <f t="shared" si="53"/>
        <v>0</v>
      </c>
      <c r="BB13" s="284">
        <f t="shared" si="53"/>
        <v>0</v>
      </c>
      <c r="BC13" s="284">
        <f t="shared" si="53"/>
        <v>0</v>
      </c>
      <c r="BD13" s="284">
        <f t="shared" si="53"/>
        <v>0</v>
      </c>
      <c r="BE13" s="284">
        <f t="shared" si="53"/>
        <v>0</v>
      </c>
      <c r="BF13" s="284">
        <f t="shared" si="53"/>
        <v>0</v>
      </c>
      <c r="BG13" s="284" t="e">
        <f t="shared" si="53"/>
        <v>#REF!</v>
      </c>
      <c r="BH13" s="284">
        <f t="shared" si="53"/>
        <v>0</v>
      </c>
      <c r="BI13" s="284">
        <f t="shared" si="53"/>
        <v>0</v>
      </c>
      <c r="BJ13" s="284">
        <f t="shared" si="53"/>
        <v>0</v>
      </c>
      <c r="BK13" s="284">
        <f t="shared" si="53"/>
        <v>0</v>
      </c>
      <c r="BL13" s="284">
        <f t="shared" si="53"/>
        <v>0</v>
      </c>
      <c r="BM13" s="284">
        <f t="shared" si="53"/>
        <v>0</v>
      </c>
      <c r="BN13" s="284">
        <f>SUBTOTAL(3,BN11:BN11)</f>
        <v>0</v>
      </c>
      <c r="BO13" s="284">
        <f>SUBTOTAL(3,BO11:BO11)</f>
        <v>0</v>
      </c>
      <c r="BP13" s="284">
        <f>SUBTOTAL(3,BP11:BP11)</f>
        <v>0</v>
      </c>
      <c r="BQ13" s="284">
        <f>SUBTOTAL(9,BQ11:BQ11)</f>
        <v>0</v>
      </c>
      <c r="BR13" s="284">
        <f>SUBTOTAL(3,BR11:BR11)</f>
        <v>0</v>
      </c>
      <c r="BS13" s="284">
        <f>SUBTOTAL(9,BS11:BS11)</f>
        <v>0</v>
      </c>
      <c r="BT13" s="287"/>
      <c r="BU13" s="287"/>
      <c r="BV13" s="287"/>
      <c r="BW13" s="287"/>
      <c r="BX13" s="287"/>
      <c r="BY13" s="287"/>
      <c r="BZ13" s="287"/>
      <c r="CA13" s="287"/>
      <c r="CB13" s="287"/>
      <c r="CC13" s="287"/>
      <c r="CD13" s="287"/>
      <c r="CE13" s="287"/>
      <c r="CF13" s="287"/>
      <c r="CG13" s="284">
        <f>SUBTOTAL(9,CG11:CG11)</f>
        <v>0</v>
      </c>
      <c r="CH13" s="284">
        <f>SUBTOTAL(3,CH11:CH11)</f>
        <v>1</v>
      </c>
      <c r="CJ13" s="286">
        <f>SUBTOTAL(3,CJ11:CJ11)</f>
        <v>0</v>
      </c>
      <c r="CK13" s="284">
        <f>SUBTOTAL(9,CK11:CK11)</f>
        <v>0</v>
      </c>
      <c r="CL13" s="284">
        <f>SUBTOTAL(9,CL11:CL11)</f>
        <v>0</v>
      </c>
      <c r="CM13" s="288"/>
      <c r="CN13" s="287"/>
      <c r="CQ13" s="287"/>
      <c r="CR13" s="287"/>
      <c r="CU13" s="284">
        <f>SUBTOTAL(3,CU11:CU11)</f>
        <v>0</v>
      </c>
      <c r="DA13" s="286">
        <f>SUBTOTAL(3,DA11:DA11)</f>
        <v>0</v>
      </c>
      <c r="DB13" s="284">
        <f>SUBTOTAL(9,DB11:DB11)</f>
        <v>0</v>
      </c>
      <c r="DC13" s="284">
        <f>SUBTOTAL(9,DC11:DC11)</f>
        <v>0</v>
      </c>
      <c r="DD13" s="284">
        <f>SUBTOTAL(3,DD11:DD11)</f>
        <v>0</v>
      </c>
      <c r="DE13" s="284">
        <f>SUBTOTAL(9,DE11:DE11)</f>
        <v>0</v>
      </c>
      <c r="DF13" s="284">
        <f>SUBTOTAL(9,DF11:DF11)</f>
        <v>0</v>
      </c>
      <c r="DG13" s="284">
        <f>SUBTOTAL(9,DG11:DG11)</f>
        <v>0</v>
      </c>
      <c r="DH13" s="284">
        <f>SUBTOTAL(9,DH11:DH11)</f>
        <v>0</v>
      </c>
      <c r="DI13" s="284">
        <f>SUBTOTAL(3,DI11:DI11)</f>
        <v>0</v>
      </c>
      <c r="DJ13" s="284">
        <f>SUBTOTAL(9,DJ11:DJ11)</f>
        <v>0</v>
      </c>
      <c r="DK13" s="284">
        <f>SUBTOTAL(9,DK11:DK11)</f>
        <v>0</v>
      </c>
      <c r="DL13" s="284">
        <f>SUBTOTAL(9,DL11:DL11)</f>
        <v>0</v>
      </c>
      <c r="DM13" s="284">
        <f>SUBTOTAL(9,DM11:DM11)</f>
        <v>0</v>
      </c>
      <c r="DN13" s="284"/>
      <c r="DO13" s="284"/>
      <c r="DP13" s="284"/>
      <c r="DQ13" s="284"/>
      <c r="DR13" s="284">
        <f>SUBTOTAL(3,DR11:DR11)</f>
        <v>0</v>
      </c>
      <c r="DS13" s="284">
        <f t="shared" ref="DS13:DY13" si="54">SUBTOTAL(9,DS11:DS11)</f>
        <v>0</v>
      </c>
      <c r="DT13" s="284">
        <f t="shared" si="54"/>
        <v>0</v>
      </c>
      <c r="DU13" s="284">
        <f t="shared" si="54"/>
        <v>0</v>
      </c>
      <c r="DV13" s="284">
        <f t="shared" si="54"/>
        <v>0</v>
      </c>
      <c r="DW13" s="284">
        <f t="shared" si="54"/>
        <v>0</v>
      </c>
      <c r="DX13" s="284">
        <f t="shared" si="54"/>
        <v>0</v>
      </c>
      <c r="DY13" s="284">
        <f t="shared" si="54"/>
        <v>0</v>
      </c>
      <c r="DZ13" s="284">
        <f>SUBTOTAL(3,DZ11:DZ11)</f>
        <v>0</v>
      </c>
      <c r="EA13" s="284">
        <f t="shared" ref="EA13:EN13" si="55">SUBTOTAL(9,EA11:EA11)</f>
        <v>0</v>
      </c>
      <c r="EB13" s="284">
        <f t="shared" si="55"/>
        <v>0</v>
      </c>
      <c r="EC13" s="284">
        <f t="shared" si="55"/>
        <v>0</v>
      </c>
      <c r="ED13" s="284">
        <f t="shared" si="55"/>
        <v>0</v>
      </c>
      <c r="EE13" s="284">
        <f t="shared" si="55"/>
        <v>0</v>
      </c>
      <c r="EF13" s="284">
        <f t="shared" si="55"/>
        <v>0</v>
      </c>
      <c r="EG13" s="284">
        <f t="shared" si="55"/>
        <v>0</v>
      </c>
      <c r="EH13" s="284">
        <f t="shared" si="55"/>
        <v>0</v>
      </c>
      <c r="EI13" s="284">
        <f t="shared" si="55"/>
        <v>0</v>
      </c>
      <c r="EJ13" s="284">
        <f t="shared" si="55"/>
        <v>0</v>
      </c>
      <c r="EK13" s="284">
        <f t="shared" si="55"/>
        <v>0</v>
      </c>
      <c r="EL13" s="284">
        <f t="shared" si="55"/>
        <v>0</v>
      </c>
      <c r="EM13" s="284">
        <f t="shared" si="55"/>
        <v>0</v>
      </c>
      <c r="EN13" s="284">
        <f t="shared" si="55"/>
        <v>0</v>
      </c>
      <c r="EO13" s="284">
        <f t="shared" ref="EO13:EU13" si="56">SUBTOTAL(3,EO11:EO11)</f>
        <v>1</v>
      </c>
      <c r="EP13" s="284">
        <f t="shared" si="56"/>
        <v>1</v>
      </c>
      <c r="EQ13" s="284">
        <f t="shared" si="56"/>
        <v>1</v>
      </c>
      <c r="ER13" s="284">
        <f t="shared" si="56"/>
        <v>1</v>
      </c>
      <c r="ES13" s="284">
        <f t="shared" si="56"/>
        <v>1</v>
      </c>
      <c r="ET13" s="284">
        <f t="shared" si="56"/>
        <v>1</v>
      </c>
      <c r="EU13" s="284">
        <f t="shared" si="56"/>
        <v>1</v>
      </c>
      <c r="EV13" s="284">
        <f>SUBTOTAL(9,EV11:EV11)</f>
        <v>0</v>
      </c>
      <c r="EW13" s="284">
        <f>SUBTOTAL(9,EW11:EW11)</f>
        <v>0</v>
      </c>
      <c r="EX13" s="284">
        <f>SUBTOTAL(9,EX11:EX11)</f>
        <v>0</v>
      </c>
      <c r="EY13" s="284">
        <f>SUBTOTAL(3,EY11:EY11)</f>
        <v>1</v>
      </c>
      <c r="EZ13" s="284">
        <f>SUBTOTAL(3,EZ11:EZ11)</f>
        <v>1</v>
      </c>
      <c r="FA13" s="284">
        <f>SUBTOTAL(3,FA11:FA11)</f>
        <v>1</v>
      </c>
      <c r="FB13" s="284">
        <f>SUBTOTAL(3,FB11:FB11)</f>
        <v>0</v>
      </c>
      <c r="FC13" s="284">
        <f>SUBTOTAL(3,FC11:FC11)</f>
        <v>0</v>
      </c>
      <c r="FD13" s="284">
        <f>SUBTOTAL(9,FD11:FD11)</f>
        <v>0</v>
      </c>
      <c r="FE13" s="284">
        <f>SUBTOTAL(9,FE11:FE11)</f>
        <v>0</v>
      </c>
      <c r="FF13" s="284">
        <f>SUBTOTAL(9,FF11:FF11)</f>
        <v>0</v>
      </c>
      <c r="FG13" s="284">
        <f>SUBTOTAL(9,FG11:FG11)</f>
        <v>0</v>
      </c>
      <c r="FH13" s="284">
        <f>SUBTOTAL(3,FH11:FH11)</f>
        <v>0</v>
      </c>
      <c r="FI13" s="284">
        <f>SUBTOTAL(9,FI11:FI11)</f>
        <v>0</v>
      </c>
      <c r="FJ13" s="284">
        <f>SUBTOTAL(3,FJ11:FJ11)</f>
        <v>0</v>
      </c>
      <c r="FK13" s="284">
        <f t="shared" ref="FK13:FX13" si="57">SUBTOTAL(9,FK11:FK11)</f>
        <v>0</v>
      </c>
      <c r="FL13" s="284">
        <f t="shared" si="57"/>
        <v>0</v>
      </c>
      <c r="FM13" s="284">
        <f t="shared" si="57"/>
        <v>0</v>
      </c>
      <c r="FN13" s="284">
        <f t="shared" si="57"/>
        <v>0</v>
      </c>
      <c r="FO13" s="284">
        <f t="shared" si="57"/>
        <v>0</v>
      </c>
      <c r="FP13" s="284">
        <f t="shared" si="57"/>
        <v>0</v>
      </c>
      <c r="FQ13" s="284">
        <f t="shared" si="57"/>
        <v>0</v>
      </c>
      <c r="FR13" s="284">
        <f t="shared" si="57"/>
        <v>0</v>
      </c>
      <c r="FS13" s="284">
        <f t="shared" si="57"/>
        <v>0</v>
      </c>
      <c r="FT13" s="284">
        <f t="shared" si="57"/>
        <v>0</v>
      </c>
      <c r="FU13" s="284">
        <f t="shared" si="57"/>
        <v>0</v>
      </c>
      <c r="FV13" s="284">
        <f t="shared" si="57"/>
        <v>0</v>
      </c>
      <c r="FW13" s="284">
        <f t="shared" si="57"/>
        <v>0</v>
      </c>
      <c r="FX13" s="284">
        <f t="shared" si="57"/>
        <v>0</v>
      </c>
      <c r="FY13" s="284">
        <f>SUBTOTAL(3,FY11:FY11)</f>
        <v>0</v>
      </c>
      <c r="FZ13" s="284">
        <f>SUBTOTAL(3,FZ11:FZ11)</f>
        <v>0</v>
      </c>
      <c r="GA13" s="284">
        <f>SUBTOTAL(3,GA11:GA11)</f>
        <v>0</v>
      </c>
      <c r="GB13" s="284">
        <f>SUBTOTAL(9,GB11:GB11)</f>
        <v>0</v>
      </c>
      <c r="GC13" s="284">
        <f>SUBTOTAL(9,GC11:GC11)</f>
        <v>0</v>
      </c>
      <c r="GD13" s="284">
        <f>SUBTOTAL(3,GD11:GD11)</f>
        <v>0</v>
      </c>
      <c r="GE13" s="284">
        <f>SUBTOTAL(3,GE11:GE11)</f>
        <v>0</v>
      </c>
      <c r="GF13" s="284">
        <f>SUBTOTAL(9,GF11:GF11)</f>
        <v>0</v>
      </c>
      <c r="GG13" s="284">
        <f>SUBTOTAL(9,GG11:GG11)</f>
        <v>0</v>
      </c>
      <c r="GI13" s="287"/>
      <c r="GJ13" s="287"/>
      <c r="GK13" s="287"/>
      <c r="GL13" s="284">
        <f>SUBTOTAL(9,GL11:GL11)</f>
        <v>0</v>
      </c>
      <c r="GM13" s="284">
        <f>SUBTOTAL(9,GM11:GM11)</f>
        <v>0</v>
      </c>
      <c r="GN13" s="284">
        <f>SUBTOTAL(9,GN11:GN11)</f>
        <v>0</v>
      </c>
    </row>
    <row r="14" spans="2:874" ht="30" customHeight="1" x14ac:dyDescent="0.2"/>
    <row r="15" spans="2:874" ht="30" customHeight="1" x14ac:dyDescent="0.2"/>
    <row r="16" spans="2:874" ht="30" customHeight="1" x14ac:dyDescent="0.2"/>
    <row r="17" ht="30" customHeight="1" x14ac:dyDescent="0.2"/>
    <row r="18" ht="30" customHeight="1" x14ac:dyDescent="0.2"/>
    <row r="19" ht="30" customHeight="1" x14ac:dyDescent="0.2"/>
    <row r="20" ht="30" customHeight="1" x14ac:dyDescent="0.2"/>
    <row r="21" ht="30" customHeight="1" x14ac:dyDescent="0.2"/>
    <row r="22" ht="30" customHeight="1" x14ac:dyDescent="0.2"/>
    <row r="23" ht="30" customHeight="1" x14ac:dyDescent="0.2"/>
    <row r="24" ht="30" customHeight="1" x14ac:dyDescent="0.2"/>
    <row r="25" ht="30" customHeight="1" x14ac:dyDescent="0.2"/>
    <row r="26" ht="30" customHeight="1" x14ac:dyDescent="0.2"/>
    <row r="27" ht="30" customHeight="1" x14ac:dyDescent="0.2"/>
  </sheetData>
  <sheetProtection algorithmName="SHA-512" hashValue="C/EGAQ8iFo7ycMA2GCsbv7FytLDlNjPFQXjsqtvwYEO2wayGURPFMGAdeHOcq2I5ihVapfkfKfKST7FQMYfdRQ==" saltValue="btg06I+l38+4UZxYvd9FwQ==" spinCount="100000" sheet="1" objects="1" scenarios="1"/>
  <mergeCells count="8">
    <mergeCell ref="AY3:AY5"/>
    <mergeCell ref="CW3:CY4"/>
    <mergeCell ref="X4:Z4"/>
    <mergeCell ref="AB4:AD4"/>
    <mergeCell ref="DX4:EA4"/>
    <mergeCell ref="DU4:DW4"/>
    <mergeCell ref="BT5:BY5"/>
    <mergeCell ref="BZ5:CE5"/>
  </mergeCells>
  <phoneticPr fontId="1"/>
  <conditionalFormatting sqref="O6:AY11">
    <cfRule type="expression" dxfId="2" priority="7">
      <formula>($D6="改修")</formula>
    </cfRule>
  </conditionalFormatting>
  <conditionalFormatting sqref="AZ6:BS11 FF6:GG11">
    <cfRule type="expression" dxfId="1" priority="6">
      <formula>OR($D6="新築",$D6="登録")</formula>
    </cfRule>
  </conditionalFormatting>
  <conditionalFormatting sqref="DB6:FE11">
    <cfRule type="expression" dxfId="0" priority="1">
      <formula>OR($D6="改修",$D6="登録")</formula>
    </cfRule>
  </conditionalFormatting>
  <dataValidations count="59">
    <dataValidation operator="greaterThanOrEqual" allowBlank="1" showInputMessage="1" showErrorMessage="1" error="数値以外は入力できません" sqref="CK11:CO11 CS11:CY11" xr:uid="{308D5D9A-CD52-4D88-B7A0-C4AF5ACC28E9}"/>
    <dataValidation operator="greaterThanOrEqual" allowBlank="1" showInputMessage="1" showErrorMessage="1" error="日付以外の内容は入力できません" sqref="BY6:BY9 BU6:BU9 BW6:BW9 CC6:CC9 CE6:CE9 CA6:CA9 BT11:CF11" xr:uid="{D3A8FA69-43A9-489C-A7CF-555AAA4F98DB}"/>
    <dataValidation operator="greaterThanOrEqual" allowBlank="1" showInputMessage="1" showErrorMessage="1" error="10以上の整数値を入力してください。" sqref="O11 DB11:DD11 DH11:DI11 EY11:FC11 DY11:DZ11 DV11 EE11:EF11 EJ11:EK11 EO11:EU11 DM11:DN11 DP11:DR11" xr:uid="{613E62E6-3BFF-4512-980A-072E37D0C77F}"/>
    <dataValidation type="decimal" operator="lessThanOrEqual" allowBlank="1" showInputMessage="1" showErrorMessage="1" error="県産材の実使用量より大きな値は入力しないでください。" sqref="Y6:Y10" xr:uid="{1AD69E1E-ECAD-4D4F-BBF0-2493491C337A}">
      <formula1>S6</formula1>
    </dataValidation>
    <dataValidation type="date" operator="greaterThanOrEqual" allowBlank="1" showInputMessage="1" showErrorMessage="1" error="申請日より前の日付や、日付以外の内容は入力できません" sqref="CF6:CF10" xr:uid="{73DB78AE-F76A-45DF-8E8F-B4988F138922}">
      <formula1>H6</formula1>
    </dataValidation>
    <dataValidation type="date" operator="greaterThanOrEqual" allowBlank="1" showInputMessage="1" showErrorMessage="1" error="申請日より前の日付や、日付以外の内容は入力できません" sqref="BZ6:BZ10" xr:uid="{A81F96BD-C2F1-4C1E-B0B5-1FCB7E20E782}">
      <formula1>BT6</formula1>
    </dataValidation>
    <dataValidation type="whole" operator="lessThanOrEqual" allowBlank="1" showInputMessage="1" showErrorMessage="1" error="県産材の実使用量より大きな値は入力しないでください。" sqref="V6:V10" xr:uid="{8CBC9BDC-4953-4EF1-871C-86222D229CBE}">
      <formula1>S6</formula1>
    </dataValidation>
    <dataValidation type="whole" operator="lessThanOrEqual" allowBlank="1" showInputMessage="1" showErrorMessage="1" error="県産材の実使用量より大きな値は入力しないでください（整数値入力）。" sqref="S6:S10" xr:uid="{8A5F1DA8-F7ED-466B-8A37-43C257CA796C}">
      <formula1>P6</formula1>
    </dataValidation>
    <dataValidation type="decimal" allowBlank="1" showInputMessage="1" showErrorMessage="1" error="0.3以上が補助対象、実木材使用量以下の数値を入力" sqref="FG6:FG11 BA6:BA11" xr:uid="{8788BE3B-FE1A-488A-9DE4-7156297435F0}">
      <formula1>0.3</formula1>
      <formula2>AZ6</formula2>
    </dataValidation>
    <dataValidation type="whole" operator="lessThanOrEqual" allowBlank="1" showInputMessage="1" showErrorMessage="1" error="県産材の実使用量より大きな値は入力しないでください（整数値入力）。" sqref="DH6:DH10" xr:uid="{D209B80C-940B-46AC-A647-0CE779399427}">
      <formula1>DC6</formula1>
    </dataValidation>
    <dataValidation type="decimal" operator="lessThanOrEqual" allowBlank="1" showInputMessage="1" showErrorMessage="1" error="県産材の実使用量より大きな値は入力しないでください。" sqref="DV6:DV10" xr:uid="{1F63B966-66A0-4C22-AF9F-E5D0A93BD1FC}">
      <formula1>DH6</formula1>
    </dataValidation>
    <dataValidation type="whole" allowBlank="1" showInputMessage="1" showErrorMessage="1" error="実木材使用量より大きな値は入力しないでください。補助対象は10m3以上です（整数値で入力）。" sqref="P6:P10 DC6:DC10" xr:uid="{708FCF5C-D2B6-4952-B1EA-A57E416E0805}">
      <formula1>10</formula1>
      <formula2>O6</formula2>
    </dataValidation>
    <dataValidation imeMode="halfAlpha" allowBlank="1" showInputMessage="1" showErrorMessage="1" sqref="L1:L1048576 J1:J1048576" xr:uid="{D10F919F-D363-4F3A-8590-86AF139F14BB}"/>
    <dataValidation type="decimal" operator="greaterThanOrEqual" allowBlank="1" showInputMessage="1" showErrorMessage="1" sqref="FF6:FF11 AZ6:AZ11" xr:uid="{C20AAA02-FADE-443C-A3B5-0B16DB69D828}">
      <formula1>0</formula1>
    </dataValidation>
    <dataValidation type="list" allowBlank="1" showInputMessage="1" showErrorMessage="1" sqref="EE6:EF10 FS6:FU11 AS6:AS10 FN6:FO11 AJ6:AK10 BE6:BF11 BI6:BK11 AF6:AG10 EJ6:EK10" xr:uid="{612DF53E-D308-449D-93C1-656851AE8693}">
      <formula1>"1"</formula1>
    </dataValidation>
    <dataValidation type="list" allowBlank="1" showInputMessage="1" showErrorMessage="1" sqref="CP6:CP11" xr:uid="{0120FFE1-02F1-4A31-BDBC-70EC91097099}">
      <formula1>"若年子育て,三世代近居,三世代同居"</formula1>
    </dataValidation>
    <dataValidation type="list" allowBlank="1" showInputMessage="1" showErrorMessage="1" sqref="GH6:GH11" xr:uid="{5F14E7B9-571E-45A4-9B75-C31FCEFBF49D}">
      <formula1>"実績,取下,取消"</formula1>
    </dataValidation>
    <dataValidation type="date" operator="greaterThanOrEqual" allowBlank="1" showInputMessage="1" showErrorMessage="1" error="日付以外の値は入力できません" sqref="H6:H11" xr:uid="{DA659C91-4C76-4053-888B-56021F180F0D}">
      <formula1>1</formula1>
    </dataValidation>
    <dataValidation type="date" operator="greaterThanOrEqual" allowBlank="1" showInputMessage="1" showErrorMessage="1" error="日付以外は入力できません" sqref="CN6:CN10 GI6:GK11 CQ6:CR11" xr:uid="{0E398231-E56B-43E8-9962-05DA1C553FEB}">
      <formula1>1</formula1>
    </dataValidation>
    <dataValidation type="decimal" operator="greaterThanOrEqual" allowBlank="1" showInputMessage="1" showErrorMessage="1" error="数値以外は入力できません" sqref="CK6:CL10" xr:uid="{51D5F1A5-AEE7-4511-8321-422B4DB09FBC}">
      <formula1>0</formula1>
    </dataValidation>
    <dataValidation type="list" allowBlank="1" showInputMessage="1" showErrorMessage="1" sqref="CM6:CM10" xr:uid="{DF162EF0-1009-4229-B5D3-89BB0FB218F4}">
      <formula1>"要,不要"</formula1>
    </dataValidation>
    <dataValidation type="date" operator="greaterThanOrEqual" allowBlank="1" showInputMessage="1" showErrorMessage="1" error="日付以外の内容は入力できません" sqref="CE10 BU10 BV6:BV10 BW10 BX6:BX10 BY10 CA10 CB6:CB10 CC10 CD6:CD10 BT6:BT10" xr:uid="{B553A029-EFEE-4F1A-BD6B-CF8411379F30}">
      <formula1>1</formula1>
    </dataValidation>
    <dataValidation type="list" allowBlank="1" showInputMessage="1" showErrorMessage="1" sqref="G6:G10 DA6:DA10 F6:F11" xr:uid="{D03981B9-B9DE-4135-8745-0AF795BC9039}">
      <formula1>"債,支→債,債→支"</formula1>
    </dataValidation>
    <dataValidation type="list" allowBlank="1" showInputMessage="1" showErrorMessage="1" sqref="M6:M10" xr:uid="{DFABD22E-2105-4DD2-865D-289162155D04}">
      <formula1>"鳥取市,米子市,倉吉市,境港市,岩美町,若桜町,智頭町,八頭町,三朝町,湯梨浜町,琴浦町,北栄町,大山町,日吉津村,伯耆町,南部町,日野町,日南町,江府町,"</formula1>
    </dataValidation>
    <dataValidation type="whole" operator="greaterThanOrEqual" allowBlank="1" showInputMessage="1" showErrorMessage="1" error="県産材の実使用量より大きな値は入力しないでください。" sqref="AC6:AC10 DY6:DY10" xr:uid="{0A9DB0F7-DCBE-4649-8D72-0D14927D7879}">
      <formula1>0</formula1>
    </dataValidation>
    <dataValidation type="whole" operator="greaterThanOrEqual" allowBlank="1" showInputMessage="1" showErrorMessage="1" error="10以上の整数値を入力してください。" sqref="O6:O10 DB6:DB10" xr:uid="{EE72152F-A25A-4E09-904E-6ACE7F46EF37}">
      <formula1>10</formula1>
    </dataValidation>
    <dataValidation type="list" allowBlank="1" showInputMessage="1" showErrorMessage="1" sqref="AN6:AN10 EO6:EO10" xr:uid="{95F6C128-C23F-4A51-AC7D-828F39CB4373}">
      <formula1>"4"</formula1>
    </dataValidation>
    <dataValidation type="list" allowBlank="1" showInputMessage="1" showErrorMessage="1" sqref="AR6:AR10 AT6:AT10 EU6:EU10" xr:uid="{22B7BEBB-F601-4EAD-82E6-162454E5666D}">
      <formula1>"1,2"</formula1>
    </dataValidation>
    <dataValidation type="list" allowBlank="1" showInputMessage="1" showErrorMessage="1" sqref="AO6:AO10 EP6:EP10" xr:uid="{52BB117D-399B-4380-A1E4-E4F112857F12}">
      <formula1>"2"</formula1>
    </dataValidation>
    <dataValidation type="whole" operator="greaterThanOrEqual" allowBlank="1" showInputMessage="1" showErrorMessage="1" error="整数値で入力" sqref="FI6:FI11 BB6:BB11" xr:uid="{9B6EB887-AE13-40B1-918C-7D6524BD31C7}">
      <formula1>0</formula1>
    </dataValidation>
    <dataValidation type="whole" operator="greaterThanOrEqual" allowBlank="1" showInputMessage="1" showErrorMessage="1" error="７未満の値は入力しないでください。（補助対象となるのは最低７平方メートル以上です）" sqref="FY6:FY11 BN6:BN11" xr:uid="{A1568B8D-9644-48C6-BE83-F0A90A553D8A}">
      <formula1>7</formula1>
    </dataValidation>
    <dataValidation type="whole" operator="greaterThanOrEqual" allowBlank="1" showInputMessage="1" showErrorMessage="1" error="３未満の値は入力しないでください。_x000a_（建具は見付３㎡以上が補助対象です）" sqref="BP6:BP11" xr:uid="{15C055F1-1E9F-4A55-92A4-8C690883489B}">
      <formula1>3</formula1>
    </dataValidation>
    <dataValidation type="list" allowBlank="1" showInputMessage="1" showErrorMessage="1" sqref="CJ6:CJ11" xr:uid="{91D1DB63-3777-4910-814B-22AB105236B6}">
      <formula1>"手刻み,智頭,久大,大山,ミヨシ,その他"</formula1>
    </dataValidation>
    <dataValidation type="list" allowBlank="1" showInputMessage="1" showErrorMessage="1" promptTitle="重要" prompt="登録を入力した場合は、登録住宅の交付申請のため、次の行を空欄としてください。なお、実績については登録住宅の行ではなく、登録住宅の交付申請に係る次の行の新築欄に入力してください。" sqref="D6:D11" xr:uid="{75764940-BB74-46B5-8EF6-8F0A4F811560}">
      <formula1>"新築,改修,登録"</formula1>
    </dataValidation>
    <dataValidation type="list" allowBlank="1" showInputMessage="1" showErrorMessage="1" sqref="AW6:AW11" xr:uid="{B9DDAB33-26F2-42F9-87A0-50309FAC5E62}">
      <formula1>"平板瓦,和瓦,S瓦"</formula1>
    </dataValidation>
    <dataValidation type="list" allowBlank="1" showInputMessage="1" showErrorMessage="1" sqref="BR6:BR11 AX6:AX11" xr:uid="{9108668A-8153-4172-9806-983347BFA212}">
      <formula1>"モルタル塗,漆喰塗,土壁塗,そとん壁,じゅらく塗,珪藻土塗,その他"</formula1>
    </dataValidation>
    <dataValidation allowBlank="1" showInputMessage="1" showErrorMessage="1" prompt="自動計算" sqref="EV6:EX11 EL6:EN11 FV6:FX11 FP6:FR11 FK6:FM11 DE6:DG11 EG6:EI11 EA6:ED11 FD6:FE11 GF6:GG11 GB6:GC11 AD6:AE11 B6:B11 BG6:BH11 Q6:R11 GL6:GN11 T6:U11 AU6:AV11 AL6:AM11 BC6:BD11 BL6:BM11 BQ6:BQ11 BS6:BS11 CG6:CG11 AH6:AI11 AY6:AY11 Z6:AB11 W6:X11 DJ6:DL11 DS6:DU11 DW6:DX11 E6:E11 DO11" xr:uid="{53BBD124-71CD-49C4-AB2E-2F0D2556985F}"/>
    <dataValidation type="list" allowBlank="1" showInputMessage="1" showErrorMessage="1" prompt="AW列の瓦の種類も選択してください。" sqref="AQ6:AQ10" xr:uid="{06E95BE1-C913-4B8A-A04A-83E0BC34A136}">
      <formula1>"2"</formula1>
    </dataValidation>
    <dataValidation type="list" allowBlank="1" showInputMessage="1" showErrorMessage="1" prompt="AX列の左官材料の種類も選択してください。" sqref="AP6:AP10" xr:uid="{01075BEE-7381-444E-B617-459F228EEFDC}">
      <formula1>"1,2"</formula1>
    </dataValidation>
    <dataValidation type="whole" operator="greaterThanOrEqual" allowBlank="1" showInputMessage="1" showErrorMessage="1" error="７未満の値は入力しないでください。（補助対象となるのは最低７平方メートル以上です）" prompt="BU列の左官材料の種類も選択してください。" sqref="BO6:BO11" xr:uid="{6CF7792A-F13D-44E2-B1E6-362A160A74D2}">
      <formula1>7</formula1>
    </dataValidation>
    <dataValidation allowBlank="1" showInputMessage="1" showErrorMessage="1" error="実木材使用量より大きな値は入力しないでください。補助対象は10m3以上です（整数値で入力）。" sqref="DD6:DD10 P11" xr:uid="{2F9F233A-89F6-4D07-91B0-851D6FA9103B}"/>
    <dataValidation operator="lessThanOrEqual" allowBlank="1" showInputMessage="1" showErrorMessage="1" error="県産材の実使用量より大きな値は入力しないでください（整数値入力）。" sqref="DI6:DI10 S11 V11 AC11 Y11 AF11:AG11 AJ11:AK11 AN11:AT11" xr:uid="{C78EA9F4-1158-4554-941C-779AE53312C7}"/>
    <dataValidation operator="lessThanOrEqual" allowBlank="1" showInputMessage="1" showErrorMessage="1" error="県産材の実使用量より大きな値は入力しないでください。" sqref="DR6:DR10" xr:uid="{F6FF4A0E-43D8-4E6D-9484-4A99F499DCCA}"/>
    <dataValidation operator="greaterThanOrEqual" allowBlank="1" showInputMessage="1" showErrorMessage="1" error="県産材の実使用量より大きな値は入力しないでください。" sqref="DZ6:DZ10" xr:uid="{A0253D2D-D5F1-4B41-A3A2-7A1D1BAAF4FF}"/>
    <dataValidation type="list" allowBlank="1" showErrorMessage="1" sqref="EY6:EY10" xr:uid="{233F9069-170A-4742-8C4B-C3E9909CBEB7}">
      <formula1>"平板瓦,和瓦,S瓦"</formula1>
    </dataValidation>
    <dataValidation type="list" allowBlank="1" showErrorMessage="1" sqref="GD6:GD11 EZ6:FA10" xr:uid="{F3BF4D4A-2259-4EC8-8543-2BC01061C853}">
      <formula1>"モルタル塗,漆喰塗,土壁塗,そとん壁,じゅらく塗,珪藻土塗,その他"</formula1>
    </dataValidation>
    <dataValidation type="list" allowBlank="1" showInputMessage="1" showErrorMessage="1" prompt="EL列の瓦の種類も選択してください。" sqref="ER6:ER10" xr:uid="{0F004309-7D9A-413D-A95A-9C7AA8054D14}">
      <formula1>"2"</formula1>
    </dataValidation>
    <dataValidation type="list" allowBlank="1" showInputMessage="1" showErrorMessage="1" prompt="EM列の左官材料の種類も選択してください。" sqref="EQ6:EQ10" xr:uid="{71136C44-DB5C-40B2-BD96-4E249E9ACD0A}">
      <formula1>"1,2"</formula1>
    </dataValidation>
    <dataValidation type="list" allowBlank="1" showInputMessage="1" showErrorMessage="1" prompt="EN列の木製建具事業者名も入力してください。" sqref="ES6:ES10" xr:uid="{6825FDBB-D403-4A43-9D93-D73C6D454BC7}">
      <formula1>"1,2"</formula1>
    </dataValidation>
    <dataValidation type="list" allowBlank="1" showInputMessage="1" showErrorMessage="1" prompt="EO列に畳事業者名を入力してください。" sqref="ET6:ET10" xr:uid="{0C6EB1B0-639C-4A35-BDC8-2446D8A697C7}">
      <formula1>"1"</formula1>
    </dataValidation>
    <dataValidation allowBlank="1" showInputMessage="1" showErrorMessage="1" error="0.3以上が補助対象、実木材使用量以下の数値を入力" sqref="FH6:FH11" xr:uid="{4679419E-BE2B-4281-BF07-8873732ED8C1}"/>
    <dataValidation operator="greaterThanOrEqual" allowBlank="1" showInputMessage="1" showErrorMessage="1" error="整数値で入力" sqref="FJ6:FJ11" xr:uid="{8A9EA7BD-5DE7-4A46-B04B-D9ABA06B91B3}"/>
    <dataValidation allowBlank="1" showErrorMessage="1" sqref="GE6:GE11" xr:uid="{E094453E-3D18-424F-86C5-ECCB608B2776}"/>
    <dataValidation type="whole" operator="greaterThanOrEqual" allowBlank="1" showInputMessage="1" showErrorMessage="1" error="７未満の値は入力しないでください。（補助対象となるのは最低７平方メートル以上です）" prompt="FT列の左官材料の種類も選択してください。" sqref="FZ6:FZ11" xr:uid="{FC7FEB80-11CD-4914-93E3-AB778AD1CC97}">
      <formula1>7</formula1>
    </dataValidation>
    <dataValidation type="whole" operator="greaterThanOrEqual" allowBlank="1" showInputMessage="1" showErrorMessage="1" error="３未満の値は入力しないでください。_x000a_（建具は見付３㎡以上が補助対象です）" prompt="FU列の木製建具事業者名も選択してください。" sqref="GA6:GA11" xr:uid="{1145058A-1597-4F65-993D-593D69B5E6AD}">
      <formula1>3</formula1>
    </dataValidation>
    <dataValidation type="list" allowBlank="1" showInputMessage="1" showErrorMessage="1" sqref="DA11 G11" xr:uid="{FA4F9144-DD5D-4154-9E35-91136331B80E}">
      <formula1>"〇"</formula1>
    </dataValidation>
    <dataValidation type="whole" operator="lessThanOrEqual" allowBlank="1" showInputMessage="1" showErrorMessage="1" error="県産材の実使用量より大きな値は入力しないでください。" sqref="DQ6:DQ10" xr:uid="{50781F17-7A9E-4126-AAB4-375D19935858}">
      <formula1>DI6</formula1>
    </dataValidation>
    <dataValidation type="whole" operator="lessThanOrEqual" allowBlank="1" showInputMessage="1" showErrorMessage="1" error="県産材の実使用量より大きな値は入力しないでください。" sqref="DM6:DO10" xr:uid="{E9C6B4B0-C752-4FC8-A3F2-C9D7ACBF0B93}">
      <formula1>DH6</formula1>
    </dataValidation>
    <dataValidation type="whole" operator="lessThanOrEqual" allowBlank="1" showInputMessage="1" showErrorMessage="1" error="県産材の実使用量より大きな値は入力しないでください。" sqref="DP6:DP10" xr:uid="{CD8D46DF-6151-4FE8-A5E0-CFDA837A0D62}">
      <formula1>DJ6</formula1>
    </dataValidation>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【様式第６号】事業報告書兼チェックシート</vt:lpstr>
      <vt:lpstr>要入力　登録決定状況入力シート</vt:lpstr>
      <vt:lpstr>【様式第６号】（別紙）補助金併用一覧</vt:lpstr>
      <vt:lpstr>【規則様式第３号】実績報告書鑑（報告書連動）（住まいる）</vt:lpstr>
      <vt:lpstr>【規則様式第３号】実績報告書鑑（報告書連動） (未来型)</vt:lpstr>
      <vt:lpstr>住まいる台帳コピー</vt:lpstr>
      <vt:lpstr>'【規則様式第３号】実績報告書鑑（報告書連動） (未来型)'!Print_Area</vt:lpstr>
      <vt:lpstr>'【規則様式第３号】実績報告書鑑（報告書連動）（住まいる）'!Print_Area</vt:lpstr>
      <vt:lpstr>'【様式第６号】（別紙）補助金併用一覧'!Print_Area</vt:lpstr>
      <vt:lpstr>【様式第６号】事業報告書兼チェックシート!Print_Area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山澤 徹也</cp:lastModifiedBy>
  <cp:lastPrinted>2024-03-15T02:39:19Z</cp:lastPrinted>
  <dcterms:created xsi:type="dcterms:W3CDTF">2017-01-19T07:37:02Z</dcterms:created>
  <dcterms:modified xsi:type="dcterms:W3CDTF">2025-06-26T07:46:30Z</dcterms:modified>
</cp:coreProperties>
</file>